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drawings/drawing2.xml" ContentType="application/vnd.openxmlformats-officedocument.drawingml.chartshapes+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drawings/drawing4.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ml.chartshapes+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pivotTables/pivotTable10.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Ex3.xml" ContentType="application/vnd.ms-office.chartex+xml"/>
  <Override PartName="/xl/charts/style7.xml" ContentType="application/vnd.ms-office.chartstyle+xml"/>
  <Override PartName="/xl/charts/colors7.xml" ContentType="application/vnd.ms-office.chartcolorstyle+xml"/>
  <Override PartName="/xl/pivotTables/pivotTable11.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Ex4.xml" ContentType="application/vnd.ms-office.chartex+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codeName="ThisWorkbook" hidePivotFieldList="1" defaultThemeVersion="202300"/>
  <mc:AlternateContent xmlns:mc="http://schemas.openxmlformats.org/markup-compatibility/2006">
    <mc:Choice Requires="x15">
      <x15ac:absPath xmlns:x15ac="http://schemas.microsoft.com/office/spreadsheetml/2010/11/ac" url="/Users/mattramage/Documents/Claude/oregon-wildfire-reports-repo/"/>
    </mc:Choice>
  </mc:AlternateContent>
  <xr:revisionPtr revIDLastSave="0" documentId="8_{1EB55FA8-F390-0C4F-9F8D-718EE472900F}" xr6:coauthVersionLast="47" xr6:coauthVersionMax="47" xr10:uidLastSave="{00000000-0000-0000-0000-000000000000}"/>
  <bookViews>
    <workbookView xWindow="2500" yWindow="2660" windowWidth="33340" windowHeight="19740" tabRatio="794" activeTab="12" xr2:uid="{A4A482FE-B34D-43BD-949C-2602BCF828C0}"/>
  </bookViews>
  <sheets>
    <sheet name="ODEM data" sheetId="7" r:id="rId1"/>
    <sheet name="NWCC Fire Data" sheetId="3" r:id="rId2"/>
    <sheet name="MAPS" sheetId="14" r:id="rId3"/>
    <sheet name="Chart-acres vs active" sheetId="10" r:id="rId4"/>
    <sheet name="Dashboard (2)" sheetId="15" r:id="rId5"/>
    <sheet name="ODF data" sheetId="12" r:id="rId6"/>
    <sheet name="Rpt-Status, name, county" sheetId="4" r:id="rId7"/>
    <sheet name="EVENTS" sheetId="8" r:id="rId8"/>
    <sheet name="Rpt-County, status, name" sheetId="5" r:id="rId9"/>
    <sheet name="County chart" sheetId="6" r:id="rId10"/>
    <sheet name="Counties" sheetId="2" r:id="rId11"/>
    <sheet name="Daily Metrics Log" sheetId="16" r:id="rId12"/>
    <sheet name="Summary" sheetId="17" r:id="rId13"/>
  </sheets>
  <externalReferences>
    <externalReference r:id="rId14"/>
  </externalReferences>
  <definedNames>
    <definedName name="_xlnm._FilterDatabase" localSheetId="10" hidden="1">Counties!$B$2:$F$38</definedName>
    <definedName name="_xlnm._FilterDatabase" localSheetId="7" hidden="1">EVENTS!$A$2:$O$37</definedName>
    <definedName name="_xlnm._FilterDatabase" localSheetId="1" hidden="1">'NWCC Fire Data'!$A$1:$T$319</definedName>
    <definedName name="_xlnm._FilterDatabase" localSheetId="0" hidden="1">'ODEM data'!$A$1:$E$259</definedName>
    <definedName name="_xlchart.v5.0" hidden="1">'Rpt-County, status, name'!$S$5:$T$5</definedName>
    <definedName name="_xlchart.v5.1" hidden="1">'Rpt-County, status, name'!$S$6:$T$41</definedName>
    <definedName name="_xlchart.v5.10" hidden="1">'Rpt-County, status, name'!$V$5</definedName>
    <definedName name="_xlchart.v5.11" hidden="1">'Rpt-County, status, name'!$V$6:$V$41</definedName>
    <definedName name="_xlchart.v5.12" hidden="1">'County chart'!$A$45:$B$45</definedName>
    <definedName name="_xlchart.v5.13" hidden="1">'County chart'!$A$46:$B$81</definedName>
    <definedName name="_xlchart.v5.14" hidden="1">'County chart'!$C$45</definedName>
    <definedName name="_xlchart.v5.15" hidden="1">'County chart'!$C$46:$C$81</definedName>
    <definedName name="_xlchart.v5.2" hidden="1">'Rpt-County, status, name'!$V$5</definedName>
    <definedName name="_xlchart.v5.3" hidden="1">'Rpt-County, status, name'!$V$6:$V$41</definedName>
    <definedName name="_xlchart.v5.4" hidden="1">'County chart'!$A$45:$B$45</definedName>
    <definedName name="_xlchart.v5.5" hidden="1">'County chart'!$A$46:$B$81</definedName>
    <definedName name="_xlchart.v5.6" hidden="1">'County chart'!$C$45</definedName>
    <definedName name="_xlchart.v5.7" hidden="1">'County chart'!$C$46:$C$81</definedName>
    <definedName name="_xlchart.v5.8" hidden="1">'Rpt-County, status, name'!$S$5:$T$5</definedName>
    <definedName name="_xlchart.v5.9" hidden="1">'Rpt-County, status, name'!$S$6:$T$41</definedName>
    <definedName name="Agency_data">'ODEM data'!$A$2:$E$254</definedName>
    <definedName name="Buck_Creek">#REF!</definedName>
    <definedName name="County">Counties!$A$3:$B$38</definedName>
    <definedName name="DailyLog">'Daily Metrics Log'!$A$2:$J$2000</definedName>
    <definedName name="Fires" localSheetId="7">'[1]Property Loss'!$A$5:$A$107</definedName>
    <definedName name="Fires">'NWCC Fire Data'!$A$1:$T$5025</definedName>
    <definedName name="Fires_2025">'NWCC Fire Data'!$B$179:$B$369</definedName>
    <definedName name="ODEM">'ODEM data'!$C$2:$E$2057</definedName>
    <definedName name="ODF">'ODF data'!$A$3:$I$23</definedName>
    <definedName name="_xlnm.Print_Area" localSheetId="4">'Dashboard (2)'!$A$2:$R$370</definedName>
    <definedName name="_xlnm.Print_Area" localSheetId="6">'Rpt-Status, name, county'!$A:$O</definedName>
    <definedName name="_xlnm.Print_Titles" localSheetId="6">'Rpt-Status, name, county'!$20:$22</definedName>
    <definedName name="Slicer_Misc">#N/A</definedName>
    <definedName name="Slicer_Year">#N/A</definedName>
    <definedName name="Slicer_Year1">#N/A</definedName>
    <definedName name="Wildfires">'NWCC Fire Data'!$A$1:$T$107</definedName>
    <definedName name="Wiley_Flat">#REF!</definedName>
  </definedNames>
  <calcPr calcId="191029"/>
  <pivotCaches>
    <pivotCache cacheId="119" r:id="rId15"/>
    <pivotCache cacheId="124" r:id="rId16"/>
  </pivotCaches>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4" i="12" l="1"/>
  <c r="J9" i="12"/>
  <c r="A164" i="15"/>
  <c r="D161" i="15"/>
  <c r="P14" i="12"/>
  <c r="G81" i="6"/>
  <c r="F81" i="6"/>
  <c r="E81" i="6"/>
  <c r="D81" i="6"/>
  <c r="C81" i="6"/>
  <c r="G80" i="6"/>
  <c r="F80" i="6"/>
  <c r="E80" i="6"/>
  <c r="D80" i="6"/>
  <c r="C80" i="6"/>
  <c r="G79" i="6"/>
  <c r="F79" i="6"/>
  <c r="E79" i="6"/>
  <c r="D79" i="6"/>
  <c r="C79" i="6"/>
  <c r="G78" i="6"/>
  <c r="F78" i="6"/>
  <c r="E78" i="6"/>
  <c r="D78" i="6"/>
  <c r="C78" i="6"/>
  <c r="G77" i="6"/>
  <c r="F77" i="6"/>
  <c r="E77" i="6"/>
  <c r="D77" i="6"/>
  <c r="C77" i="6"/>
  <c r="G76" i="6"/>
  <c r="F76" i="6"/>
  <c r="E76" i="6"/>
  <c r="D76" i="6"/>
  <c r="C76" i="6"/>
  <c r="G75" i="6"/>
  <c r="F75" i="6"/>
  <c r="E75" i="6"/>
  <c r="D75" i="6"/>
  <c r="C75" i="6"/>
  <c r="G74" i="6"/>
  <c r="F74" i="6"/>
  <c r="E74" i="6"/>
  <c r="D74" i="6"/>
  <c r="C74" i="6"/>
  <c r="G73" i="6"/>
  <c r="F73" i="6"/>
  <c r="E73" i="6"/>
  <c r="D73" i="6"/>
  <c r="C73" i="6"/>
  <c r="G72" i="6"/>
  <c r="F72" i="6"/>
  <c r="E72" i="6"/>
  <c r="D72" i="6"/>
  <c r="C72" i="6"/>
  <c r="G71" i="6"/>
  <c r="F71" i="6"/>
  <c r="E71" i="6"/>
  <c r="D71" i="6"/>
  <c r="C71" i="6"/>
  <c r="G70" i="6"/>
  <c r="F70" i="6"/>
  <c r="E70" i="6"/>
  <c r="D70" i="6"/>
  <c r="C70" i="6"/>
  <c r="G69" i="6"/>
  <c r="F69" i="6"/>
  <c r="E69" i="6"/>
  <c r="D69" i="6"/>
  <c r="C69" i="6"/>
  <c r="G68" i="6"/>
  <c r="F68" i="6"/>
  <c r="E68" i="6"/>
  <c r="D68" i="6"/>
  <c r="C68" i="6"/>
  <c r="G67" i="6"/>
  <c r="F67" i="6"/>
  <c r="E67" i="6"/>
  <c r="D67" i="6"/>
  <c r="C67" i="6"/>
  <c r="G66" i="6"/>
  <c r="F66" i="6"/>
  <c r="E66" i="6"/>
  <c r="D66" i="6"/>
  <c r="C66" i="6"/>
  <c r="G65" i="6"/>
  <c r="F65" i="6"/>
  <c r="E65" i="6"/>
  <c r="D65" i="6"/>
  <c r="C65" i="6"/>
  <c r="G64" i="6"/>
  <c r="F64" i="6"/>
  <c r="E64" i="6"/>
  <c r="D64" i="6"/>
  <c r="C64" i="6"/>
  <c r="G63" i="6"/>
  <c r="F63" i="6"/>
  <c r="E63" i="6"/>
  <c r="D63" i="6"/>
  <c r="C63" i="6"/>
  <c r="G62" i="6"/>
  <c r="F62" i="6"/>
  <c r="E62" i="6"/>
  <c r="D62" i="6"/>
  <c r="C62" i="6"/>
  <c r="G61" i="6"/>
  <c r="F61" i="6"/>
  <c r="E61" i="6"/>
  <c r="D61" i="6"/>
  <c r="C61" i="6"/>
  <c r="G60" i="6"/>
  <c r="F60" i="6"/>
  <c r="E60" i="6"/>
  <c r="D60" i="6"/>
  <c r="C60" i="6"/>
  <c r="G59" i="6"/>
  <c r="F59" i="6"/>
  <c r="E59" i="6"/>
  <c r="D59" i="6"/>
  <c r="C59" i="6"/>
  <c r="G58" i="6"/>
  <c r="F58" i="6"/>
  <c r="E58" i="6"/>
  <c r="D58" i="6"/>
  <c r="C58" i="6"/>
  <c r="G57" i="6"/>
  <c r="F57" i="6"/>
  <c r="E57" i="6"/>
  <c r="D57" i="6"/>
  <c r="C57" i="6"/>
  <c r="G56" i="6"/>
  <c r="F56" i="6"/>
  <c r="E56" i="6"/>
  <c r="D56" i="6"/>
  <c r="C56" i="6"/>
  <c r="G55" i="6"/>
  <c r="F55" i="6"/>
  <c r="E55" i="6"/>
  <c r="D55" i="6"/>
  <c r="C55" i="6"/>
  <c r="G54" i="6"/>
  <c r="F54" i="6"/>
  <c r="E54" i="6"/>
  <c r="D54" i="6"/>
  <c r="C54" i="6"/>
  <c r="G53" i="6"/>
  <c r="F53" i="6"/>
  <c r="E53" i="6"/>
  <c r="D53" i="6"/>
  <c r="C53" i="6"/>
  <c r="G52" i="6"/>
  <c r="F52" i="6"/>
  <c r="E52" i="6"/>
  <c r="D52" i="6"/>
  <c r="C52" i="6"/>
  <c r="G51" i="6"/>
  <c r="F51" i="6"/>
  <c r="E51" i="6"/>
  <c r="D51" i="6"/>
  <c r="C51" i="6"/>
  <c r="G50" i="6"/>
  <c r="F50" i="6"/>
  <c r="E50" i="6"/>
  <c r="D50" i="6"/>
  <c r="C50" i="6"/>
  <c r="G49" i="6"/>
  <c r="F49" i="6"/>
  <c r="E49" i="6"/>
  <c r="D49" i="6"/>
  <c r="C49" i="6"/>
  <c r="G48" i="6"/>
  <c r="F48" i="6"/>
  <c r="E48" i="6"/>
  <c r="D48" i="6"/>
  <c r="C48" i="6"/>
  <c r="G47" i="6"/>
  <c r="F47" i="6"/>
  <c r="E47" i="6"/>
  <c r="D47" i="6"/>
  <c r="C47" i="6"/>
  <c r="G46" i="6"/>
  <c r="F46" i="6"/>
  <c r="E46" i="6"/>
  <c r="D46" i="6"/>
  <c r="C46" i="6"/>
  <c r="A2" i="6"/>
  <c r="U41" i="5"/>
  <c r="V41" i="5" s="1"/>
  <c r="U40" i="5"/>
  <c r="V40" i="5" s="1"/>
  <c r="U39" i="5"/>
  <c r="V39" i="5" s="1"/>
  <c r="U38" i="5"/>
  <c r="V38" i="5" s="1"/>
  <c r="U37" i="5"/>
  <c r="V37" i="5" s="1"/>
  <c r="U36" i="5"/>
  <c r="V36" i="5" s="1"/>
  <c r="U35" i="5"/>
  <c r="V35" i="5" s="1"/>
  <c r="U34" i="5"/>
  <c r="V34" i="5" s="1"/>
  <c r="U33" i="5"/>
  <c r="V33" i="5" s="1"/>
  <c r="U32" i="5"/>
  <c r="V32" i="5" s="1"/>
  <c r="U31" i="5"/>
  <c r="V31" i="5" s="1"/>
  <c r="U30" i="5"/>
  <c r="V30" i="5" s="1"/>
  <c r="U29" i="5"/>
  <c r="V29" i="5" s="1"/>
  <c r="U28" i="5"/>
  <c r="V28" i="5" s="1"/>
  <c r="U27" i="5"/>
  <c r="V27" i="5" s="1"/>
  <c r="U26" i="5"/>
  <c r="V26" i="5" s="1"/>
  <c r="U25" i="5"/>
  <c r="V25" i="5" s="1"/>
  <c r="U24" i="5"/>
  <c r="V24" i="5" s="1"/>
  <c r="U23" i="5"/>
  <c r="V23" i="5" s="1"/>
  <c r="U22" i="5"/>
  <c r="V22" i="5" s="1"/>
  <c r="U21" i="5"/>
  <c r="V21" i="5" s="1"/>
  <c r="U20" i="5"/>
  <c r="V20" i="5" s="1"/>
  <c r="U19" i="5"/>
  <c r="V19" i="5" s="1"/>
  <c r="U18" i="5"/>
  <c r="V18" i="5" s="1"/>
  <c r="U17" i="5"/>
  <c r="V17" i="5" s="1"/>
  <c r="U16" i="5"/>
  <c r="V16" i="5" s="1"/>
  <c r="U15" i="5"/>
  <c r="V15" i="5" s="1"/>
  <c r="U14" i="5"/>
  <c r="V14" i="5" s="1"/>
  <c r="U13" i="5"/>
  <c r="V13" i="5" s="1"/>
  <c r="U12" i="5"/>
  <c r="V12" i="5" s="1"/>
  <c r="U11" i="5"/>
  <c r="V11" i="5" s="1"/>
  <c r="U10" i="5"/>
  <c r="V10" i="5" s="1"/>
  <c r="U9" i="5"/>
  <c r="V9" i="5" s="1"/>
  <c r="U8" i="5"/>
  <c r="V8" i="5" s="1"/>
  <c r="U7" i="5"/>
  <c r="V7" i="5" s="1"/>
  <c r="U6" i="5"/>
  <c r="V6" i="5" s="1"/>
  <c r="A2" i="5"/>
  <c r="X33" i="5" s="1"/>
  <c r="F13" i="4"/>
  <c r="E13" i="4"/>
  <c r="F12" i="4"/>
  <c r="E12" i="4"/>
  <c r="F11" i="4"/>
  <c r="E11" i="4"/>
  <c r="F9" i="4"/>
  <c r="E6" i="4"/>
  <c r="E5" i="4"/>
  <c r="E4" i="4"/>
  <c r="A2" i="4"/>
  <c r="A1" i="4"/>
  <c r="O12" i="12"/>
  <c r="O15" i="12" s="1"/>
  <c r="J8" i="12"/>
  <c r="J7" i="12"/>
  <c r="J6" i="12"/>
  <c r="J5" i="12"/>
  <c r="J4" i="12"/>
  <c r="J3" i="12"/>
  <c r="E161" i="15"/>
  <c r="A161" i="15"/>
  <c r="F19" i="15"/>
  <c r="E19" i="15"/>
  <c r="F18" i="15"/>
  <c r="E18" i="15"/>
  <c r="F17" i="15"/>
  <c r="E17" i="15"/>
  <c r="F15" i="15"/>
  <c r="E6" i="15"/>
  <c r="E5" i="15"/>
  <c r="E4" i="15"/>
  <c r="E14" i="17" s="1"/>
  <c r="A2" i="15"/>
  <c r="A1" i="15"/>
  <c r="AA4" i="10"/>
  <c r="AA3" i="10"/>
  <c r="A2" i="10"/>
  <c r="E250" i="7"/>
  <c r="AM27" i="17"/>
  <c r="AL27" i="17"/>
  <c r="AK27" i="17"/>
  <c r="AJ27" i="17"/>
  <c r="AI27" i="17"/>
  <c r="AH27" i="17"/>
  <c r="AG27" i="17"/>
  <c r="AF27" i="17"/>
  <c r="AE27" i="17"/>
  <c r="AD27" i="17"/>
  <c r="AC27" i="17"/>
  <c r="AB27" i="17"/>
  <c r="AA27" i="17"/>
  <c r="Z27" i="17"/>
  <c r="Y27" i="17"/>
  <c r="X27" i="17"/>
  <c r="W27" i="17"/>
  <c r="V27" i="17"/>
  <c r="U27" i="17"/>
  <c r="T27" i="17"/>
  <c r="S27" i="17"/>
  <c r="R27" i="17"/>
  <c r="Q27" i="17"/>
  <c r="P27" i="17"/>
  <c r="O27" i="17"/>
  <c r="N27" i="17"/>
  <c r="M27" i="17"/>
  <c r="L27" i="17"/>
  <c r="K27" i="17"/>
  <c r="J27" i="17"/>
  <c r="E26" i="17"/>
  <c r="AM25" i="17"/>
  <c r="AL25" i="17"/>
  <c r="AK25" i="17"/>
  <c r="AJ25" i="17"/>
  <c r="AI25" i="17"/>
  <c r="AH25" i="17"/>
  <c r="AG25" i="17"/>
  <c r="AF25" i="17"/>
  <c r="AE25" i="17"/>
  <c r="AD25" i="17"/>
  <c r="AC25" i="17"/>
  <c r="AB25" i="17"/>
  <c r="AA25" i="17"/>
  <c r="Z25" i="17"/>
  <c r="Y25" i="17"/>
  <c r="X25" i="17"/>
  <c r="W25" i="17"/>
  <c r="V25" i="17"/>
  <c r="U25" i="17"/>
  <c r="T25" i="17"/>
  <c r="S25" i="17"/>
  <c r="R25" i="17"/>
  <c r="Q25" i="17"/>
  <c r="P25" i="17"/>
  <c r="O25" i="17"/>
  <c r="N25" i="17"/>
  <c r="M25" i="17"/>
  <c r="L25" i="17"/>
  <c r="K25" i="17"/>
  <c r="J25" i="17"/>
  <c r="E24" i="17"/>
  <c r="AM23" i="17"/>
  <c r="AL23" i="17"/>
  <c r="AK23" i="17"/>
  <c r="AJ23" i="17"/>
  <c r="AI23" i="17"/>
  <c r="AH23" i="17"/>
  <c r="AG23" i="17"/>
  <c r="AF23" i="17"/>
  <c r="AE23" i="17"/>
  <c r="AD23" i="17"/>
  <c r="AC23" i="17"/>
  <c r="AB23" i="17"/>
  <c r="AA23" i="17"/>
  <c r="Z23" i="17"/>
  <c r="Y23" i="17"/>
  <c r="X23" i="17"/>
  <c r="W23" i="17"/>
  <c r="V23" i="17"/>
  <c r="U23" i="17"/>
  <c r="T23" i="17"/>
  <c r="S23" i="17"/>
  <c r="R23" i="17"/>
  <c r="Q23" i="17"/>
  <c r="P23" i="17"/>
  <c r="O23" i="17"/>
  <c r="N23" i="17"/>
  <c r="M23" i="17"/>
  <c r="L23" i="17"/>
  <c r="K23" i="17"/>
  <c r="J23" i="17"/>
  <c r="E22" i="17"/>
  <c r="AM19" i="17"/>
  <c r="AL19" i="17"/>
  <c r="AK19" i="17"/>
  <c r="AJ19" i="17"/>
  <c r="AI19" i="17"/>
  <c r="AH19" i="17"/>
  <c r="AG19" i="17"/>
  <c r="AF19" i="17"/>
  <c r="AE19" i="17"/>
  <c r="AD19" i="17"/>
  <c r="AC19" i="17"/>
  <c r="AB19" i="17"/>
  <c r="AA19" i="17"/>
  <c r="Z19" i="17"/>
  <c r="Y19" i="17"/>
  <c r="X19" i="17"/>
  <c r="W19" i="17"/>
  <c r="V19" i="17"/>
  <c r="U19" i="17"/>
  <c r="T19" i="17"/>
  <c r="S19" i="17"/>
  <c r="R19" i="17"/>
  <c r="Q19" i="17"/>
  <c r="P19" i="17"/>
  <c r="O19" i="17"/>
  <c r="N19" i="17"/>
  <c r="M19" i="17"/>
  <c r="L19" i="17"/>
  <c r="K19" i="17"/>
  <c r="J19" i="17"/>
  <c r="AM17" i="17"/>
  <c r="AL17" i="17"/>
  <c r="AK17" i="17"/>
  <c r="AJ17" i="17"/>
  <c r="AI17" i="17"/>
  <c r="AH17" i="17"/>
  <c r="AG17" i="17"/>
  <c r="AF17" i="17"/>
  <c r="AE17" i="17"/>
  <c r="AD17" i="17"/>
  <c r="AC17" i="17"/>
  <c r="AB17" i="17"/>
  <c r="AA17" i="17"/>
  <c r="Z17" i="17"/>
  <c r="Y17" i="17"/>
  <c r="X17" i="17"/>
  <c r="W17" i="17"/>
  <c r="V17" i="17"/>
  <c r="U17" i="17"/>
  <c r="T17" i="17"/>
  <c r="S17" i="17"/>
  <c r="R17" i="17"/>
  <c r="Q17" i="17"/>
  <c r="P17" i="17"/>
  <c r="O17" i="17"/>
  <c r="N17" i="17"/>
  <c r="M17" i="17"/>
  <c r="L17" i="17"/>
  <c r="K17" i="17"/>
  <c r="J17" i="17"/>
  <c r="E16" i="17"/>
  <c r="AM15" i="17"/>
  <c r="AL15" i="17"/>
  <c r="AK15" i="17"/>
  <c r="AJ15" i="17"/>
  <c r="AI15" i="17"/>
  <c r="AH15" i="17"/>
  <c r="AG15" i="17"/>
  <c r="AF15" i="17"/>
  <c r="AE15" i="17"/>
  <c r="AD15" i="17"/>
  <c r="AC15" i="17"/>
  <c r="AB15" i="17"/>
  <c r="AA15" i="17"/>
  <c r="Z15" i="17"/>
  <c r="Y15" i="17"/>
  <c r="X15" i="17"/>
  <c r="W15" i="17"/>
  <c r="V15" i="17"/>
  <c r="U15" i="17"/>
  <c r="T15" i="17"/>
  <c r="S15" i="17"/>
  <c r="R15" i="17"/>
  <c r="Q15" i="17"/>
  <c r="P15" i="17"/>
  <c r="O15" i="17"/>
  <c r="N15" i="17"/>
  <c r="M15" i="17"/>
  <c r="L15" i="17"/>
  <c r="K15" i="17"/>
  <c r="J15" i="17"/>
  <c r="AM13" i="17"/>
  <c r="AL13" i="17"/>
  <c r="AK13" i="17"/>
  <c r="AJ13" i="17"/>
  <c r="AI13" i="17"/>
  <c r="AH13" i="17"/>
  <c r="AG13" i="17"/>
  <c r="AF13" i="17"/>
  <c r="AE13" i="17"/>
  <c r="AD13" i="17"/>
  <c r="AC13" i="17"/>
  <c r="AB13" i="17"/>
  <c r="AA13" i="17"/>
  <c r="Z13" i="17"/>
  <c r="Y13" i="17"/>
  <c r="X13" i="17"/>
  <c r="W13" i="17"/>
  <c r="V13" i="17"/>
  <c r="U13" i="17"/>
  <c r="T13" i="17"/>
  <c r="S13" i="17"/>
  <c r="R13" i="17"/>
  <c r="Q13" i="17"/>
  <c r="P13" i="17"/>
  <c r="O13" i="17"/>
  <c r="N13" i="17"/>
  <c r="M13" i="17"/>
  <c r="L13" i="17"/>
  <c r="K13" i="17"/>
  <c r="J13" i="17"/>
  <c r="E12" i="17"/>
  <c r="AM11" i="17"/>
  <c r="AL11" i="17"/>
  <c r="AK11" i="17"/>
  <c r="AJ11" i="17"/>
  <c r="AI11" i="17"/>
  <c r="AH11" i="17"/>
  <c r="AG11" i="17"/>
  <c r="AF11" i="17"/>
  <c r="AE11" i="17"/>
  <c r="AD11" i="17"/>
  <c r="AC11" i="17"/>
  <c r="AB11" i="17"/>
  <c r="AA11" i="17"/>
  <c r="Z11" i="17"/>
  <c r="Y11" i="17"/>
  <c r="X11" i="17"/>
  <c r="W11" i="17"/>
  <c r="V11" i="17"/>
  <c r="U11" i="17"/>
  <c r="T11" i="17"/>
  <c r="S11" i="17"/>
  <c r="R11" i="17"/>
  <c r="Q11" i="17"/>
  <c r="P11" i="17"/>
  <c r="O11" i="17"/>
  <c r="N11" i="17"/>
  <c r="M11" i="17"/>
  <c r="L11" i="17"/>
  <c r="K11" i="17"/>
  <c r="J11" i="17"/>
  <c r="E10" i="17"/>
  <c r="D4" i="17"/>
  <c r="E18" i="17" s="1"/>
  <c r="D3" i="17"/>
  <c r="V43" i="5" l="1"/>
  <c r="X37" i="5" s="1"/>
  <c r="X38" i="5" s="1"/>
  <c r="X34" i="5" s="1"/>
  <c r="G82" i="6"/>
  <c r="F82" i="6"/>
  <c r="E82" i="6"/>
  <c r="D82" i="6"/>
  <c r="G26" i="17"/>
  <c r="H26" i="17"/>
  <c r="F26" i="17"/>
  <c r="G24" i="17"/>
  <c r="F24" i="17"/>
  <c r="H24" i="17"/>
  <c r="H22" i="17"/>
  <c r="G22" i="17"/>
  <c r="F22" i="17"/>
  <c r="F16" i="17"/>
  <c r="H16" i="17"/>
  <c r="G16" i="17"/>
  <c r="G14" i="17"/>
  <c r="F14" i="17"/>
  <c r="H14" i="17"/>
  <c r="F12" i="17"/>
  <c r="G12" i="17"/>
  <c r="H12" i="17"/>
  <c r="F10" i="17"/>
  <c r="H10" i="17"/>
  <c r="G10" i="17"/>
  <c r="G18" i="17"/>
  <c r="H18" i="17"/>
  <c r="F18" i="17"/>
  <c r="AF46" i="6"/>
  <c r="AF4" i="6"/>
  <c r="AF3" i="6" s="1"/>
  <c r="C82" i="6"/>
  <c r="C87" i="6" s="1"/>
  <c r="D87" i="6" s="1"/>
  <c r="D90" i="6" s="1"/>
  <c r="AG47" i="6" s="1"/>
  <c r="AF45" i="6"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9">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6"/>
        </ext>
      </extLst>
    </bk>
    <bk>
      <extLst>
        <ext uri="{3e2802c4-a4d2-4d8b-9148-e3be6c30e623}">
          <xlrd:rvb i="9"/>
        </ext>
      </extLst>
    </bk>
    <bk>
      <extLst>
        <ext uri="{3e2802c4-a4d2-4d8b-9148-e3be6c30e623}">
          <xlrd:rvb i="12"/>
        </ext>
      </extLst>
    </bk>
    <bk>
      <extLst>
        <ext uri="{3e2802c4-a4d2-4d8b-9148-e3be6c30e623}">
          <xlrd:rvb i="15"/>
        </ext>
      </extLst>
    </bk>
    <bk>
      <extLst>
        <ext uri="{3e2802c4-a4d2-4d8b-9148-e3be6c30e623}">
          <xlrd:rvb i="18"/>
        </ext>
      </extLst>
    </bk>
    <bk>
      <extLst>
        <ext uri="{3e2802c4-a4d2-4d8b-9148-e3be6c30e623}">
          <xlrd:rvb i="21"/>
        </ext>
      </extLst>
    </bk>
    <bk>
      <extLst>
        <ext uri="{3e2802c4-a4d2-4d8b-9148-e3be6c30e623}">
          <xlrd:rvb i="24"/>
        </ext>
      </extLst>
    </bk>
    <bk>
      <extLst>
        <ext uri="{3e2802c4-a4d2-4d8b-9148-e3be6c30e623}">
          <xlrd:rvb i="27"/>
        </ext>
      </extLst>
    </bk>
    <bk>
      <extLst>
        <ext uri="{3e2802c4-a4d2-4d8b-9148-e3be6c30e623}">
          <xlrd:rvb i="30"/>
        </ext>
      </extLst>
    </bk>
    <bk>
      <extLst>
        <ext uri="{3e2802c4-a4d2-4d8b-9148-e3be6c30e623}">
          <xlrd:rvb i="33"/>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48"/>
        </ext>
      </extLst>
    </bk>
    <bk>
      <extLst>
        <ext uri="{3e2802c4-a4d2-4d8b-9148-e3be6c30e623}">
          <xlrd:rvb i="51"/>
        </ext>
      </extLst>
    </bk>
    <bk>
      <extLst>
        <ext uri="{3e2802c4-a4d2-4d8b-9148-e3be6c30e623}">
          <xlrd:rvb i="54"/>
        </ext>
      </extLst>
    </bk>
    <bk>
      <extLst>
        <ext uri="{3e2802c4-a4d2-4d8b-9148-e3be6c30e623}">
          <xlrd:rvb i="57"/>
        </ext>
      </extLst>
    </bk>
    <bk>
      <extLst>
        <ext uri="{3e2802c4-a4d2-4d8b-9148-e3be6c30e623}">
          <xlrd:rvb i="60"/>
        </ext>
      </extLst>
    </bk>
    <bk>
      <extLst>
        <ext uri="{3e2802c4-a4d2-4d8b-9148-e3be6c30e623}">
          <xlrd:rvb i="63"/>
        </ext>
      </extLst>
    </bk>
    <bk>
      <extLst>
        <ext uri="{3e2802c4-a4d2-4d8b-9148-e3be6c30e623}">
          <xlrd:rvb i="66"/>
        </ext>
      </extLst>
    </bk>
    <bk>
      <extLst>
        <ext uri="{3e2802c4-a4d2-4d8b-9148-e3be6c30e623}">
          <xlrd:rvb i="69"/>
        </ext>
      </extLst>
    </bk>
    <bk>
      <extLst>
        <ext uri="{3e2802c4-a4d2-4d8b-9148-e3be6c30e623}">
          <xlrd:rvb i="72"/>
        </ext>
      </extLst>
    </bk>
    <bk>
      <extLst>
        <ext uri="{3e2802c4-a4d2-4d8b-9148-e3be6c30e623}">
          <xlrd:rvb i="75"/>
        </ext>
      </extLst>
    </bk>
    <bk>
      <extLst>
        <ext uri="{3e2802c4-a4d2-4d8b-9148-e3be6c30e623}">
          <xlrd:rvb i="78"/>
        </ext>
      </extLst>
    </bk>
    <bk>
      <extLst>
        <ext uri="{3e2802c4-a4d2-4d8b-9148-e3be6c30e623}">
          <xlrd:rvb i="81"/>
        </ext>
      </extLst>
    </bk>
    <bk>
      <extLst>
        <ext uri="{3e2802c4-a4d2-4d8b-9148-e3be6c30e623}">
          <xlrd:rvb i="84"/>
        </ext>
      </extLst>
    </bk>
    <bk>
      <extLst>
        <ext uri="{3e2802c4-a4d2-4d8b-9148-e3be6c30e623}">
          <xlrd:rvb i="87"/>
        </ext>
      </extLst>
    </bk>
    <bk>
      <extLst>
        <ext uri="{3e2802c4-a4d2-4d8b-9148-e3be6c30e623}">
          <xlrd:rvb i="90"/>
        </ext>
      </extLst>
    </bk>
    <bk>
      <extLst>
        <ext uri="{3e2802c4-a4d2-4d8b-9148-e3be6c30e623}">
          <xlrd:rvb i="93"/>
        </ext>
      </extLst>
    </bk>
    <bk>
      <extLst>
        <ext uri="{3e2802c4-a4d2-4d8b-9148-e3be6c30e623}">
          <xlrd:rvb i="96"/>
        </ext>
      </extLst>
    </bk>
    <bk>
      <extLst>
        <ext uri="{3e2802c4-a4d2-4d8b-9148-e3be6c30e623}">
          <xlrd:rvb i="99"/>
        </ext>
      </extLst>
    </bk>
    <bk>
      <extLst>
        <ext uri="{3e2802c4-a4d2-4d8b-9148-e3be6c30e623}">
          <xlrd:rvb i="102"/>
        </ext>
      </extLst>
    </bk>
    <bk>
      <extLst>
        <ext uri="{3e2802c4-a4d2-4d8b-9148-e3be6c30e623}">
          <xlrd:rvb i="105"/>
        </ext>
      </extLst>
    </bk>
    <bk>
      <extLst>
        <ext uri="{3e2802c4-a4d2-4d8b-9148-e3be6c30e623}">
          <xlrd:rvb i="108"/>
        </ext>
      </extLst>
    </bk>
  </futureMetadata>
  <valueMetadata count="39">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valueMetadata>
</metadata>
</file>

<file path=xl/sharedStrings.xml><?xml version="1.0" encoding="utf-8"?>
<sst xmlns="http://schemas.openxmlformats.org/spreadsheetml/2006/main" count="3257" uniqueCount="1018">
  <si>
    <t>Bachelor Complex</t>
  </si>
  <si>
    <t>County</t>
  </si>
  <si>
    <t>Name</t>
  </si>
  <si>
    <t>Size</t>
  </si>
  <si>
    <t>Containment</t>
  </si>
  <si>
    <t>Location</t>
  </si>
  <si>
    <t>Level 1</t>
  </si>
  <si>
    <t>Level 2</t>
  </si>
  <si>
    <t>Level 3</t>
  </si>
  <si>
    <t>Baker City</t>
  </si>
  <si>
    <t>3,068 sq mi (7,946 sq km)</t>
  </si>
  <si>
    <t>Corvallis</t>
  </si>
  <si>
    <t>676 sq mi (1,751 sq km)</t>
  </si>
  <si>
    <t>Oregon City</t>
  </si>
  <si>
    <t>1,868 sq mi (4,838 sq km)</t>
  </si>
  <si>
    <t>Astoria</t>
  </si>
  <si>
    <t>827 sq mi (2,142 sq km)</t>
  </si>
  <si>
    <t>Saint Helens</t>
  </si>
  <si>
    <t>657 sq mi (1,702 sq km)</t>
  </si>
  <si>
    <t>Coquille</t>
  </si>
  <si>
    <t>1,600 sq mi (4,144 sq km)</t>
  </si>
  <si>
    <t>Prineville</t>
  </si>
  <si>
    <t>2,980 sq mi (7,718 sq km)</t>
  </si>
  <si>
    <t>Gold Beach</t>
  </si>
  <si>
    <t>1,627 sq mi (4,214 sq km)</t>
  </si>
  <si>
    <t>Bend</t>
  </si>
  <si>
    <t>3,018 sq mi (7,817 sq km)</t>
  </si>
  <si>
    <t>Roseburg</t>
  </si>
  <si>
    <t>5,037 sq mi (13,046 sq km)</t>
  </si>
  <si>
    <t>Condon</t>
  </si>
  <si>
    <t>1,204 sq mi (3,118 sq km)</t>
  </si>
  <si>
    <t>Canyon City</t>
  </si>
  <si>
    <t>4,529 sq mi (11,730 sq km)</t>
  </si>
  <si>
    <t>Burns</t>
  </si>
  <si>
    <t>10,135 sq mi (26,250 sq km)</t>
  </si>
  <si>
    <t>Hood River</t>
  </si>
  <si>
    <t>522 sq mi (1,352 sq km)</t>
  </si>
  <si>
    <t>Medford</t>
  </si>
  <si>
    <t>2,785 sq mi (7,213 sq km)</t>
  </si>
  <si>
    <t>Madras</t>
  </si>
  <si>
    <t>1,781 sq mi (4,613 sq km)</t>
  </si>
  <si>
    <t>Grants Pass</t>
  </si>
  <si>
    <t>1,640 sq mi (4,248 sq km)</t>
  </si>
  <si>
    <t>Klamath Falls</t>
  </si>
  <si>
    <t>5,945 sq mi (15,397 sq km)</t>
  </si>
  <si>
    <t>Lakeview</t>
  </si>
  <si>
    <t>7,940 sq mi (20,565 sq km)</t>
  </si>
  <si>
    <t>Eugene</t>
  </si>
  <si>
    <t>4,554 sq mi (11,795 sq km)</t>
  </si>
  <si>
    <t>Newport</t>
  </si>
  <si>
    <t>980 sq mi (2,538 sq km)</t>
  </si>
  <si>
    <t>Albany</t>
  </si>
  <si>
    <t>2,291 sq mi (5,934 sq km)</t>
  </si>
  <si>
    <t>Vale</t>
  </si>
  <si>
    <t>9,888 sq mi (25,610 sq km)</t>
  </si>
  <si>
    <t>Salem</t>
  </si>
  <si>
    <t>1,185 sq mi (3,069 sq km)</t>
  </si>
  <si>
    <t>Heppner</t>
  </si>
  <si>
    <t>2,033 sq mi (5,265 sq km)</t>
  </si>
  <si>
    <t>Portland</t>
  </si>
  <si>
    <t>435 sq mi (1,127 sq km)</t>
  </si>
  <si>
    <t>Dallas</t>
  </si>
  <si>
    <t>741 sq mi (1,919 sq km)</t>
  </si>
  <si>
    <t>Moro</t>
  </si>
  <si>
    <t>823 sq mi (2,132 sq km)</t>
  </si>
  <si>
    <t>Tillamook</t>
  </si>
  <si>
    <t>1,102 sq mi (2,854 sq km)</t>
  </si>
  <si>
    <t>Pendleton</t>
  </si>
  <si>
    <t>3,215 sq mi (8,327 sq km)</t>
  </si>
  <si>
    <t>La Grande</t>
  </si>
  <si>
    <t>2,037 sq mi (5,276 sq km)</t>
  </si>
  <si>
    <t>Enterprise</t>
  </si>
  <si>
    <t>3,145 sq mi (8,146 sq km)</t>
  </si>
  <si>
    <t>The Dalles</t>
  </si>
  <si>
    <t>2,381 sq mi (6,167 sq km)</t>
  </si>
  <si>
    <t>Hillsboro</t>
  </si>
  <si>
    <t>724 sq mi (1,875 sq km)</t>
  </si>
  <si>
    <t>Fossil</t>
  </si>
  <si>
    <t>1,715 sq mi (4,442 sq km)</t>
  </si>
  <si>
    <t>Seat</t>
  </si>
  <si>
    <t>Population</t>
  </si>
  <si>
    <t>2023 Data from US Census</t>
  </si>
  <si>
    <t>Baker</t>
  </si>
  <si>
    <t>Benton</t>
  </si>
  <si>
    <t>Clackamas</t>
  </si>
  <si>
    <t>Clatsop</t>
  </si>
  <si>
    <t>Columbia</t>
  </si>
  <si>
    <t>Coos</t>
  </si>
  <si>
    <t>Crook</t>
  </si>
  <si>
    <t>Curry</t>
  </si>
  <si>
    <t>Deschutes</t>
  </si>
  <si>
    <t>Douglas</t>
  </si>
  <si>
    <t>Gilliam</t>
  </si>
  <si>
    <t>Grant</t>
  </si>
  <si>
    <t>Harney</t>
  </si>
  <si>
    <t>Jackson</t>
  </si>
  <si>
    <t>Jefferson</t>
  </si>
  <si>
    <t>Josephine</t>
  </si>
  <si>
    <t>Klamath</t>
  </si>
  <si>
    <t>Lake</t>
  </si>
  <si>
    <t>Lane</t>
  </si>
  <si>
    <t>Lincoln</t>
  </si>
  <si>
    <t>Linn</t>
  </si>
  <si>
    <t>Malheur</t>
  </si>
  <si>
    <t>Marion</t>
  </si>
  <si>
    <t>Morrow</t>
  </si>
  <si>
    <t>Multnomah</t>
  </si>
  <si>
    <t>Polk</t>
  </si>
  <si>
    <t>Sherman</t>
  </si>
  <si>
    <t>Umatilla</t>
  </si>
  <si>
    <t>Union</t>
  </si>
  <si>
    <t>Wallowa</t>
  </si>
  <si>
    <t>Wasco</t>
  </si>
  <si>
    <t>Washington</t>
  </si>
  <si>
    <t>Wheeler</t>
  </si>
  <si>
    <t>Yamhill</t>
  </si>
  <si>
    <t>McMinnville</t>
  </si>
  <si>
    <t>716 sq mi (1,854 sq km)</t>
  </si>
  <si>
    <t>Threatened</t>
  </si>
  <si>
    <t>Diamond Complex</t>
  </si>
  <si>
    <t>8 miles W of Diamond Lake</t>
  </si>
  <si>
    <t>Homestead Complex</t>
  </si>
  <si>
    <t>30 miles NE of Glide</t>
  </si>
  <si>
    <t>Destroyed</t>
  </si>
  <si>
    <t>Rail Ridge</t>
  </si>
  <si>
    <t>32 miles S of Dayville</t>
  </si>
  <si>
    <t>Red</t>
  </si>
  <si>
    <t>Whisky Creek</t>
  </si>
  <si>
    <t>6 miles SE of Cascade Locks</t>
  </si>
  <si>
    <t>Willamette Complex</t>
  </si>
  <si>
    <t>North and south of Oakridge</t>
  </si>
  <si>
    <t>Young Grasshopper</t>
  </si>
  <si>
    <t>5 miles SW of Cascade Summit</t>
  </si>
  <si>
    <t>5 miles West of Crescent Lake Junction</t>
  </si>
  <si>
    <t>Active LARGE fires</t>
  </si>
  <si>
    <t xml:space="preserve"> All active fires</t>
  </si>
  <si>
    <t>20 miles SW of Bend</t>
  </si>
  <si>
    <t>Buck Creek</t>
  </si>
  <si>
    <t>Bingham</t>
  </si>
  <si>
    <t>Northwest Large Fire Information Summary</t>
  </si>
  <si>
    <t>State of Oregon Fires and Hotspots Dashboard</t>
  </si>
  <si>
    <t>Wiley Flat</t>
  </si>
  <si>
    <t>Active large fires</t>
  </si>
  <si>
    <t>ODF Land</t>
  </si>
  <si>
    <t>Statewide</t>
  </si>
  <si>
    <t xml:space="preserve">ODF Wildland Fire Situation Report </t>
  </si>
  <si>
    <t>Acres Burned (in last 100 days)</t>
  </si>
  <si>
    <t>Note</t>
  </si>
  <si>
    <t>Dixon</t>
  </si>
  <si>
    <t>Cow Valley</t>
  </si>
  <si>
    <t>Town Gulch</t>
  </si>
  <si>
    <t>Lone Rock</t>
  </si>
  <si>
    <t>Durkee</t>
  </si>
  <si>
    <t>Battle Mtn Complex</t>
  </si>
  <si>
    <t>Copperfield</t>
  </si>
  <si>
    <t>Falls</t>
  </si>
  <si>
    <t>Badlands Complex</t>
  </si>
  <si>
    <t>Cat Rock</t>
  </si>
  <si>
    <t>Crazy Creek</t>
  </si>
  <si>
    <t>Devils Knob</t>
  </si>
  <si>
    <t>Elk Lane</t>
  </si>
  <si>
    <t>Firestone</t>
  </si>
  <si>
    <t>Knot</t>
  </si>
  <si>
    <t>Larch Creek</t>
  </si>
  <si>
    <t>Oak Canyon</t>
  </si>
  <si>
    <t>Winding Waters Complex</t>
  </si>
  <si>
    <t>updated as of</t>
  </si>
  <si>
    <t>Status</t>
  </si>
  <si>
    <t>C</t>
  </si>
  <si>
    <t>Cont</t>
  </si>
  <si>
    <t>OEM Evacuation Information (addresses)</t>
  </si>
  <si>
    <t>Comm-threat</t>
  </si>
  <si>
    <t>Minor-threat</t>
  </si>
  <si>
    <t>Res-threat</t>
  </si>
  <si>
    <t>Res-des</t>
  </si>
  <si>
    <t>Com-des</t>
  </si>
  <si>
    <t>Minor-des</t>
  </si>
  <si>
    <t>Grand Total</t>
  </si>
  <si>
    <t>Acres</t>
  </si>
  <si>
    <t>Lev1</t>
  </si>
  <si>
    <t>Lev2</t>
  </si>
  <si>
    <t>Lev3</t>
  </si>
  <si>
    <t>Res-Thr</t>
  </si>
  <si>
    <t>Comm-Thr</t>
  </si>
  <si>
    <t>Other-Thr</t>
  </si>
  <si>
    <t>Res-DSTY</t>
  </si>
  <si>
    <t>Comm-DSTY</t>
  </si>
  <si>
    <t>Other-DSTY</t>
  </si>
  <si>
    <t>Evacuation</t>
  </si>
  <si>
    <t>VALUES</t>
  </si>
  <si>
    <t>Pine</t>
  </si>
  <si>
    <t>24 miles SE of Bend</t>
  </si>
  <si>
    <t>Bottom Creek</t>
  </si>
  <si>
    <t>24 miles East of Coos Bay</t>
  </si>
  <si>
    <t>Flat Top</t>
  </si>
  <si>
    <t>Bowman Well</t>
  </si>
  <si>
    <t>In town of Christmas Valley</t>
  </si>
  <si>
    <t>Fossil Complex</t>
  </si>
  <si>
    <t>10 miles N of Fort Rock</t>
  </si>
  <si>
    <t>Milepost 98</t>
  </si>
  <si>
    <t>North of Bend</t>
  </si>
  <si>
    <t>Gold</t>
  </si>
  <si>
    <t>13 miles E Juntura</t>
  </si>
  <si>
    <t>Jones</t>
  </si>
  <si>
    <t>10 miles E of Juntura</t>
  </si>
  <si>
    <t>Shoe Fly</t>
  </si>
  <si>
    <t>6 miles NE of Mitchell</t>
  </si>
  <si>
    <t>10 miles N of Maupin</t>
  </si>
  <si>
    <t>Butterfly Gulch</t>
  </si>
  <si>
    <t>8 miles NW of Ontario</t>
  </si>
  <si>
    <t>Sage Hen</t>
  </si>
  <si>
    <t>18 miles E of Riley</t>
  </si>
  <si>
    <t>Solomon</t>
  </si>
  <si>
    <t>3 miles SE of Frenchglen</t>
  </si>
  <si>
    <t>Boulder Creek</t>
  </si>
  <si>
    <t>24 miles NE of Baker City</t>
  </si>
  <si>
    <t>Sandstone</t>
  </si>
  <si>
    <t>9 miles SW of Ripplebrook</t>
  </si>
  <si>
    <t>Warner Peak</t>
  </si>
  <si>
    <t>3 miles E of Plush</t>
  </si>
  <si>
    <t>Soldier Creek</t>
  </si>
  <si>
    <t>18 miles SW of Jordan Valley</t>
  </si>
  <si>
    <t>Porcupine</t>
  </si>
  <si>
    <t>35 miles SE of Burns</t>
  </si>
  <si>
    <t>Bennett</t>
  </si>
  <si>
    <t>3 miles NE of Antelope</t>
  </si>
  <si>
    <t>Poison Creek</t>
  </si>
  <si>
    <t>10 miles SE of Seneca</t>
  </si>
  <si>
    <t>Cliff Mountain</t>
  </si>
  <si>
    <t>25 miles E of Joseph</t>
  </si>
  <si>
    <t>Deer Creek</t>
  </si>
  <si>
    <t>18 miles SW of Adrian</t>
  </si>
  <si>
    <t>Gilespie Spring</t>
  </si>
  <si>
    <t>Grasshopper</t>
  </si>
  <si>
    <t>7 miles NE of Juntura</t>
  </si>
  <si>
    <t>Cedar Creek</t>
  </si>
  <si>
    <t>23 miles SW of Juntura</t>
  </si>
  <si>
    <t>Hole in the Ground</t>
  </si>
  <si>
    <t>24 miles W of Jordan Valley</t>
  </si>
  <si>
    <t>Parasol</t>
  </si>
  <si>
    <t>5 miles E of Seneca</t>
  </si>
  <si>
    <t>Whiskey Mountain</t>
  </si>
  <si>
    <t>30 miles NW of Burns</t>
  </si>
  <si>
    <t xml:space="preserve">Sand </t>
  </si>
  <si>
    <t>5 miles SE of Izee</t>
  </si>
  <si>
    <t>Ritter</t>
  </si>
  <si>
    <t>NE of Crane</t>
  </si>
  <si>
    <t>Camp Creek</t>
  </si>
  <si>
    <t>10 miles WSW of Paulina</t>
  </si>
  <si>
    <t xml:space="preserve">Whiskey  </t>
  </si>
  <si>
    <t>Durgan</t>
  </si>
  <si>
    <t>8 miles NW of Paulina</t>
  </si>
  <si>
    <t>Microwave Tower</t>
  </si>
  <si>
    <t>5 miles WSW of Mosier</t>
  </si>
  <si>
    <t>Telephone</t>
  </si>
  <si>
    <t>16 miles NE of Burns</t>
  </si>
  <si>
    <t>Courtrock</t>
  </si>
  <si>
    <t>7 miles S of Monument</t>
  </si>
  <si>
    <t>Jackpine</t>
  </si>
  <si>
    <t>3 miles SW of La Pine</t>
  </si>
  <si>
    <t>Double Snag</t>
  </si>
  <si>
    <t>15 miles SE of Ukiah</t>
  </si>
  <si>
    <t>Wickiup</t>
  </si>
  <si>
    <t>8 miles W of La Pine</t>
  </si>
  <si>
    <t>Jack Canyon Mutual Aid</t>
  </si>
  <si>
    <t>4 miles SW of Pilot Rock</t>
  </si>
  <si>
    <t>Ore</t>
  </si>
  <si>
    <t>7 miles NE of Blue River</t>
  </si>
  <si>
    <t>12 miles NW of La Pine</t>
  </si>
  <si>
    <t>Round Mountain</t>
  </si>
  <si>
    <t>Middle Fork</t>
  </si>
  <si>
    <t>23 miles NE of Prospect</t>
  </si>
  <si>
    <t>Lane 1</t>
  </si>
  <si>
    <t>15 miles SE of Springfield</t>
  </si>
  <si>
    <t>Twin Springs</t>
  </si>
  <si>
    <t>32 miles SW of Vale</t>
  </si>
  <si>
    <t>Upper Applegate</t>
  </si>
  <si>
    <t>4 miles S of Ruch</t>
  </si>
  <si>
    <t>Trout Creek</t>
  </si>
  <si>
    <t>13 miles N of Madras</t>
  </si>
  <si>
    <t>Benson Creek</t>
  </si>
  <si>
    <t>3 miles SW of Huntington</t>
  </si>
  <si>
    <t>Bowden</t>
  </si>
  <si>
    <t>19 miles SE of Rome</t>
  </si>
  <si>
    <t>South Pasture</t>
  </si>
  <si>
    <t>20 miles NNE of Silver Lake</t>
  </si>
  <si>
    <t>Little Yamsay</t>
  </si>
  <si>
    <t>25 miles SE of Chemult</t>
  </si>
  <si>
    <t>W of Ukiah</t>
  </si>
  <si>
    <t>30 miles SW of Silver Lake</t>
  </si>
  <si>
    <t>7 miles N of Prineville</t>
  </si>
  <si>
    <t>5 miles SE of Chiloquin</t>
  </si>
  <si>
    <t>5 miles SE of Tiller</t>
  </si>
  <si>
    <t>1 mile E of Tiller</t>
  </si>
  <si>
    <t>1 miles W of Durkee,</t>
  </si>
  <si>
    <t>6 miles W or Madras</t>
  </si>
  <si>
    <t>20 miles N of Riley</t>
  </si>
  <si>
    <t>21 miles N of Fort Rock</t>
  </si>
  <si>
    <t>3.5 miles WSW of Sprague River</t>
  </si>
  <si>
    <t>5 miles SW of Dufer</t>
  </si>
  <si>
    <t>10 miles SE of Condon</t>
  </si>
  <si>
    <t>8 miles N or Richland</t>
  </si>
  <si>
    <t>9 miles NW of Cornucopia</t>
  </si>
  <si>
    <t>2 miles E of Marion Forks</t>
  </si>
  <si>
    <t>10 miles SE of Post</t>
  </si>
  <si>
    <t>30 miles NW of Jordan</t>
  </si>
  <si>
    <t># of Fires</t>
  </si>
  <si>
    <t>Be Ready</t>
  </si>
  <si>
    <t>Go NOW</t>
  </si>
  <si>
    <t>R</t>
  </si>
  <si>
    <t>Structure loss</t>
  </si>
  <si>
    <t>4 miles SE and SW of Richland</t>
  </si>
  <si>
    <t>10 miles E of Fossil</t>
  </si>
  <si>
    <t>16 miles NE of John Day</t>
  </si>
  <si>
    <t>9 miles E of Ironside</t>
  </si>
  <si>
    <t>16 miles N of Paulina</t>
  </si>
  <si>
    <t>O</t>
  </si>
  <si>
    <t>Year</t>
  </si>
  <si>
    <t xml:space="preserve">Stewart Creek           </t>
  </si>
  <si>
    <t xml:space="preserve">Baldy                   </t>
  </si>
  <si>
    <t xml:space="preserve">White River             </t>
  </si>
  <si>
    <t xml:space="preserve">War Canyon              </t>
  </si>
  <si>
    <t xml:space="preserve">Tiller                        </t>
  </si>
  <si>
    <t xml:space="preserve">Dry Gulch               </t>
  </si>
  <si>
    <t xml:space="preserve">Haystack                </t>
  </si>
  <si>
    <t xml:space="preserve">S. Obenchain            </t>
  </si>
  <si>
    <t xml:space="preserve">Bear Creek                    </t>
  </si>
  <si>
    <t xml:space="preserve">Buckhorn Creek          </t>
  </si>
  <si>
    <t xml:space="preserve">Elkton                        </t>
  </si>
  <si>
    <t xml:space="preserve">Ike Butte               </t>
  </si>
  <si>
    <t xml:space="preserve">Saddle Hollow           </t>
  </si>
  <si>
    <t xml:space="preserve">Elk Creek                     </t>
  </si>
  <si>
    <t xml:space="preserve">French Creek            </t>
  </si>
  <si>
    <t xml:space="preserve">Worthington             </t>
  </si>
  <si>
    <t xml:space="preserve">5 E Bandon                    </t>
  </si>
  <si>
    <t xml:space="preserve">Meacham Creek                 </t>
  </si>
  <si>
    <t xml:space="preserve">Hinkle Creek                  </t>
  </si>
  <si>
    <t xml:space="preserve">Hamlin                  </t>
  </si>
  <si>
    <t xml:space="preserve">Brattain Butte                </t>
  </si>
  <si>
    <t xml:space="preserve">Round Mountain                </t>
  </si>
  <si>
    <t xml:space="preserve">Poole Cr.               </t>
  </si>
  <si>
    <t xml:space="preserve">Ritter                  </t>
  </si>
  <si>
    <t xml:space="preserve">Mosier Creek            </t>
  </si>
  <si>
    <t xml:space="preserve">Wilhoit                 </t>
  </si>
  <si>
    <t xml:space="preserve">2 Miles SE of Mosier          </t>
  </si>
  <si>
    <t xml:space="preserve">Mehl Creek              </t>
  </si>
  <si>
    <t xml:space="preserve">O'Shea Cr.              </t>
  </si>
  <si>
    <t xml:space="preserve">5 Miles SE of Mosier          </t>
  </si>
  <si>
    <t xml:space="preserve">Bob Flat                      </t>
  </si>
  <si>
    <t xml:space="preserve">Rum Creek               </t>
  </si>
  <si>
    <t xml:space="preserve">Collier State Park            </t>
  </si>
  <si>
    <t xml:space="preserve">Teller Flats 0281 OD    </t>
  </si>
  <si>
    <t xml:space="preserve">20 miles North of Prineville  </t>
  </si>
  <si>
    <t xml:space="preserve">Ben Young 196           </t>
  </si>
  <si>
    <t xml:space="preserve">Fir Mountain            </t>
  </si>
  <si>
    <t xml:space="preserve">8 Miles SW of Mosier          </t>
  </si>
  <si>
    <t xml:space="preserve">5.39 miles Northeast of Eagle </t>
  </si>
  <si>
    <t xml:space="preserve">12.2 miles NW of Dayville     </t>
  </si>
  <si>
    <t xml:space="preserve">4.3 miles E of Long Creek     </t>
  </si>
  <si>
    <t xml:space="preserve">GREEN RIDGE 0684        </t>
  </si>
  <si>
    <t xml:space="preserve">10 MILES NORTH OF SISTERS     </t>
  </si>
  <si>
    <t xml:space="preserve">Crane 345               </t>
  </si>
  <si>
    <t xml:space="preserve">Crane Mountain                </t>
  </si>
  <si>
    <t xml:space="preserve">Sevenmile               </t>
  </si>
  <si>
    <t xml:space="preserve">Laurel                  </t>
  </si>
  <si>
    <t xml:space="preserve">Steet Mountain          </t>
  </si>
  <si>
    <t xml:space="preserve">5.7 miles NE of Monument      </t>
  </si>
  <si>
    <t xml:space="preserve">Horse                   </t>
  </si>
  <si>
    <t xml:space="preserve">Horse Ridge                   </t>
  </si>
  <si>
    <t xml:space="preserve">18 Miles West of Maupin       </t>
  </si>
  <si>
    <t xml:space="preserve">Sweet Creek MP 2        </t>
  </si>
  <si>
    <t xml:space="preserve">Mapleton Landing County Park, </t>
  </si>
  <si>
    <t xml:space="preserve">Grizzly Creek           </t>
  </si>
  <si>
    <t xml:space="preserve">16.32 miles East of Ashland   </t>
  </si>
  <si>
    <t xml:space="preserve">Echo Mountain           </t>
  </si>
  <si>
    <t xml:space="preserve">6.04 miles NE of Lincoln City </t>
  </si>
  <si>
    <t xml:space="preserve">Pike Road               </t>
  </si>
  <si>
    <t xml:space="preserve">2 miles E Bay City            </t>
  </si>
  <si>
    <t xml:space="preserve">Two Four Two 404        </t>
  </si>
  <si>
    <t xml:space="preserve">Brattain 406            </t>
  </si>
  <si>
    <t xml:space="preserve">North Bank Lane MM8     </t>
  </si>
  <si>
    <t xml:space="preserve">East Fork Butter Creek  </t>
  </si>
  <si>
    <t xml:space="preserve">East Fork Butter Creek        </t>
  </si>
  <si>
    <t xml:space="preserve">Greenway MM 24.2        </t>
  </si>
  <si>
    <t xml:space="preserve">Archie Creek/ Star Mtn  </t>
  </si>
  <si>
    <t>6.65 miles East of Eagle Point</t>
  </si>
  <si>
    <t xml:space="preserve">Kimberling Mt           </t>
  </si>
  <si>
    <t xml:space="preserve">9.34 miles E of Lincoln City  </t>
  </si>
  <si>
    <t xml:space="preserve">7.1 Mi. North of Long Creek   </t>
  </si>
  <si>
    <t xml:space="preserve">Holiday Farm            </t>
  </si>
  <si>
    <t>3 miles west of McKenzie Bridg</t>
  </si>
  <si>
    <t xml:space="preserve">Unger Rd                </t>
  </si>
  <si>
    <t xml:space="preserve">2.5 Mi NE of Colton           </t>
  </si>
  <si>
    <t xml:space="preserve">Wilhoit Rd                    </t>
  </si>
  <si>
    <t xml:space="preserve">Riverside (ODF)         </t>
  </si>
  <si>
    <t xml:space="preserve">22 Miles SE of Estacada       </t>
  </si>
  <si>
    <t xml:space="preserve">Illinois Valley Support </t>
  </si>
  <si>
    <t xml:space="preserve">O'Brien                       </t>
  </si>
  <si>
    <t xml:space="preserve">4.4 miles N.E. spray          </t>
  </si>
  <si>
    <t xml:space="preserve">Dowty Rd                </t>
  </si>
  <si>
    <t xml:space="preserve">Almeda                  </t>
  </si>
  <si>
    <t xml:space="preserve">Ashland Creek                 </t>
  </si>
  <si>
    <t xml:space="preserve">Beachie                 </t>
  </si>
  <si>
    <t xml:space="preserve">6.6 Miles N of Detroit        </t>
  </si>
  <si>
    <t xml:space="preserve">Bull Springs 0041       </t>
  </si>
  <si>
    <t xml:space="preserve">3 miles West of Bend          </t>
  </si>
  <si>
    <t xml:space="preserve">Ponina 132              </t>
  </si>
  <si>
    <t xml:space="preserve">8 mi NE of the town of Beatty </t>
  </si>
  <si>
    <t xml:space="preserve">Marshall's Place        </t>
  </si>
  <si>
    <t xml:space="preserve">4.73 miles North of Tiller    </t>
  </si>
  <si>
    <t xml:space="preserve">Sycan River 179         </t>
  </si>
  <si>
    <t xml:space="preserve">Joseph Canyon           </t>
  </si>
  <si>
    <t xml:space="preserve">34 miles north of Enterprise  </t>
  </si>
  <si>
    <t xml:space="preserve">S-503 Fire 0026         </t>
  </si>
  <si>
    <t xml:space="preserve">20 Miles West of Maupin       </t>
  </si>
  <si>
    <t xml:space="preserve">Lewis Rock 21130        </t>
  </si>
  <si>
    <t xml:space="preserve">4.7 Miles S of Mitchell       </t>
  </si>
  <si>
    <t xml:space="preserve">Bologna 21165           </t>
  </si>
  <si>
    <t xml:space="preserve">9 Miles E. of Spray           </t>
  </si>
  <si>
    <t xml:space="preserve">Dixie Creek 21187       </t>
  </si>
  <si>
    <t xml:space="preserve">Faiman Springs                </t>
  </si>
  <si>
    <t xml:space="preserve">Game Hog Creek Fire     </t>
  </si>
  <si>
    <t xml:space="preserve">Bootleg 321             </t>
  </si>
  <si>
    <t xml:space="preserve">Fuego Mountain                </t>
  </si>
  <si>
    <t xml:space="preserve">Grandview 0558          </t>
  </si>
  <si>
    <t xml:space="preserve">Geneva                        </t>
  </si>
  <si>
    <t xml:space="preserve">Log 329                 </t>
  </si>
  <si>
    <t xml:space="preserve">Log Spring                    </t>
  </si>
  <si>
    <t xml:space="preserve">Darlene 0572            </t>
  </si>
  <si>
    <t xml:space="preserve">Darlene Fire            </t>
  </si>
  <si>
    <t xml:space="preserve">Darlene 0572                  </t>
  </si>
  <si>
    <t xml:space="preserve">Elbow Creek             </t>
  </si>
  <si>
    <t xml:space="preserve">Cottonwod Creek 21279   </t>
  </si>
  <si>
    <t xml:space="preserve">Cottonwood Creek              </t>
  </si>
  <si>
    <t xml:space="preserve">Black Butte 21300       </t>
  </si>
  <si>
    <t xml:space="preserve">Cole Canyon 21307       </t>
  </si>
  <si>
    <t xml:space="preserve">6.9 miles NE of Monument      </t>
  </si>
  <si>
    <t xml:space="preserve">Wise                    </t>
  </si>
  <si>
    <t xml:space="preserve">8.35 miles West of Tiller     </t>
  </si>
  <si>
    <t>9.51 miles Southwest of Tiller</t>
  </si>
  <si>
    <t>3.24 miles East of Canyonville</t>
  </si>
  <si>
    <t xml:space="preserve">Patten Meadow 419       </t>
  </si>
  <si>
    <t xml:space="preserve">Patten Meadow                 </t>
  </si>
  <si>
    <t xml:space="preserve">Lionshead               </t>
  </si>
  <si>
    <t xml:space="preserve">Cougar Peak 452         </t>
  </si>
  <si>
    <t xml:space="preserve">Grizzly Mountain              </t>
  </si>
  <si>
    <t xml:space="preserve">Big Meadows 21343       </t>
  </si>
  <si>
    <t xml:space="preserve">26.4 miles west of Hines      </t>
  </si>
  <si>
    <t xml:space="preserve">Mule Cr.                </t>
  </si>
  <si>
    <t xml:space="preserve">Chaos-Rough Patch CMPLX </t>
  </si>
  <si>
    <t xml:space="preserve">23 miles NW of Glide          </t>
  </si>
  <si>
    <t xml:space="preserve">Fly Creek 0487 CS       </t>
  </si>
  <si>
    <t xml:space="preserve">Jct of 1170 &amp; Montgomery Rd   </t>
  </si>
  <si>
    <t>12.35 miles Southwest of Glend</t>
  </si>
  <si>
    <t xml:space="preserve">Double Creek            </t>
  </si>
  <si>
    <t xml:space="preserve">Inmaha                        </t>
  </si>
  <si>
    <t xml:space="preserve">Van Meter 351           </t>
  </si>
  <si>
    <t xml:space="preserve">Stukel Mountain               </t>
  </si>
  <si>
    <t xml:space="preserve">West Campbell           </t>
  </si>
  <si>
    <t xml:space="preserve">Western Heights               </t>
  </si>
  <si>
    <t xml:space="preserve">98 Delta                </t>
  </si>
  <si>
    <t xml:space="preserve">West Green Mountain           </t>
  </si>
  <si>
    <t xml:space="preserve">Brown Mtn               </t>
  </si>
  <si>
    <t xml:space="preserve">7K                      </t>
  </si>
  <si>
    <t xml:space="preserve">11.53 Miles SW of Veneta      </t>
  </si>
  <si>
    <t xml:space="preserve">Stewart Creek                 </t>
  </si>
  <si>
    <t xml:space="preserve"> </t>
  </si>
  <si>
    <t xml:space="preserve">Oak Flat                </t>
  </si>
  <si>
    <t xml:space="preserve">Haight Creek            </t>
  </si>
  <si>
    <t xml:space="preserve">Bedrock                 </t>
  </si>
  <si>
    <t xml:space="preserve">Golden                  </t>
  </si>
  <si>
    <t xml:space="preserve">Jones Butte             </t>
  </si>
  <si>
    <t xml:space="preserve">Grossman                </t>
  </si>
  <si>
    <t xml:space="preserve">Priceboro               </t>
  </si>
  <si>
    <t xml:space="preserve">Wiley                   </t>
  </si>
  <si>
    <t xml:space="preserve">Juniper Creek 0703 OD   </t>
  </si>
  <si>
    <t xml:space="preserve">Smith River Complex     </t>
  </si>
  <si>
    <t xml:space="preserve">Anvil                   </t>
  </si>
  <si>
    <t xml:space="preserve">Horse Creek             </t>
  </si>
  <si>
    <t xml:space="preserve">WINSLOW ROAD 1300       </t>
  </si>
  <si>
    <t xml:space="preserve">Cougar Cr #1            </t>
  </si>
  <si>
    <t xml:space="preserve">Big Tom                 </t>
  </si>
  <si>
    <t xml:space="preserve">Lookout Fire            </t>
  </si>
  <si>
    <t xml:space="preserve">Bonanza                       </t>
  </si>
  <si>
    <t xml:space="preserve">Castle Rock                   </t>
  </si>
  <si>
    <t xml:space="preserve">2 S Agness                    </t>
  </si>
  <si>
    <t xml:space="preserve">Haight Creek Park             </t>
  </si>
  <si>
    <t xml:space="preserve">Bedrock Campground            </t>
  </si>
  <si>
    <t xml:space="preserve">2 miles NW Elgin              </t>
  </si>
  <si>
    <t xml:space="preserve">7 Mi SE of Harrisburg         </t>
  </si>
  <si>
    <t xml:space="preserve">2 Mi SW of Cascadia           </t>
  </si>
  <si>
    <t xml:space="preserve">SW Graham RD                  </t>
  </si>
  <si>
    <t xml:space="preserve">Hwy 199                       </t>
  </si>
  <si>
    <t xml:space="preserve">Lookout Mt                    </t>
  </si>
  <si>
    <t>Total fires YTD</t>
  </si>
  <si>
    <t>Acres burned YTD</t>
  </si>
  <si>
    <t>ODEM Active fires</t>
  </si>
  <si>
    <t>ODF Active fires</t>
  </si>
  <si>
    <t>Statewide active fires</t>
  </si>
  <si>
    <t>ODF report effective date</t>
  </si>
  <si>
    <t>ODF acres YTD</t>
  </si>
  <si>
    <t>ODF total fires YTD</t>
  </si>
  <si>
    <t>Statewide total fires YTD</t>
  </si>
  <si>
    <t>https://www.tillamookheadlightherald.com/news/widespread-rain-prompts-the-end-of-the-2022-fire-season/article_bfb16888-554f-11ed-89b9-b721df9c368e.html</t>
  </si>
  <si>
    <t>https://www.statesmanjournal.com/story/news/2020/10/30/climate-change-oregon-wildfires-2020/6056170002/</t>
  </si>
  <si>
    <t xml:space="preserve">Acres burned and Stuctures destroyed  </t>
  </si>
  <si>
    <t>Date</t>
  </si>
  <si>
    <t>Fire</t>
  </si>
  <si>
    <t>Event Type</t>
  </si>
  <si>
    <t>Outreach Response</t>
  </si>
  <si>
    <t>Large pop. Impact</t>
  </si>
  <si>
    <t>Fire trend UP?</t>
  </si>
  <si>
    <t>AQI unhealthy or worse</t>
  </si>
  <si>
    <t>Multi Agency Response</t>
  </si>
  <si>
    <t>Notes</t>
  </si>
  <si>
    <t>Details</t>
  </si>
  <si>
    <t>Maupin</t>
  </si>
  <si>
    <t>Community / Informational Meeting</t>
  </si>
  <si>
    <t>Attended in person</t>
  </si>
  <si>
    <t>x</t>
  </si>
  <si>
    <t>Crescent Lake</t>
  </si>
  <si>
    <t>Vida</t>
  </si>
  <si>
    <t>Traveled / did not participate</t>
  </si>
  <si>
    <t>Traveled to attend, mis-communication on date (7/23)</t>
  </si>
  <si>
    <t>John Day</t>
  </si>
  <si>
    <t>MARC</t>
  </si>
  <si>
    <t>Traveled to attend, received cancel notice next morning</t>
  </si>
  <si>
    <t>Leadership meeting to discuss response strategy going foreward</t>
  </si>
  <si>
    <t>Pyramid</t>
  </si>
  <si>
    <t>Did not attend</t>
  </si>
  <si>
    <t>Minimal evacuations</t>
  </si>
  <si>
    <t>Adam Mountain</t>
  </si>
  <si>
    <t>No evacuations scheduled</t>
  </si>
  <si>
    <t>Short notice</t>
  </si>
  <si>
    <t>13 homes destroyed</t>
  </si>
  <si>
    <t>Virtual</t>
  </si>
  <si>
    <t>VIRTUAL - Informational Meeting</t>
  </si>
  <si>
    <t>Attended virtual event</t>
  </si>
  <si>
    <t>206 addresses in level 3 (as of 8/7)</t>
  </si>
  <si>
    <t xml:space="preserve">Short  notice.  Same day.  6+ hr. plus travel. </t>
  </si>
  <si>
    <t>no homes destroyed, level 1 evacuations</t>
  </si>
  <si>
    <t>Short notice.  Posted Saturday night at 10:15pm on Facebook, found on Monday</t>
  </si>
  <si>
    <t>Fire resource meeting</t>
  </si>
  <si>
    <t>Invited by Katie Wollstein, OSU</t>
  </si>
  <si>
    <t>Level 1 evac only.  No structures damaged</t>
  </si>
  <si>
    <t>August 16th at 6:30 pm at the Banner Bank Amphitheater in Greenwaters Park in Oakridge, OR.</t>
  </si>
  <si>
    <t>Monument</t>
  </si>
  <si>
    <t>Resource meeting planned.  Invited to attend.  Adding to itinerary on return leg of existing outreach trip (La Grande firewise panel)</t>
  </si>
  <si>
    <t>11-1pm at Monument Senior Center</t>
  </si>
  <si>
    <t>Pilot Rock</t>
  </si>
  <si>
    <t>Resource meeting planned.  DFR "welcome to attend". Sponsored by Cattlemen's association</t>
  </si>
  <si>
    <t>Sept. 3, 3:00-5:00pm at Pilot Rock City Hall</t>
  </si>
  <si>
    <t>6pm - Three Rivers Elementary Schol</t>
  </si>
  <si>
    <t>Three Rivers School | 56900 Enterprise Drive, Sunriver, OR 97707</t>
  </si>
  <si>
    <t>Seneca</t>
  </si>
  <si>
    <t>Short notice of meeting - found on Facebook</t>
  </si>
  <si>
    <t>5 p.m. today at the Izee schoolhouse, 45477 Izee-Paulina Lane Seneca, OR</t>
  </si>
  <si>
    <t>Meeting in Durkee 6-8pm</t>
  </si>
  <si>
    <t>28716 Old Highway 30 (28716 Old Highway 30, Durkee, Oregon 97905</t>
  </si>
  <si>
    <t>Meeting in Vale 7-9pm</t>
  </si>
  <si>
    <t>Richland</t>
  </si>
  <si>
    <t>Meeting in Richland 6-8pm</t>
  </si>
  <si>
    <t>42008 Moody Rd (42008 Moody Rd, Richland, Oregon 97870)</t>
  </si>
  <si>
    <t>Sun River</t>
  </si>
  <si>
    <t>Wildfire Response Summary</t>
  </si>
  <si>
    <t>Note/source (ODF data)</t>
  </si>
  <si>
    <t>https://web.archive.org/web/20201025013059/https://odfwildfire.wpengine.com/2020/10/19/final-odf-fire-report-for-2020-fire-season/</t>
  </si>
  <si>
    <t>ODEM</t>
  </si>
  <si>
    <t>ODEM report date</t>
  </si>
  <si>
    <t>Row Labels</t>
  </si>
  <si>
    <t>Active Fires</t>
  </si>
  <si>
    <t>Acres burned</t>
  </si>
  <si>
    <t>Acres burned vs. Active fires</t>
  </si>
  <si>
    <t>Agency</t>
  </si>
  <si>
    <t>ODF</t>
  </si>
  <si>
    <t xml:space="preserve">ODEM wildfire data as of </t>
  </si>
  <si>
    <t>Near Eagle Creek</t>
  </si>
  <si>
    <t>Last update 11/15 NWCC</t>
  </si>
  <si>
    <r>
      <t xml:space="preserve">Wildfire Report - by </t>
    </r>
    <r>
      <rPr>
        <b/>
        <sz val="20"/>
        <color rgb="FFC00000"/>
        <rFont val="Aptos Narrow"/>
        <family val="2"/>
        <scheme val="minor"/>
      </rPr>
      <t>County, Status, Name</t>
    </r>
  </si>
  <si>
    <r>
      <t xml:space="preserve">Wildfire Report - by </t>
    </r>
    <r>
      <rPr>
        <b/>
        <sz val="16"/>
        <color rgb="FFC00000"/>
        <rFont val="Aptos Narrow"/>
        <family val="2"/>
        <scheme val="minor"/>
      </rPr>
      <t>County, Acres, Loss</t>
    </r>
  </si>
  <si>
    <t>Last report of season (DFR)</t>
  </si>
  <si>
    <t>Zip Code</t>
  </si>
  <si>
    <t>Last evac removed 12/5</t>
  </si>
  <si>
    <t>Last update 12/6 NWCC</t>
  </si>
  <si>
    <t>Legend</t>
  </si>
  <si>
    <t>Number of Tracked Fires by Current Status</t>
  </si>
  <si>
    <t>Daily Wildfire Report</t>
  </si>
  <si>
    <r>
      <t>Wildfire Report - by</t>
    </r>
    <r>
      <rPr>
        <b/>
        <sz val="20"/>
        <color rgb="FF0070C0"/>
        <rFont val="Aptos Narrow"/>
        <family val="2"/>
        <scheme val="minor"/>
      </rPr>
      <t xml:space="preserve"> Fire Status, Name</t>
    </r>
  </si>
  <si>
    <t>Remote region, limited impact with 6 addresses in evac status (L3)</t>
  </si>
  <si>
    <t>last update 1/29 at 1:08pm</t>
  </si>
  <si>
    <t>Be    Set</t>
  </si>
  <si>
    <t>.13 acres burned</t>
  </si>
  <si>
    <t>Oregon</t>
  </si>
  <si>
    <t>State</t>
  </si>
  <si>
    <t>Ttl acres</t>
  </si>
  <si>
    <t>Homes destroyed</t>
  </si>
  <si>
    <t>combined with beachie</t>
  </si>
  <si>
    <t xml:space="preserve"> Homes destroyed:     </t>
  </si>
  <si>
    <t>~230 2nd resdiences lost</t>
  </si>
  <si>
    <t>Round up</t>
  </si>
  <si>
    <t>Source data collected from various internet reports</t>
  </si>
  <si>
    <t>Sourced from internet reports. Est.</t>
  </si>
  <si>
    <t xml:space="preserve"> M             </t>
  </si>
  <si>
    <t>https://odffire.com/</t>
  </si>
  <si>
    <t>Statewide acres burned YTD</t>
  </si>
  <si>
    <t>Sturgill</t>
  </si>
  <si>
    <t>Devils Knob Complex</t>
  </si>
  <si>
    <t>Jack</t>
  </si>
  <si>
    <t>Rouigh Patch Complex</t>
  </si>
  <si>
    <t>Acres burned and number of fires SLICER</t>
  </si>
  <si>
    <r>
      <rPr>
        <b/>
        <sz val="8"/>
        <color theme="1"/>
        <rFont val="Aptos Display"/>
        <family val="2"/>
        <scheme val="major"/>
      </rPr>
      <t>Large</t>
    </r>
    <r>
      <rPr>
        <sz val="8"/>
        <color theme="1"/>
        <rFont val="Aptos Display"/>
        <family val="2"/>
        <scheme val="major"/>
      </rPr>
      <t>=Active large fire</t>
    </r>
  </si>
  <si>
    <r>
      <rPr>
        <b/>
        <sz val="8"/>
        <color theme="1"/>
        <rFont val="Aptos Display"/>
        <family val="2"/>
        <scheme val="major"/>
      </rPr>
      <t>Cont</t>
    </r>
    <r>
      <rPr>
        <sz val="8"/>
        <color theme="1"/>
        <rFont val="Aptos Display"/>
        <family val="2"/>
        <scheme val="major"/>
      </rPr>
      <t>=Fire contained</t>
    </r>
  </si>
  <si>
    <r>
      <rPr>
        <b/>
        <sz val="10"/>
        <color theme="1"/>
        <rFont val="Aptos Display"/>
        <family val="2"/>
        <scheme val="major"/>
      </rPr>
      <t>Note</t>
    </r>
    <r>
      <rPr>
        <sz val="10"/>
        <color theme="1"/>
        <rFont val="Aptos Display"/>
        <family val="2"/>
        <scheme val="major"/>
      </rPr>
      <t xml:space="preserve">:  Acres burned value in daily report is based on fires started within </t>
    </r>
    <r>
      <rPr>
        <b/>
        <sz val="10"/>
        <color theme="1"/>
        <rFont val="Aptos Display"/>
        <family val="2"/>
        <scheme val="major"/>
      </rPr>
      <t>100 days</t>
    </r>
    <r>
      <rPr>
        <sz val="10"/>
        <color theme="1"/>
        <rFont val="Aptos Display"/>
        <family val="2"/>
        <scheme val="major"/>
      </rPr>
      <t xml:space="preserve">, consequently the total adjusts over time as older fires are removed, and new fires are reported.
A </t>
    </r>
    <r>
      <rPr>
        <b/>
        <sz val="10"/>
        <color theme="1"/>
        <rFont val="Aptos Display"/>
        <family val="2"/>
        <scheme val="major"/>
      </rPr>
      <t>Large Fire</t>
    </r>
    <r>
      <rPr>
        <sz val="10"/>
        <color theme="1"/>
        <rFont val="Aptos Display"/>
        <family val="2"/>
        <scheme val="major"/>
      </rPr>
      <t xml:space="preserve"> as defined by the </t>
    </r>
    <r>
      <rPr>
        <u/>
        <sz val="10"/>
        <color theme="1"/>
        <rFont val="Aptos Display"/>
        <family val="2"/>
        <scheme val="major"/>
      </rPr>
      <t>National Wildland Coordinating Group</t>
    </r>
    <r>
      <rPr>
        <sz val="10"/>
        <color theme="1"/>
        <rFont val="Aptos Display"/>
        <family val="2"/>
        <scheme val="major"/>
      </rPr>
      <t xml:space="preserve"> is any wildland fire in timber 100 acres or greater, and 300 acres or greater in grasslands/rangelands, or has an Incident Management Team assigned to it.</t>
    </r>
  </si>
  <si>
    <t>Butte Creek</t>
  </si>
  <si>
    <t>9 miles N of Clarno, OR</t>
  </si>
  <si>
    <t>Air Quality Monitor from OEM dashboard</t>
  </si>
  <si>
    <t xml:space="preserve">Approximate total acres burned (large fires):      </t>
  </si>
  <si>
    <t xml:space="preserve"> Wildfire damage by County</t>
  </si>
  <si>
    <t>Commercial</t>
  </si>
  <si>
    <t>Commercial_</t>
  </si>
  <si>
    <t>Other_</t>
  </si>
  <si>
    <t>Other</t>
  </si>
  <si>
    <t>Residential</t>
  </si>
  <si>
    <t>Residential_</t>
  </si>
  <si>
    <t>Euston</t>
  </si>
  <si>
    <t>North of Redmond</t>
  </si>
  <si>
    <t>Sunny Side</t>
  </si>
  <si>
    <t>Rye</t>
  </si>
  <si>
    <t>3 miles N of Lima. OR</t>
  </si>
  <si>
    <t>Rowena</t>
  </si>
  <si>
    <t>0239 NE</t>
  </si>
  <si>
    <t>Ferry</t>
  </si>
  <si>
    <t>11 miles E of Moro, OR</t>
  </si>
  <si>
    <r>
      <rPr>
        <b/>
        <sz val="8"/>
        <color theme="1"/>
        <rFont val="Aptos Display"/>
        <family val="2"/>
        <scheme val="major"/>
      </rPr>
      <t>PL</t>
    </r>
    <r>
      <rPr>
        <sz val="8"/>
        <color theme="1"/>
        <rFont val="Aptos Display"/>
        <family val="2"/>
        <scheme val="major"/>
      </rPr>
      <t>=Contained with property loss</t>
    </r>
  </si>
  <si>
    <t>PL</t>
  </si>
  <si>
    <t>Community Meeting</t>
  </si>
  <si>
    <t>7pm, The Dalles High school</t>
  </si>
  <si>
    <t>Incident team and other agencies to proviede update and resources</t>
  </si>
  <si>
    <t>Fatalities</t>
  </si>
  <si>
    <t>Pilot crashed</t>
  </si>
  <si>
    <t>Minor</t>
  </si>
  <si>
    <t>Comm.</t>
  </si>
  <si>
    <t>Resid.</t>
  </si>
  <si>
    <t>Injuries</t>
  </si>
  <si>
    <t>Fatalities.</t>
  </si>
  <si>
    <t>Injuries.</t>
  </si>
  <si>
    <t>Lev 1</t>
  </si>
  <si>
    <t>Lev 2</t>
  </si>
  <si>
    <t>Lev 3</t>
  </si>
  <si>
    <t>2.5 miles NW of The Dalles, OR</t>
  </si>
  <si>
    <t>First MARC of multiple expected events (Monday 3-6pm)</t>
  </si>
  <si>
    <t>Second MARC of multiple expected events (Wednesday 4-7pm)</t>
  </si>
  <si>
    <t>401 E. 3rd St. Ste 100 The Dalles, OR Veteran Services Office</t>
  </si>
  <si>
    <t>system updated ~noon</t>
  </si>
  <si>
    <t>Alder Springs</t>
  </si>
  <si>
    <t>Structures threatened</t>
  </si>
  <si>
    <t>Highest evac level</t>
  </si>
  <si>
    <t>Homes Destroyed</t>
  </si>
  <si>
    <t>8 miles NW of Terrebonne, OR</t>
  </si>
  <si>
    <t>last update 6/10/2025</t>
  </si>
  <si>
    <t>Wolf Hollow</t>
  </si>
  <si>
    <t>5 miles N of Warm Springs, OR</t>
  </si>
  <si>
    <t>S of La Pine, OR</t>
  </si>
  <si>
    <t>11 miles NE on Condon, OR</t>
  </si>
  <si>
    <t>Misc</t>
  </si>
  <si>
    <t>T</t>
  </si>
  <si>
    <t>TLA</t>
  </si>
  <si>
    <t>2 miles S of Ruch, OR</t>
  </si>
  <si>
    <t>Rice Road</t>
  </si>
  <si>
    <t>near Mapleton, OR</t>
  </si>
  <si>
    <t>Ferry fire removed from total (contained)</t>
  </si>
  <si>
    <t>Last report 6/26</t>
  </si>
  <si>
    <t>Last updated 6/20 by OEM</t>
  </si>
  <si>
    <r>
      <rPr>
        <b/>
        <sz val="12"/>
        <color theme="1"/>
        <rFont val="Aptos Display"/>
        <family val="2"/>
        <scheme val="major"/>
      </rPr>
      <t>Large</t>
    </r>
    <r>
      <rPr>
        <sz val="12"/>
        <color theme="1"/>
        <rFont val="Aptos Display"/>
        <family val="2"/>
        <scheme val="major"/>
      </rPr>
      <t>=Active large fire</t>
    </r>
  </si>
  <si>
    <r>
      <rPr>
        <b/>
        <sz val="12"/>
        <color theme="1"/>
        <rFont val="Aptos Display"/>
        <family val="2"/>
        <scheme val="major"/>
      </rPr>
      <t>PL</t>
    </r>
    <r>
      <rPr>
        <sz val="12"/>
        <color theme="1"/>
        <rFont val="Aptos Display"/>
        <family val="2"/>
        <scheme val="major"/>
      </rPr>
      <t>=Contained with property loss</t>
    </r>
  </si>
  <si>
    <t>RV as home</t>
  </si>
  <si>
    <t>RV/home</t>
  </si>
  <si>
    <t>Updated damage from EOC reporting, and RV as home from Jenny K/OEM</t>
  </si>
  <si>
    <t>RV_as_home</t>
  </si>
  <si>
    <t>Black Canyon</t>
  </si>
  <si>
    <t>Grizzly Flat</t>
  </si>
  <si>
    <t>Cold Springs</t>
  </si>
  <si>
    <t>Trout, OR</t>
  </si>
  <si>
    <t>15 miles E of Plush, OR</t>
  </si>
  <si>
    <t>12 miles NE of Hermiston</t>
  </si>
  <si>
    <t>12 miles NE of Prineville, OR</t>
  </si>
  <si>
    <t>Caused evacs</t>
  </si>
  <si>
    <t xml:space="preserve"> Wildfire impact by County - Acres burned (large fires)</t>
  </si>
  <si>
    <t xml:space="preserve"> Wildfire impact by County  - Acres burned (large fires), Structures destroyed</t>
  </si>
  <si>
    <t>RVH</t>
  </si>
  <si>
    <t>Last NWCC report 7/4</t>
  </si>
  <si>
    <t>SW of Dufur, OR</t>
  </si>
  <si>
    <t>1 mile SW of Warm Springs, OR</t>
  </si>
  <si>
    <t>8 miles S of Paulina, OR</t>
  </si>
  <si>
    <t>Evacs on 7/7/2025</t>
  </si>
  <si>
    <t>Sunrise</t>
  </si>
  <si>
    <t>UCD</t>
  </si>
  <si>
    <t>Elk</t>
  </si>
  <si>
    <t>Grizzly Complex</t>
  </si>
  <si>
    <t>Long Point</t>
  </si>
  <si>
    <t>Willow</t>
  </si>
  <si>
    <t>Turner Rd</t>
  </si>
  <si>
    <t>23 miles W of Ashland, OR</t>
  </si>
  <si>
    <t>Turner Rd / Gath Rd Salem, OR</t>
  </si>
  <si>
    <t>25 miles SW of Medford, OR</t>
  </si>
  <si>
    <t>Heppsie</t>
  </si>
  <si>
    <t>SE of Lakecreek, OR</t>
  </si>
  <si>
    <t>Schmore</t>
  </si>
  <si>
    <t>7 miles SW of Beatty, OR</t>
  </si>
  <si>
    <t>Evacs on 7/11</t>
  </si>
  <si>
    <t>https://www.bing.com/search?q=turner+rd+fire+in+salem+structure+damage&amp;cvid=fe8d8b759fa14174a2cffd4d38f813b4&amp;gs_lcrp=EgRlZGdlKgYIABBFGDkyBggAEEUYOTIGCAEQABhAMgYIAhAAGEAyBggDEAAYQDIGCAQQABhAMgYIBRAAGEAyBggGEAAYQDIGCAcQABhA0gEIODk5NGowajmoAgWwAgE&amp;FORM=ANAB01&amp;PC=U531</t>
  </si>
  <si>
    <t>Coyote</t>
  </si>
  <si>
    <t>Cram</t>
  </si>
  <si>
    <t>Highland</t>
  </si>
  <si>
    <t>Evacs 7/11</t>
  </si>
  <si>
    <t>Hagelstein</t>
  </si>
  <si>
    <t>Attended virtually</t>
  </si>
  <si>
    <t>Community meeting for fire information.  Streamed on Facebook</t>
  </si>
  <si>
    <t>6-6:30pm, via Facebook video</t>
  </si>
  <si>
    <r>
      <rPr>
        <b/>
        <sz val="12"/>
        <color theme="1"/>
        <rFont val="Aptos Display"/>
        <family val="2"/>
        <scheme val="major"/>
      </rPr>
      <t>Cont</t>
    </r>
    <r>
      <rPr>
        <sz val="12"/>
        <color theme="1"/>
        <rFont val="Aptos Display"/>
        <family val="2"/>
        <scheme val="major"/>
      </rPr>
      <t>=Contained. Minimal fire activity, no more reporting</t>
    </r>
  </si>
  <si>
    <t>Daybreak</t>
  </si>
  <si>
    <t>Mutual Aid 231</t>
  </si>
  <si>
    <t>Not included (focussed event)</t>
  </si>
  <si>
    <t>MARC focussed on Mass Care resources</t>
  </si>
  <si>
    <t>5pm, 7/16 at Gloris Center in The Dalles</t>
  </si>
  <si>
    <t>MARC - focussed event</t>
  </si>
  <si>
    <t>(Multiple Items)</t>
  </si>
  <si>
    <t xml:space="preserve">7/16: moved to Grizzly Complex.  </t>
  </si>
  <si>
    <t>Neil Creek Rd - in complex</t>
  </si>
  <si>
    <t>last update 7/14</t>
  </si>
  <si>
    <t>54244+22918 Cram size not updated in OEM dashboard</t>
  </si>
  <si>
    <t>Might be understated by ~12k for Cram fire.</t>
  </si>
  <si>
    <t>Board Shanty</t>
  </si>
  <si>
    <t>Black Hills</t>
  </si>
  <si>
    <t>5 miles S of Grants Pass, OR</t>
  </si>
  <si>
    <t>46 miles SW of Jordan Valley, OR</t>
  </si>
  <si>
    <t>5 miles SE of Simnasho, OR</t>
  </si>
  <si>
    <t>Greeley Heights</t>
  </si>
  <si>
    <t>1 mile SE of Warm Springs, OR</t>
  </si>
  <si>
    <t>Number of tracked (large) fires by current status</t>
  </si>
  <si>
    <t>Now includes Neil Creek Rd.  7/24- Last report on NWCC</t>
  </si>
  <si>
    <t>Little John</t>
  </si>
  <si>
    <t>8 miles W of Arock, OR</t>
  </si>
  <si>
    <t>8 miles NW of Bonanza, OR</t>
  </si>
  <si>
    <t>19 miles S of Jordan Valley, OR</t>
  </si>
  <si>
    <t>15 miles N of Madras, OR</t>
  </si>
  <si>
    <t xml:space="preserve"> 1 mile S of Prineville, OR</t>
  </si>
  <si>
    <t>13 miles N of Klamath Falls, OR</t>
  </si>
  <si>
    <t>12 miles N of Huntington, OR</t>
  </si>
  <si>
    <t>7 miles SW of Touchet, WA</t>
  </si>
  <si>
    <t>8 miles E of Spray, OR</t>
  </si>
  <si>
    <t>20 miles S of Paulina, OR</t>
  </si>
  <si>
    <t>Aver. fire size (acres)</t>
  </si>
  <si>
    <t>Statewide total acres burned and total number of wildfires</t>
  </si>
  <si>
    <t>Lost Tom</t>
  </si>
  <si>
    <t>3 miles SW of Huntington, OR</t>
  </si>
  <si>
    <t>Rock Creek</t>
  </si>
  <si>
    <t xml:space="preserve"> 12 miles SW of Jordan Valley, OR</t>
  </si>
  <si>
    <t xml:space="preserve">Lake Creek </t>
  </si>
  <si>
    <t>9 miles SE of Pilot Rock, OR</t>
  </si>
  <si>
    <r>
      <t>Acres Burned (</t>
    </r>
    <r>
      <rPr>
        <b/>
        <sz val="12"/>
        <color theme="1"/>
        <rFont val="Aptos Display"/>
        <family val="2"/>
      </rPr>
      <t>Active fires</t>
    </r>
    <r>
      <rPr>
        <sz val="12"/>
        <color theme="1"/>
        <rFont val="Aptos Display"/>
        <family val="2"/>
      </rPr>
      <t>)</t>
    </r>
  </si>
  <si>
    <r>
      <rPr>
        <b/>
        <sz val="12"/>
        <color theme="1"/>
        <rFont val="Aptos Display"/>
        <family val="2"/>
      </rPr>
      <t>Active Large</t>
    </r>
    <r>
      <rPr>
        <sz val="12"/>
        <color theme="1"/>
        <rFont val="Aptos Display"/>
        <family val="2"/>
      </rPr>
      <t xml:space="preserve"> fires</t>
    </r>
  </si>
  <si>
    <r>
      <t xml:space="preserve"> </t>
    </r>
    <r>
      <rPr>
        <b/>
        <sz val="12"/>
        <color theme="1"/>
        <rFont val="Aptos Display"/>
        <family val="2"/>
      </rPr>
      <t>Active</t>
    </r>
    <r>
      <rPr>
        <sz val="12"/>
        <color theme="1"/>
        <rFont val="Aptos Display"/>
        <family val="2"/>
      </rPr>
      <t xml:space="preserve"> fires</t>
    </r>
  </si>
  <si>
    <t>Aubrey Mountain</t>
  </si>
  <si>
    <t>E of Oakridge, OR</t>
  </si>
  <si>
    <t>Steel Road</t>
  </si>
  <si>
    <t>SE of The Dalles, OR</t>
  </si>
  <si>
    <t>Evacs on 8/8</t>
  </si>
  <si>
    <t>Duff Fire</t>
  </si>
  <si>
    <t>16 Miles E of Pendleton, OR</t>
  </si>
  <si>
    <t>Evacs on 8/8.  OEM dashboard still indicated L1 as of 8/15 (but nowhere else)</t>
  </si>
  <si>
    <t>Hooker Creek</t>
  </si>
  <si>
    <t>6 miles NE of Jordan Valley, OR</t>
  </si>
  <si>
    <t>S of Springfield, OR</t>
  </si>
  <si>
    <t>Scharen Rd</t>
  </si>
  <si>
    <t>Flat</t>
  </si>
  <si>
    <t>7 miles W of Culver, OR</t>
  </si>
  <si>
    <t>Emigrant</t>
  </si>
  <si>
    <t>McDonald</t>
  </si>
  <si>
    <t>7 miles S of Ashland, OR</t>
  </si>
  <si>
    <t xml:space="preserve">  source:  ODF Wildland Fire statistics</t>
  </si>
  <si>
    <t>Evacuations on 8/26.  Related to Wards fire in northern CA</t>
  </si>
  <si>
    <t>23 miles SE of Oakridge, OR</t>
  </si>
  <si>
    <t>Butte</t>
  </si>
  <si>
    <t>17 miles S of Rome, OR</t>
  </si>
  <si>
    <t>Juniper Canyon</t>
  </si>
  <si>
    <t>Pickens</t>
  </si>
  <si>
    <t>E of Veneta, OR</t>
  </si>
  <si>
    <t>12 miles NE of Hermiston, OR</t>
  </si>
  <si>
    <t>Evacuations on 8/29</t>
  </si>
  <si>
    <t>Dads Creek</t>
  </si>
  <si>
    <t>Evacs 9/3</t>
  </si>
  <si>
    <t>Marks Creek</t>
  </si>
  <si>
    <t>Stone</t>
  </si>
  <si>
    <t>Marley</t>
  </si>
  <si>
    <t>Bridge</t>
  </si>
  <si>
    <t>Evacs 9/4</t>
  </si>
  <si>
    <t>S of Camp Elkanah, OR</t>
  </si>
  <si>
    <t>Black Rock</t>
  </si>
  <si>
    <t>3.5 miles N of Clarno, OR</t>
  </si>
  <si>
    <t>Moon Complex</t>
  </si>
  <si>
    <t>10 miles SW of Agness, OR</t>
  </si>
  <si>
    <t>Kelsey Peak</t>
  </si>
  <si>
    <t>14 miles W of Glendale, OR</t>
  </si>
  <si>
    <t>Coombs Canyon</t>
  </si>
  <si>
    <t>Deep Creek</t>
  </si>
  <si>
    <t>7 miles SE of Maupin, OR</t>
  </si>
  <si>
    <t>McCormach</t>
  </si>
  <si>
    <t>14 miles NW of Hermiston, OR</t>
  </si>
  <si>
    <t>7 miles SW of Pendleton, OR</t>
  </si>
  <si>
    <t>9 miles NW of Long Creek, OR</t>
  </si>
  <si>
    <t>21 miles NE of Prineville, OR</t>
  </si>
  <si>
    <t>10 miles NE of Prairie City, OR</t>
  </si>
  <si>
    <t xml:space="preserve"> 5 miles W of Glendale, OR</t>
  </si>
  <si>
    <t>7 miles SE of McKenzie Bridge, OR</t>
  </si>
  <si>
    <t>Foley Ridge</t>
  </si>
  <si>
    <r>
      <rPr>
        <b/>
        <sz val="11"/>
        <color theme="1"/>
        <rFont val="Aptos Narrow"/>
        <family val="2"/>
        <scheme val="minor"/>
      </rPr>
      <t xml:space="preserve"> Wildfire Season</t>
    </r>
    <r>
      <rPr>
        <sz val="11"/>
        <color theme="1"/>
        <rFont val="Aptos Narrow"/>
        <family val="2"/>
        <scheme val="minor"/>
      </rPr>
      <t xml:space="preserve"> - Acres burned and Active Fires, by Date</t>
    </r>
  </si>
  <si>
    <t>Note: site indicated 3466 (9/15) has to be a typo. Probably 2466</t>
  </si>
  <si>
    <t>McNamee</t>
  </si>
  <si>
    <t>7 miles S of Antelope, OR</t>
  </si>
  <si>
    <t>Evacs 9/4 - level 3, no addresses impacted</t>
  </si>
  <si>
    <t>Last official daily report of 2025 wildfire season</t>
  </si>
  <si>
    <t>Knob Point</t>
  </si>
  <si>
    <t>17 miles SE of Astoria, OR</t>
  </si>
  <si>
    <t>RV/Home</t>
  </si>
  <si>
    <t>Last updated 12/30/25</t>
  </si>
  <si>
    <t xml:space="preserve">Riverview </t>
  </si>
  <si>
    <t>Near La Pine (Riverview DR)</t>
  </si>
  <si>
    <t>Cont Total</t>
  </si>
  <si>
    <t>Deschutes Total</t>
  </si>
  <si>
    <t>OEM Evacuation Information (Addresses)</t>
  </si>
  <si>
    <t>Pine Mountain</t>
  </si>
  <si>
    <t>13 miles W of Brothers, OR</t>
  </si>
  <si>
    <t>Blackwell Rd</t>
  </si>
  <si>
    <t>Wasco Total</t>
  </si>
  <si>
    <t>Jackson Total</t>
  </si>
  <si>
    <t>Tolo, OR</t>
  </si>
  <si>
    <t>5 miles S of Clarno, OR</t>
  </si>
  <si>
    <t>Gilliam County</t>
  </si>
  <si>
    <t>Gilliam Total</t>
  </si>
  <si>
    <t>Hilt</t>
  </si>
  <si>
    <t>Jackson County</t>
  </si>
  <si>
    <t>Malheur Total</t>
  </si>
  <si>
    <t>Frontage</t>
  </si>
  <si>
    <t>Baker Total</t>
  </si>
  <si>
    <t>1 mile S of Huntington, OR</t>
  </si>
  <si>
    <t>Upper Applegate Rd</t>
  </si>
  <si>
    <t>Large</t>
  </si>
  <si>
    <t>Large Total</t>
  </si>
  <si>
    <t>Old Emigrant</t>
  </si>
  <si>
    <t>Umatilla County</t>
  </si>
  <si>
    <t>Evacs triggered 6/17</t>
  </si>
  <si>
    <t>Umatilla Total</t>
  </si>
  <si>
    <t>Northwest Large Fire Map</t>
  </si>
  <si>
    <t>Cable Creek</t>
  </si>
  <si>
    <t>Lytle</t>
  </si>
  <si>
    <t>3 miles S of Vale, OR</t>
  </si>
  <si>
    <t>7 miles S of Arlington, OR</t>
  </si>
  <si>
    <t>Butterfield Spring</t>
  </si>
  <si>
    <t>7 miles NW of Ontario, OR</t>
  </si>
  <si>
    <t>Not listed in WFIGS data pull</t>
  </si>
  <si>
    <t>North Cayuse</t>
  </si>
  <si>
    <t>15 miles E of Pendleton</t>
  </si>
  <si>
    <t>1 mile N of Shaniko</t>
  </si>
  <si>
    <t>N of Redmond</t>
  </si>
  <si>
    <r>
      <rPr>
        <b/>
        <sz val="11"/>
        <color theme="1"/>
        <rFont val="Aptos Display"/>
        <family val="2"/>
        <scheme val="major"/>
      </rPr>
      <t>Note</t>
    </r>
    <r>
      <rPr>
        <sz val="11"/>
        <color theme="1"/>
        <rFont val="Aptos Display"/>
        <family val="2"/>
        <scheme val="major"/>
      </rPr>
      <t xml:space="preserve">:  Acres burned value reported by OEM is based on </t>
    </r>
    <r>
      <rPr>
        <b/>
        <sz val="11"/>
        <color theme="1"/>
        <rFont val="Aptos Display"/>
        <family val="2"/>
        <scheme val="major"/>
      </rPr>
      <t>Active</t>
    </r>
    <r>
      <rPr>
        <sz val="11"/>
        <color theme="1"/>
        <rFont val="Aptos Display"/>
        <family val="2"/>
        <scheme val="major"/>
      </rPr>
      <t xml:space="preserve"> fires, consequently the total adjusts over time.
A </t>
    </r>
    <r>
      <rPr>
        <b/>
        <sz val="11"/>
        <color theme="1"/>
        <rFont val="Aptos Display"/>
        <family val="2"/>
        <scheme val="major"/>
      </rPr>
      <t xml:space="preserve">Large </t>
    </r>
    <r>
      <rPr>
        <sz val="11"/>
        <color theme="1"/>
        <rFont val="Aptos Display"/>
        <family val="2"/>
        <scheme val="major"/>
      </rPr>
      <t xml:space="preserve">fire is any wildland fire in timber 100 acres or greater, 300 acres or greater in grasslands/rangelands, has an Incident Management Team (IMT) assigned to it, </t>
    </r>
    <r>
      <rPr>
        <b/>
        <sz val="11"/>
        <color theme="3" tint="0.249977111117893"/>
        <rFont val="Aptos Display"/>
        <family val="2"/>
        <scheme val="major"/>
      </rPr>
      <t>or triggers evacuations</t>
    </r>
    <r>
      <rPr>
        <sz val="11"/>
        <color theme="1"/>
        <rFont val="Aptos Display"/>
        <family val="2"/>
        <scheme val="major"/>
      </rPr>
      <t>.</t>
    </r>
  </si>
  <si>
    <t>Hoop</t>
  </si>
  <si>
    <t>75 miles S of Burns, OR</t>
  </si>
  <si>
    <t>Harney Total</t>
  </si>
  <si>
    <t>Whiskey</t>
  </si>
  <si>
    <t>20 miles SE of Crane, OR</t>
  </si>
  <si>
    <t>Salmon</t>
  </si>
  <si>
    <t>34 miles SW of Baker City, OR</t>
  </si>
  <si>
    <t>Anthony</t>
  </si>
  <si>
    <t>Grant Total</t>
  </si>
  <si>
    <t>5 miles W of Hutchinson, OR</t>
  </si>
  <si>
    <t>Olive Butte</t>
  </si>
  <si>
    <t>Evans Creek Rd</t>
  </si>
  <si>
    <t>14 miles NE of fRogue River, OR</t>
  </si>
  <si>
    <t>(blank)</t>
  </si>
  <si>
    <t>7/15/2026, 7:32am</t>
  </si>
  <si>
    <t>7/15/2026, 7:45am</t>
  </si>
  <si>
    <t>East Evans Creek</t>
  </si>
  <si>
    <t>6:30pm, Shady Cove school gym</t>
  </si>
  <si>
    <t xml:space="preserve"> Will be live streamed on Facebook:  facebook.com/odfsouthwest</t>
  </si>
  <si>
    <t>7:00pm, Churchill School</t>
  </si>
  <si>
    <t>Prairie City</t>
  </si>
  <si>
    <t>Streamed on Salmon Fire OR 2026 facebook page</t>
  </si>
  <si>
    <t>6pm, Prairie City High School</t>
  </si>
  <si>
    <t>13 miles S of Fossil</t>
  </si>
  <si>
    <t>Wheeler Total</t>
  </si>
  <si>
    <t>https://wfca.com/fire-map?lng=-120.5834&amp;lat=44.1849&amp;zoom=6.35</t>
  </si>
  <si>
    <t>ODEM Acres burned</t>
  </si>
  <si>
    <t>Northwest Large Fire Information Summary -fires &gt;100 acres timberland, &gt;300 acres rangelend,had IMT assigned or triggered EVACs</t>
  </si>
  <si>
    <t>Merged with Crosswhite 7/17</t>
  </si>
  <si>
    <t>12 miles NW of Terrebone, OR</t>
  </si>
  <si>
    <t>Brewer</t>
  </si>
  <si>
    <t>12 miles SE of Madras, OR</t>
  </si>
  <si>
    <t>5 mile E of Coyote Butte, OR</t>
  </si>
  <si>
    <t>5 miles S of Paulina Guard Station, OR</t>
  </si>
  <si>
    <t>Powder River</t>
  </si>
  <si>
    <t>Egypt</t>
  </si>
  <si>
    <t>13 miles N of Riley, OR</t>
  </si>
  <si>
    <t>Jefferson Total</t>
  </si>
  <si>
    <t>Crook Total</t>
  </si>
  <si>
    <t>Wallowa Total</t>
  </si>
  <si>
    <t>Horse Ridge</t>
  </si>
  <si>
    <t>0494 Akawa Butte</t>
  </si>
  <si>
    <t>0496 Crooked</t>
  </si>
  <si>
    <t>0497 Henry</t>
  </si>
  <si>
    <t>0500 Coyote</t>
  </si>
  <si>
    <t>518 Sully</t>
  </si>
  <si>
    <t>9 miles E of Arlington, OR</t>
  </si>
  <si>
    <t>Bologna</t>
  </si>
  <si>
    <t>4 miles NE of Kimberly, OR</t>
  </si>
  <si>
    <t>Burnt Creek</t>
  </si>
  <si>
    <t>9 miles Se of Lakeview, OR</t>
  </si>
  <si>
    <t>E Evans Creek Rd</t>
  </si>
  <si>
    <t>Hagen</t>
  </si>
  <si>
    <t>3 miles SW of Bingham Springs, OR</t>
  </si>
  <si>
    <t>INC 302</t>
  </si>
  <si>
    <t>6 miles SE of Kooskooskie, OR</t>
  </si>
  <si>
    <t>Loveless</t>
  </si>
  <si>
    <t>8 miles NE of Sprague River, OR</t>
  </si>
  <si>
    <t>Klamath Total</t>
  </si>
  <si>
    <t>9 miles SE of Eagle, OR</t>
  </si>
  <si>
    <t>Rowe Creek Complex</t>
  </si>
  <si>
    <t>Hay Creek Complex</t>
  </si>
  <si>
    <t>Airport</t>
  </si>
  <si>
    <t>3 mile E of Danner, OR</t>
  </si>
  <si>
    <t>Evac trigger- = large fire</t>
  </si>
  <si>
    <t>Lower Dry Creek Mutual Aid</t>
  </si>
  <si>
    <t>3 miles SW of Milton-Freewater, OR</t>
  </si>
  <si>
    <t>kept on list due to evac triger</t>
  </si>
  <si>
    <t>2 miles SE of Duncan, OR</t>
  </si>
  <si>
    <t>14 miles NE of Durkee, OR</t>
  </si>
  <si>
    <t>9 miles S of Paulina, OR</t>
  </si>
  <si>
    <t>County level = no named fire</t>
  </si>
  <si>
    <t>Cow Camp Complex</t>
  </si>
  <si>
    <t>9 miles SW of Eagle, OR</t>
  </si>
  <si>
    <t>EVAC</t>
  </si>
  <si>
    <t>EVAC Total</t>
  </si>
  <si>
    <r>
      <rPr>
        <b/>
        <sz val="12"/>
        <color theme="1"/>
        <rFont val="Aptos Display"/>
        <family val="2"/>
        <scheme val="major"/>
      </rPr>
      <t>EVAC</t>
    </r>
    <r>
      <rPr>
        <sz val="12"/>
        <color theme="1"/>
        <rFont val="Aptos Display"/>
        <family val="2"/>
        <scheme val="major"/>
      </rPr>
      <t>=Evacuations triggered, no named fire</t>
    </r>
  </si>
  <si>
    <t>2020-2026  (</t>
  </si>
  <si>
    <t>0579 Ten Mile</t>
  </si>
  <si>
    <t>2 miles NE of Gateway, OR</t>
  </si>
  <si>
    <t>0587 Shingle</t>
  </si>
  <si>
    <t>14 miles SE of Mitchell, OR</t>
  </si>
  <si>
    <t>9 miles NW of Diamond, OR</t>
  </si>
  <si>
    <t>2680 Diamond Craters</t>
  </si>
  <si>
    <t>Bench</t>
  </si>
  <si>
    <t>9 miles West of Metolius, OR</t>
  </si>
  <si>
    <t>Big Grass</t>
  </si>
  <si>
    <t>21 miles SE of Rome, OR</t>
  </si>
  <si>
    <t>Crowley</t>
  </si>
  <si>
    <t>4 miles E of Crowley, OR</t>
  </si>
  <si>
    <t>Stubble</t>
  </si>
  <si>
    <t>17 miles NW of Diamond, OR</t>
  </si>
  <si>
    <t>dropped from web report</t>
  </si>
  <si>
    <t>PL Total</t>
  </si>
  <si>
    <t>Colman Creek</t>
  </si>
  <si>
    <t>11 miles NW of Dunnean, OR</t>
  </si>
  <si>
    <t>Second Flat</t>
  </si>
  <si>
    <t>0586</t>
  </si>
  <si>
    <t>6 miles NE of Gateway, OR</t>
  </si>
  <si>
    <t>0611</t>
  </si>
  <si>
    <t>8 miles W of Dufur, OR</t>
  </si>
  <si>
    <t>8 Mile</t>
  </si>
  <si>
    <t>Bald Mountain</t>
  </si>
  <si>
    <t>10 miles W of Diamond, OR</t>
  </si>
  <si>
    <t>Beachcomb</t>
  </si>
  <si>
    <t>8 miles SW of Wartm Springs, OR</t>
  </si>
  <si>
    <t>Bob Creek</t>
  </si>
  <si>
    <t>2 miles NW of Oxbow, OR</t>
  </si>
  <si>
    <t>Castle</t>
  </si>
  <si>
    <t>Fox</t>
  </si>
  <si>
    <t>3 miles W of Fox, OR</t>
  </si>
  <si>
    <t>Hat</t>
  </si>
  <si>
    <t>9 miles SE of Venator, OR</t>
  </si>
  <si>
    <t>Jackass Butte</t>
  </si>
  <si>
    <t>15 miles W of Diamond, OR</t>
  </si>
  <si>
    <t>6 miles NE of Riley, OR</t>
  </si>
  <si>
    <t>0380 Antelope Creek</t>
  </si>
  <si>
    <t>0366 Cedar</t>
  </si>
  <si>
    <t>0384 Coyner</t>
  </si>
  <si>
    <t>0231 Zen</t>
  </si>
  <si>
    <t>0246 Rhea</t>
  </si>
  <si>
    <t>Douglas Total</t>
  </si>
  <si>
    <t>Active Fires (WF+RX)</t>
  </si>
  <si>
    <t>Active Large Fires</t>
  </si>
  <si>
    <t>Total Acres YTD (Large Fires)</t>
  </si>
  <si>
    <t>Structures Lost</t>
  </si>
  <si>
    <t>Active Evac-Triggering Fires</t>
  </si>
  <si>
    <t>Evac Addresses L1 (Be Ready)</t>
  </si>
  <si>
    <t>Evac Addresses L2 (Be Set)</t>
  </si>
  <si>
    <t>Evac Addresses L3 (Go NOW)</t>
  </si>
  <si>
    <t>As of</t>
  </si>
  <si>
    <t>Live stat boxes — mirrors the oregonwildfire.info website hero tiles. Values pull automatically from Dashboard (2) / NWCC Fire Data. Each of the 1D/7D/30D columns shows the change vs. that many days ago, with a sparkline of the last 2 / 7 / 30 logged days underneath. (Columns J onward hold the sparkline source data and are hidden — safe to ignore.)</t>
  </si>
  <si>
    <t>Metric</t>
  </si>
  <si>
    <t>Value</t>
  </si>
  <si>
    <t>1D</t>
  </si>
  <si>
    <t>7D</t>
  </si>
  <si>
    <t>30D</t>
  </si>
  <si>
    <t>Active Fires (WF + RX)</t>
  </si>
  <si>
    <t>OEM Evacuation Addresses</t>
  </si>
  <si>
    <t>Be Ready (Level 1)</t>
  </si>
  <si>
    <t>Be Set (Level 2)</t>
  </si>
  <si>
    <t>Go NOW (Level 3)</t>
  </si>
  <si>
    <t>Data sources &amp; notes:</t>
  </si>
  <si>
    <t>• Active Large Fires, Active Fires (WF+RX), and Evac Addresses L1/L2/L3 pull live from the 'Dashboard (2)' pivot-table summary — refresh that pivot (Data &gt; Refresh All) before trusting today's numbers.</t>
  </si>
  <si>
    <t>• Structures Lost and Active Evac-Triggering Fires are computed directly from 'NWCC Fire Data' (Year = the Year cell above, Status = Large/Cont/PL) — not shown elsewhere in this workbook today.</t>
  </si>
  <si>
    <t>• Total Acres YTD (Large Fires) is the NWCC large-fire total ('Dashboard (2)' Grand Total). This differs slightly from the ODEM 'Acres Burned (Active fires)' figure on Dashboard (2) — those are two different official acreage counts (NWCC large-fire YTD vs. OEM active-fire total) that update independently; a small gap between them is expected, not an error.</t>
  </si>
  <si>
    <t>• 1D/7D/30D columns compare today's live value to the 'Daily Metrics Log' tab N days back (by date). The sparkline underneath each shows the last 2 / 7 / 30 rows actually logged so far (not strictly calendar-aligned once the log has gaps) — 'Daily Metrics Log' was backfilled for 2026-06-16 through 2026-07-27 from the pipeline archive (morning_snapshots.json).</t>
  </si>
  <si>
    <t>• Starting 2026-07-28, add one new row per day to 'Daily Metrics Log' using this Summary tab's live values (same habit as the 'ODEM data' tab) so both the delta numbers and the sparklines keep updating.</t>
  </si>
  <si>
    <t>• "n/a" in a 1D/7D/30D cell means that date isn't logged yet in 'Daily Metrics Log' — not a formula error.</t>
  </si>
  <si>
    <t>Trend over prior 1 / 7 / 30 days</t>
  </si>
  <si>
    <t>Backfilled from oregon-wildfire-daily-report pipeline archive.</t>
  </si>
  <si>
    <t>Oregon Wildfire Report —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</si>
</sst>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_(* #,##0_);_(* \(#,##0\);_(* &quot;-&quot;??_);_(@_)"/>
    <numFmt numFmtId="166" formatCode="\+#,##0;\-#,##0"/>
    <numFmt numFmtId="167" formatCode="m/d/yyyy"/>
  </numFmts>
  <fonts count="75">
    <font>
      <sz val="11"/>
      <color theme="1"/>
      <name val="Aptos Narrow"/>
      <family val="2"/>
      <scheme val="minor"/>
    </font>
    <font>
      <sz val="12"/>
      <color theme="1"/>
      <name val="Aptos Narrow"/>
      <family val="2"/>
      <scheme val="minor"/>
    </font>
    <font>
      <sz val="11"/>
      <color theme="1"/>
      <name val="Aptos Narrow"/>
      <family val="2"/>
      <scheme val="minor"/>
    </font>
    <font>
      <sz val="10"/>
      <color rgb="FF363535"/>
      <name val="Arial"/>
      <family val="2"/>
    </font>
    <font>
      <u/>
      <sz val="11"/>
      <color theme="10"/>
      <name val="Aptos Narrow"/>
      <family val="2"/>
      <scheme val="minor"/>
    </font>
    <font>
      <sz val="14"/>
      <color theme="1"/>
      <name val="Aptos Display"/>
      <family val="2"/>
    </font>
    <font>
      <b/>
      <u/>
      <sz val="12"/>
      <color theme="10"/>
      <name val="Aptos Display"/>
      <family val="2"/>
    </font>
    <font>
      <b/>
      <sz val="12"/>
      <color theme="1"/>
      <name val="Aptos Display"/>
      <family val="2"/>
    </font>
    <font>
      <sz val="11"/>
      <color theme="1"/>
      <name val="Aptos Display"/>
      <family val="2"/>
    </font>
    <font>
      <b/>
      <sz val="12"/>
      <color theme="1" tint="4.9989318521683403E-2"/>
      <name val="Aptos Display"/>
      <family val="2"/>
    </font>
    <font>
      <sz val="12"/>
      <color theme="1"/>
      <name val="Aptos Display"/>
      <family val="2"/>
    </font>
    <font>
      <sz val="11"/>
      <name val="Aptos Narrow"/>
      <family val="2"/>
      <scheme val="minor"/>
    </font>
    <font>
      <sz val="18"/>
      <color theme="1"/>
      <name val="Aptos Narrow"/>
      <family val="2"/>
      <scheme val="minor"/>
    </font>
    <font>
      <sz val="14"/>
      <color theme="1"/>
      <name val="Aptos Narrow"/>
      <family val="2"/>
      <scheme val="minor"/>
    </font>
    <font>
      <b/>
      <sz val="14"/>
      <color theme="1"/>
      <name val="Aptos Narrow"/>
      <family val="2"/>
      <scheme val="minor"/>
    </font>
    <font>
      <sz val="14"/>
      <name val="Aptos Narrow"/>
      <family val="2"/>
      <scheme val="minor"/>
    </font>
    <font>
      <sz val="12"/>
      <color theme="1"/>
      <name val="Aptos Narrow"/>
      <family val="2"/>
      <scheme val="minor"/>
    </font>
    <font>
      <b/>
      <sz val="12"/>
      <color theme="0"/>
      <name val="Aptos Narrow"/>
      <family val="2"/>
      <scheme val="minor"/>
    </font>
    <font>
      <b/>
      <sz val="12"/>
      <color rgb="FF6F2F00"/>
      <name val="Aptos Display"/>
      <family val="2"/>
    </font>
    <font>
      <b/>
      <sz val="12"/>
      <color theme="1"/>
      <name val="Aptos Narrow"/>
      <family val="2"/>
      <scheme val="minor"/>
    </font>
    <font>
      <sz val="10"/>
      <color theme="1"/>
      <name val="Aptos Display"/>
      <family val="2"/>
      <scheme val="major"/>
    </font>
    <font>
      <sz val="8"/>
      <color theme="1"/>
      <name val="Aptos Display"/>
      <family val="2"/>
      <scheme val="major"/>
    </font>
    <font>
      <b/>
      <sz val="8"/>
      <color theme="1"/>
      <name val="Aptos Display"/>
      <family val="2"/>
      <scheme val="major"/>
    </font>
    <font>
      <b/>
      <sz val="11"/>
      <color theme="1"/>
      <name val="Aptos Narrow"/>
      <family val="2"/>
      <scheme val="minor"/>
    </font>
    <font>
      <sz val="9"/>
      <color theme="1"/>
      <name val="Aptos Narrow"/>
      <family val="2"/>
      <scheme val="minor"/>
    </font>
    <font>
      <sz val="12"/>
      <color rgb="FF6F2F00"/>
      <name val="Aptos Display"/>
      <family val="2"/>
    </font>
    <font>
      <sz val="9"/>
      <name val="Aptos Narrow"/>
      <family val="2"/>
      <scheme val="minor"/>
    </font>
    <font>
      <sz val="11"/>
      <color theme="7"/>
      <name val="Aptos Narrow"/>
      <family val="2"/>
      <scheme val="minor"/>
    </font>
    <font>
      <sz val="11"/>
      <color theme="1" tint="0.499984740745262"/>
      <name val="Aptos Narrow"/>
      <family val="2"/>
      <scheme val="minor"/>
    </font>
    <font>
      <b/>
      <sz val="10"/>
      <color theme="1"/>
      <name val="Aptos Display"/>
      <family val="2"/>
      <scheme val="major"/>
    </font>
    <font>
      <b/>
      <sz val="18"/>
      <color rgb="FF595959"/>
      <name val="Aptos Narrow"/>
      <family val="2"/>
      <scheme val="minor"/>
    </font>
    <font>
      <b/>
      <sz val="18"/>
      <color theme="1"/>
      <name val="Aptos Narrow"/>
      <family val="2"/>
      <scheme val="minor"/>
    </font>
    <font>
      <sz val="14"/>
      <color rgb="FF595959"/>
      <name val="Aptos Narrow"/>
      <family val="2"/>
      <scheme val="minor"/>
    </font>
    <font>
      <b/>
      <sz val="16"/>
      <color rgb="FF595959"/>
      <name val="Aptos Narrow"/>
      <family val="2"/>
      <scheme val="minor"/>
    </font>
    <font>
      <sz val="10"/>
      <name val="Arial"/>
      <family val="2"/>
    </font>
    <font>
      <sz val="20"/>
      <color theme="1"/>
      <name val="Aptos Narrow"/>
      <family val="2"/>
      <scheme val="minor"/>
    </font>
    <font>
      <b/>
      <sz val="20"/>
      <color rgb="FF0070C0"/>
      <name val="Aptos Narrow"/>
      <family val="2"/>
      <scheme val="minor"/>
    </font>
    <font>
      <b/>
      <sz val="20"/>
      <color rgb="FFC00000"/>
      <name val="Aptos Narrow"/>
      <family val="2"/>
      <scheme val="minor"/>
    </font>
    <font>
      <sz val="16"/>
      <color theme="1"/>
      <name val="Aptos Narrow"/>
      <family val="2"/>
      <scheme val="minor"/>
    </font>
    <font>
      <b/>
      <sz val="16"/>
      <color rgb="FFC00000"/>
      <name val="Aptos Narrow"/>
      <family val="2"/>
      <scheme val="minor"/>
    </font>
    <font>
      <u/>
      <sz val="10"/>
      <color theme="1"/>
      <name val="Aptos Display"/>
      <family val="2"/>
      <scheme val="major"/>
    </font>
    <font>
      <b/>
      <u/>
      <sz val="11"/>
      <color theme="10"/>
      <name val="Aptos Display"/>
      <family val="2"/>
    </font>
    <font>
      <b/>
      <u/>
      <sz val="11"/>
      <color theme="10"/>
      <name val="Aptos Display"/>
      <family val="2"/>
      <scheme val="major"/>
    </font>
    <font>
      <sz val="10"/>
      <color theme="1"/>
      <name val="Aptos Narrow"/>
      <family val="2"/>
      <scheme val="minor"/>
    </font>
    <font>
      <sz val="11"/>
      <color rgb="FFFF0000"/>
      <name val="Aptos Narrow"/>
      <family val="2"/>
      <scheme val="minor"/>
    </font>
    <font>
      <b/>
      <sz val="8"/>
      <color theme="1"/>
      <name val="Aptos Narrow"/>
      <family val="2"/>
      <scheme val="minor"/>
    </font>
    <font>
      <u/>
      <sz val="14"/>
      <color theme="10"/>
      <name val="Aptos Narrow"/>
      <family val="2"/>
      <scheme val="minor"/>
    </font>
    <font>
      <b/>
      <sz val="12"/>
      <color theme="0"/>
      <name val="Aptos Display"/>
      <family val="2"/>
    </font>
    <font>
      <sz val="11"/>
      <color theme="3" tint="0.249977111117893"/>
      <name val="Aptos Narrow"/>
      <family val="2"/>
      <scheme val="minor"/>
    </font>
    <font>
      <sz val="12"/>
      <color theme="1"/>
      <name val="Aptos Display"/>
      <family val="2"/>
      <scheme val="major"/>
    </font>
    <font>
      <b/>
      <sz val="12"/>
      <color theme="1"/>
      <name val="Aptos Display"/>
      <family val="2"/>
      <scheme val="major"/>
    </font>
    <font>
      <sz val="11"/>
      <color theme="1" tint="4.9989318521683403E-2"/>
      <name val="Aptos Narrow"/>
      <family val="2"/>
      <scheme val="minor"/>
    </font>
    <font>
      <b/>
      <sz val="14"/>
      <color theme="1" tint="4.9989318521683403E-2"/>
      <name val="Aptos Narrow"/>
      <family val="2"/>
      <scheme val="minor"/>
    </font>
    <font>
      <b/>
      <sz val="12"/>
      <name val="Aptos Narrow"/>
      <family val="2"/>
      <scheme val="minor"/>
    </font>
    <font>
      <b/>
      <sz val="14"/>
      <color theme="0"/>
      <name val="Aptos Narrow"/>
      <family val="2"/>
      <scheme val="minor"/>
    </font>
    <font>
      <sz val="18"/>
      <color rgb="FF595959"/>
      <name val="Aptos Narrow"/>
      <family val="2"/>
      <scheme val="minor"/>
    </font>
    <font>
      <sz val="11"/>
      <color theme="1"/>
      <name val="Aptos Display"/>
      <family val="2"/>
      <scheme val="major"/>
    </font>
    <font>
      <b/>
      <sz val="11"/>
      <color theme="1"/>
      <name val="Aptos Display"/>
      <family val="2"/>
      <scheme val="major"/>
    </font>
    <font>
      <b/>
      <sz val="11"/>
      <color theme="3" tint="0.249977111117893"/>
      <name val="Aptos Display"/>
      <family val="2"/>
      <scheme val="major"/>
    </font>
    <font>
      <b/>
      <sz val="11"/>
      <color theme="1" tint="4.9989318521683403E-2"/>
      <name val="Aptos Display"/>
      <family val="2"/>
    </font>
    <font>
      <sz val="11"/>
      <color rgb="FF000000"/>
      <name val="Aptos Narrow"/>
      <family val="2"/>
    </font>
    <font>
      <sz val="11"/>
      <color theme="1"/>
      <name val="Aptos Narrow"/>
      <family val="2"/>
      <scheme val="minor"/>
    </font>
    <font>
      <b/>
      <sz val="11"/>
      <name val="Aptos Narrow"/>
    </font>
    <font>
      <sz val="20"/>
      <name val="Aptos Narrow"/>
    </font>
    <font>
      <sz val="11"/>
      <name val="Aptos Narrow"/>
    </font>
    <font>
      <sz val="12"/>
      <name val="Aptos Narrow"/>
    </font>
    <font>
      <b/>
      <sz val="14"/>
      <name val="Aptos Display"/>
    </font>
    <font>
      <sz val="14"/>
      <name val="Aptos Narrow"/>
    </font>
    <font>
      <b/>
      <sz val="16"/>
      <color theme="1"/>
      <name val="Aptos Narrow"/>
      <scheme val="minor"/>
    </font>
    <font>
      <b/>
      <sz val="16"/>
      <name val="Aptos Display"/>
    </font>
    <font>
      <sz val="16"/>
      <name val="Aptos Display"/>
    </font>
    <font>
      <sz val="16"/>
      <name val="Aptos Narrow"/>
    </font>
    <font>
      <b/>
      <sz val="16"/>
      <color theme="1"/>
      <name val="Aptos Narrow"/>
      <family val="2"/>
      <scheme val="minor"/>
    </font>
    <font>
      <sz val="16"/>
      <color theme="0"/>
      <name val="Aptos Display"/>
    </font>
    <font>
      <b/>
      <sz val="16"/>
      <color theme="0"/>
      <name val="Aptos Display"/>
    </font>
  </fonts>
  <fills count="27">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7C80"/>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rgb="FFC5D3FF"/>
        <bgColor indexed="64"/>
      </patternFill>
    </fill>
    <fill>
      <patternFill patternType="solid">
        <fgColor theme="2"/>
        <bgColor indexed="64"/>
      </patternFill>
    </fill>
    <fill>
      <patternFill patternType="solid">
        <fgColor rgb="FFFFC000"/>
        <bgColor indexed="64"/>
      </patternFill>
    </fill>
    <fill>
      <patternFill patternType="solid">
        <fgColor theme="1"/>
        <bgColor indexed="64"/>
      </patternFill>
    </fill>
    <fill>
      <patternFill patternType="solid">
        <fgColor rgb="FFFFFFCC"/>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8" tint="-0.249977111117893"/>
        <bgColor indexed="64"/>
      </patternFill>
    </fill>
    <fill>
      <patternFill patternType="solid">
        <fgColor theme="1" tint="0.34998626667073579"/>
        <bgColor indexed="64"/>
      </patternFill>
    </fill>
    <fill>
      <patternFill patternType="solid">
        <fgColor theme="7" tint="0.79998168889431442"/>
        <bgColor indexed="64"/>
      </patternFill>
    </fill>
    <fill>
      <patternFill patternType="solid">
        <fgColor theme="7"/>
        <bgColor indexed="64"/>
      </patternFill>
    </fill>
    <fill>
      <patternFill patternType="solid">
        <fgColor rgb="FFFFFF99"/>
        <bgColor indexed="64"/>
      </patternFill>
    </fill>
    <fill>
      <patternFill patternType="solid">
        <fgColor theme="7" tint="0.59999389629810485"/>
        <bgColor indexed="64"/>
      </patternFill>
    </fill>
    <fill>
      <patternFill patternType="none"/>
    </fill>
    <fill>
      <patternFill patternType="solid">
        <fgColor rgb="FFFFFFCC"/>
      </patternFill>
    </fill>
    <fill>
      <patternFill patternType="solid">
        <fgColor rgb="FFFF6600"/>
        <bgColor indexed="64"/>
      </patternFill>
    </fill>
    <fill>
      <patternFill patternType="solid">
        <fgColor theme="6" tint="0.59999389629810485"/>
        <bgColor indexed="64"/>
      </patternFill>
    </fill>
    <fill>
      <patternFill patternType="solid">
        <fgColor theme="4" tint="0.79998168889431442"/>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medium">
        <color indexed="64"/>
      </right>
      <top/>
      <bottom style="thin">
        <color indexed="64"/>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medium">
        <color indexed="64"/>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4">
    <xf numFmtId="0" fontId="0" fillId="0" borderId="0"/>
    <xf numFmtId="43" fontId="2" fillId="0" borderId="0" applyFont="0" applyFill="0" applyBorder="0" applyAlignment="0" applyProtection="0"/>
    <xf numFmtId="9" fontId="2" fillId="0" borderId="0" applyFont="0" applyFill="0" applyBorder="0" applyAlignment="0" applyProtection="0"/>
    <xf numFmtId="0" fontId="4" fillId="0" borderId="0" applyNumberFormat="0" applyFill="0" applyBorder="0" applyAlignment="0" applyProtection="0"/>
  </cellStyleXfs>
  <cellXfs count="352">
    <xf numFmtId="0" fontId="0" fillId="0" borderId="0" xfId="0"/>
    <xf numFmtId="0" fontId="7" fillId="0" borderId="20" xfId="0" applyFont="1" applyBorder="1" applyAlignment="1">
      <alignment horizontal="center" vertical="center"/>
    </xf>
    <xf numFmtId="0" fontId="7" fillId="0" borderId="20" xfId="0" applyFont="1" applyBorder="1" applyAlignment="1">
      <alignment horizontal="center" vertical="center" wrapText="1"/>
    </xf>
    <xf numFmtId="0" fontId="7" fillId="2" borderId="20" xfId="0" applyFont="1" applyFill="1" applyBorder="1" applyAlignment="1">
      <alignment horizontal="center" vertical="center" wrapText="1"/>
    </xf>
    <xf numFmtId="0" fontId="7" fillId="3" borderId="20" xfId="0" applyFont="1" applyFill="1" applyBorder="1" applyAlignment="1">
      <alignment horizontal="center" vertical="center" wrapText="1"/>
    </xf>
    <xf numFmtId="0" fontId="7" fillId="4" borderId="20" xfId="0" applyFont="1" applyFill="1" applyBorder="1" applyAlignment="1">
      <alignment horizontal="center" vertical="center" wrapText="1"/>
    </xf>
    <xf numFmtId="0" fontId="7" fillId="5" borderId="20" xfId="0" applyFont="1" applyFill="1" applyBorder="1" applyAlignment="1">
      <alignment horizontal="center" vertical="center" textRotation="90"/>
    </xf>
    <xf numFmtId="0" fontId="7" fillId="6" borderId="20" xfId="0" applyFont="1" applyFill="1" applyBorder="1" applyAlignment="1">
      <alignment horizontal="center" vertical="center" textRotation="90"/>
    </xf>
    <xf numFmtId="0" fontId="7" fillId="0" borderId="10" xfId="0" applyFont="1" applyBorder="1" applyAlignment="1">
      <alignment horizontal="center" vertical="center" wrapText="1"/>
    </xf>
    <xf numFmtId="0" fontId="7" fillId="5" borderId="5" xfId="0" applyFont="1" applyFill="1" applyBorder="1" applyAlignment="1">
      <alignment horizontal="center" vertical="center" textRotation="90"/>
    </xf>
    <xf numFmtId="0" fontId="7" fillId="6" borderId="5" xfId="0" applyFont="1" applyFill="1" applyBorder="1" applyAlignment="1">
      <alignment horizontal="center" vertical="center" textRotation="90"/>
    </xf>
    <xf numFmtId="3" fontId="0" fillId="0" borderId="0" xfId="0" applyNumberFormat="1"/>
    <xf numFmtId="0" fontId="0" fillId="0" borderId="0" xfId="0" applyAlignment="1">
      <alignment horizontal="center"/>
    </xf>
    <xf numFmtId="0" fontId="12" fillId="0" borderId="0" xfId="0" applyFont="1"/>
    <xf numFmtId="9" fontId="0" fillId="0" borderId="0" xfId="2" applyFont="1" applyAlignment="1">
      <alignment horizontal="center"/>
    </xf>
    <xf numFmtId="0" fontId="0" fillId="0" borderId="0" xfId="0" applyProtection="1">
      <protection locked="0"/>
    </xf>
    <xf numFmtId="0" fontId="0" fillId="9" borderId="1" xfId="0" applyFill="1" applyBorder="1" applyProtection="1">
      <protection locked="0"/>
    </xf>
    <xf numFmtId="0" fontId="3" fillId="0" borderId="1" xfId="0" applyFont="1" applyBorder="1" applyAlignment="1" applyProtection="1">
      <alignment vertical="top" wrapText="1" indent="1"/>
      <protection locked="0"/>
    </xf>
    <xf numFmtId="0" fontId="3" fillId="0" borderId="1" xfId="0" applyFont="1" applyBorder="1" applyAlignment="1" applyProtection="1">
      <alignment vertical="top" wrapText="1"/>
      <protection locked="0"/>
    </xf>
    <xf numFmtId="3" fontId="3" fillId="0" borderId="1" xfId="0" applyNumberFormat="1" applyFont="1" applyBorder="1" applyAlignment="1" applyProtection="1">
      <alignment vertical="top" wrapText="1" indent="1"/>
      <protection locked="0"/>
    </xf>
    <xf numFmtId="43" fontId="7" fillId="0" borderId="20" xfId="1" applyFont="1" applyBorder="1" applyAlignment="1" applyProtection="1">
      <alignment horizontal="center" vertical="center"/>
    </xf>
    <xf numFmtId="0" fontId="5" fillId="0" borderId="1" xfId="0" applyFont="1" applyBorder="1" applyAlignment="1" applyProtection="1">
      <alignment vertical="center"/>
      <protection locked="0"/>
    </xf>
    <xf numFmtId="164" fontId="5" fillId="0" borderId="1" xfId="1" applyNumberFormat="1" applyFont="1" applyFill="1" applyBorder="1" applyAlignment="1" applyProtection="1">
      <alignment vertical="center"/>
      <protection locked="0"/>
    </xf>
    <xf numFmtId="9" fontId="5" fillId="0" borderId="1" xfId="2" applyFont="1" applyFill="1" applyBorder="1" applyAlignment="1" applyProtection="1">
      <alignment horizontal="center" vertical="center"/>
      <protection locked="0"/>
    </xf>
    <xf numFmtId="0" fontId="10" fillId="0" borderId="1" xfId="0" applyFont="1" applyBorder="1" applyAlignment="1" applyProtection="1">
      <alignment vertical="center"/>
      <protection locked="0"/>
    </xf>
    <xf numFmtId="0" fontId="5" fillId="0" borderId="1" xfId="0" applyFont="1" applyBorder="1" applyAlignment="1" applyProtection="1">
      <alignment horizontal="center" vertical="center"/>
      <protection locked="0"/>
    </xf>
    <xf numFmtId="0" fontId="11" fillId="2" borderId="0" xfId="0" applyFont="1" applyFill="1" applyAlignment="1">
      <alignment horizontal="center"/>
    </xf>
    <xf numFmtId="0" fontId="11" fillId="3" borderId="0" xfId="0" applyFont="1" applyFill="1" applyAlignment="1">
      <alignment horizontal="center"/>
    </xf>
    <xf numFmtId="0" fontId="11" fillId="4" borderId="0" xfId="0" applyFont="1" applyFill="1" applyAlignment="1">
      <alignment horizontal="center"/>
    </xf>
    <xf numFmtId="0" fontId="11" fillId="5" borderId="0" xfId="0" applyFont="1" applyFill="1" applyAlignment="1">
      <alignment horizontal="center" textRotation="90"/>
    </xf>
    <xf numFmtId="0" fontId="11" fillId="4" borderId="0" xfId="0" applyFont="1" applyFill="1" applyAlignment="1">
      <alignment horizontal="center" textRotation="90"/>
    </xf>
    <xf numFmtId="0" fontId="0" fillId="0" borderId="0" xfId="0" pivotButton="1"/>
    <xf numFmtId="0" fontId="0" fillId="2" borderId="0" xfId="0" applyFill="1"/>
    <xf numFmtId="0" fontId="0" fillId="3" borderId="0" xfId="0" applyFill="1"/>
    <xf numFmtId="0" fontId="0" fillId="4" borderId="0" xfId="0" applyFill="1"/>
    <xf numFmtId="0" fontId="0" fillId="5" borderId="0" xfId="0" applyFill="1"/>
    <xf numFmtId="0" fontId="0" fillId="0" borderId="0" xfId="0" pivotButton="1" applyAlignment="1">
      <alignment wrapText="1"/>
    </xf>
    <xf numFmtId="9" fontId="0" fillId="0" borderId="0" xfId="0" pivotButton="1" applyNumberFormat="1" applyAlignment="1">
      <alignment wrapText="1"/>
    </xf>
    <xf numFmtId="9" fontId="0" fillId="0" borderId="0" xfId="0" applyNumberFormat="1" applyAlignment="1">
      <alignment wrapText="1"/>
    </xf>
    <xf numFmtId="0" fontId="0" fillId="0" borderId="0" xfId="0" applyAlignment="1">
      <alignment horizontal="left"/>
    </xf>
    <xf numFmtId="0" fontId="0" fillId="0" borderId="1" xfId="0" applyBorder="1" applyAlignment="1">
      <alignment horizontal="center" wrapText="1"/>
    </xf>
    <xf numFmtId="14" fontId="0" fillId="12" borderId="1" xfId="0" applyNumberFormat="1" applyFill="1" applyBorder="1" applyAlignment="1">
      <alignment horizontal="center" wrapText="1"/>
    </xf>
    <xf numFmtId="0" fontId="0" fillId="12" borderId="1" xfId="0" applyFill="1" applyBorder="1" applyAlignment="1">
      <alignment horizontal="center" wrapText="1"/>
    </xf>
    <xf numFmtId="0" fontId="0" fillId="0" borderId="1" xfId="0" applyBorder="1"/>
    <xf numFmtId="14" fontId="0" fillId="12" borderId="1" xfId="0" applyNumberFormat="1" applyFill="1" applyBorder="1" applyAlignment="1">
      <alignment horizontal="center"/>
    </xf>
    <xf numFmtId="0" fontId="23" fillId="0" borderId="27" xfId="0" applyFont="1" applyBorder="1" applyAlignment="1">
      <alignment horizontal="center" wrapText="1"/>
    </xf>
    <xf numFmtId="0" fontId="0" fillId="0" borderId="1" xfId="0" applyBorder="1" applyAlignment="1">
      <alignment horizontal="center"/>
    </xf>
    <xf numFmtId="0" fontId="0" fillId="13" borderId="1" xfId="0" applyFill="1" applyBorder="1" applyAlignment="1">
      <alignment wrapText="1"/>
    </xf>
    <xf numFmtId="0" fontId="0" fillId="13" borderId="1" xfId="0" applyFill="1" applyBorder="1"/>
    <xf numFmtId="164" fontId="0" fillId="12" borderId="1" xfId="1" applyNumberFormat="1" applyFont="1" applyFill="1" applyBorder="1" applyAlignment="1">
      <alignment wrapText="1"/>
    </xf>
    <xf numFmtId="164" fontId="0" fillId="12" borderId="1" xfId="1" applyNumberFormat="1" applyFont="1" applyFill="1" applyBorder="1" applyAlignment="1"/>
    <xf numFmtId="164" fontId="0" fillId="13" borderId="1" xfId="1" applyNumberFormat="1" applyFont="1" applyFill="1" applyBorder="1" applyAlignment="1">
      <alignment wrapText="1"/>
    </xf>
    <xf numFmtId="164" fontId="0" fillId="13" borderId="1" xfId="1" applyNumberFormat="1" applyFont="1" applyFill="1" applyBorder="1" applyAlignment="1"/>
    <xf numFmtId="0" fontId="23" fillId="14" borderId="28" xfId="0" applyFont="1" applyFill="1" applyBorder="1" applyAlignment="1">
      <alignment horizontal="center" wrapText="1"/>
    </xf>
    <xf numFmtId="0" fontId="0" fillId="14" borderId="1" xfId="0" applyFill="1" applyBorder="1" applyAlignment="1">
      <alignment horizontal="center"/>
    </xf>
    <xf numFmtId="0" fontId="0" fillId="12" borderId="1" xfId="0" applyFill="1" applyBorder="1" applyAlignment="1">
      <alignment horizontal="center"/>
    </xf>
    <xf numFmtId="0" fontId="0" fillId="0" borderId="23" xfId="0" applyBorder="1"/>
    <xf numFmtId="0" fontId="24" fillId="0" borderId="3" xfId="0" applyFont="1" applyBorder="1" applyAlignment="1">
      <alignment horizontal="center"/>
    </xf>
    <xf numFmtId="0" fontId="0" fillId="0" borderId="2" xfId="0" applyBorder="1" applyAlignment="1">
      <alignment horizontal="center"/>
    </xf>
    <xf numFmtId="14" fontId="0" fillId="12" borderId="2" xfId="0" applyNumberFormat="1" applyFill="1" applyBorder="1" applyAlignment="1">
      <alignment horizontal="center"/>
    </xf>
    <xf numFmtId="0" fontId="0" fillId="12" borderId="2" xfId="0" applyFill="1" applyBorder="1" applyAlignment="1">
      <alignment horizontal="center"/>
    </xf>
    <xf numFmtId="164" fontId="0" fillId="12" borderId="2" xfId="1" applyNumberFormat="1" applyFont="1" applyFill="1" applyBorder="1" applyAlignment="1"/>
    <xf numFmtId="0" fontId="0" fillId="13" borderId="2" xfId="0" applyFill="1" applyBorder="1"/>
    <xf numFmtId="164" fontId="0" fillId="13" borderId="2" xfId="1" applyNumberFormat="1" applyFont="1" applyFill="1" applyBorder="1" applyAlignment="1"/>
    <xf numFmtId="3" fontId="23" fillId="14" borderId="28" xfId="1" applyNumberFormat="1" applyFont="1" applyFill="1" applyBorder="1" applyAlignment="1">
      <alignment horizontal="center" wrapText="1"/>
    </xf>
    <xf numFmtId="3" fontId="0" fillId="14" borderId="1" xfId="1" applyNumberFormat="1" applyFont="1" applyFill="1" applyBorder="1" applyAlignment="1">
      <alignment horizontal="center"/>
    </xf>
    <xf numFmtId="0" fontId="4" fillId="0" borderId="0" xfId="3" applyFill="1"/>
    <xf numFmtId="9" fontId="0" fillId="0" borderId="0" xfId="2" applyFont="1" applyAlignment="1" applyProtection="1">
      <alignment horizontal="center"/>
    </xf>
    <xf numFmtId="0" fontId="6" fillId="0" borderId="0" xfId="3" applyFont="1" applyAlignment="1" applyProtection="1">
      <alignment horizontal="left"/>
    </xf>
    <xf numFmtId="0" fontId="7" fillId="0" borderId="9" xfId="0" applyFont="1" applyBorder="1" applyAlignment="1">
      <alignment horizontal="right" vertical="center"/>
    </xf>
    <xf numFmtId="0" fontId="7" fillId="0" borderId="10" xfId="0" applyFont="1" applyBorder="1" applyAlignment="1">
      <alignment horizontal="center" vertical="center"/>
    </xf>
    <xf numFmtId="0" fontId="7" fillId="0" borderId="11" xfId="0" applyFont="1" applyBorder="1" applyAlignment="1">
      <alignment horizontal="right" vertical="center" wrapText="1"/>
    </xf>
    <xf numFmtId="0" fontId="7" fillId="12" borderId="13" xfId="0" applyFont="1" applyFill="1" applyBorder="1" applyAlignment="1">
      <alignment horizontal="right" vertical="center"/>
    </xf>
    <xf numFmtId="0" fontId="7" fillId="12" borderId="14" xfId="0" applyFont="1" applyFill="1" applyBorder="1" applyAlignment="1">
      <alignment horizontal="center" vertical="center"/>
    </xf>
    <xf numFmtId="9" fontId="0" fillId="0" borderId="0" xfId="2" applyFont="1" applyBorder="1" applyAlignment="1" applyProtection="1">
      <alignment horizontal="center"/>
    </xf>
    <xf numFmtId="0" fontId="13" fillId="0" borderId="0" xfId="0" applyFont="1" applyAlignment="1">
      <alignment horizontal="center"/>
    </xf>
    <xf numFmtId="0" fontId="14" fillId="0" borderId="0" xfId="0" applyFont="1" applyAlignment="1">
      <alignment horizontal="center" vertical="center"/>
    </xf>
    <xf numFmtId="0" fontId="16" fillId="0" borderId="0" xfId="0" applyFont="1" applyAlignment="1">
      <alignment horizontal="center"/>
    </xf>
    <xf numFmtId="0" fontId="0" fillId="11" borderId="4" xfId="0" applyFill="1" applyBorder="1" applyAlignment="1">
      <alignment horizontal="center"/>
    </xf>
    <xf numFmtId="0" fontId="7" fillId="8" borderId="21" xfId="0" applyFont="1" applyFill="1" applyBorder="1" applyAlignment="1">
      <alignment horizontal="center"/>
    </xf>
    <xf numFmtId="14" fontId="18" fillId="10" borderId="16" xfId="0" applyNumberFormat="1" applyFont="1" applyFill="1" applyBorder="1" applyAlignment="1">
      <alignment horizontal="center"/>
    </xf>
    <xf numFmtId="0" fontId="7" fillId="7" borderId="11" xfId="0" applyFont="1" applyFill="1" applyBorder="1"/>
    <xf numFmtId="164" fontId="10" fillId="8" borderId="1" xfId="1" applyNumberFormat="1" applyFont="1" applyFill="1" applyBorder="1" applyAlignment="1" applyProtection="1">
      <alignment horizontal="right"/>
    </xf>
    <xf numFmtId="0" fontId="7" fillId="7" borderId="13" xfId="0" applyFont="1" applyFill="1" applyBorder="1"/>
    <xf numFmtId="164" fontId="10" fillId="8" borderId="7" xfId="1" applyNumberFormat="1" applyFont="1" applyFill="1" applyBorder="1" applyAlignment="1" applyProtection="1">
      <alignment horizontal="right"/>
    </xf>
    <xf numFmtId="164" fontId="0" fillId="0" borderId="0" xfId="0" applyNumberFormat="1" applyAlignment="1">
      <alignment horizontal="center"/>
    </xf>
    <xf numFmtId="10" fontId="0" fillId="0" borderId="0" xfId="2" applyNumberFormat="1" applyFont="1" applyAlignment="1" applyProtection="1">
      <alignment horizontal="center"/>
    </xf>
    <xf numFmtId="164" fontId="25" fillId="10" borderId="12" xfId="1" applyNumberFormat="1" applyFont="1" applyFill="1" applyBorder="1" applyAlignment="1" applyProtection="1">
      <alignment horizontal="right"/>
    </xf>
    <xf numFmtId="164" fontId="25" fillId="10" borderId="14" xfId="1" applyNumberFormat="1" applyFont="1" applyFill="1" applyBorder="1" applyAlignment="1" applyProtection="1">
      <alignment horizontal="right"/>
    </xf>
    <xf numFmtId="0" fontId="27" fillId="0" borderId="0" xfId="0" pivotButton="1" applyFont="1"/>
    <xf numFmtId="0" fontId="28" fillId="0" borderId="0" xfId="0" pivotButton="1" applyFont="1"/>
    <xf numFmtId="0" fontId="30" fillId="0" borderId="0" xfId="0" applyFont="1" applyAlignment="1">
      <alignment horizontal="center" vertical="center" readingOrder="1"/>
    </xf>
    <xf numFmtId="0" fontId="31" fillId="0" borderId="0" xfId="0" applyFont="1"/>
    <xf numFmtId="0" fontId="32" fillId="0" borderId="0" xfId="0" applyFont="1" applyAlignment="1">
      <alignment horizontal="center" vertical="center" readingOrder="1"/>
    </xf>
    <xf numFmtId="0" fontId="33" fillId="0" borderId="0" xfId="0" applyFont="1" applyAlignment="1">
      <alignment horizontal="left" vertical="center" readingOrder="1"/>
    </xf>
    <xf numFmtId="0" fontId="32" fillId="0" borderId="0" xfId="0" applyFont="1" applyAlignment="1">
      <alignment horizontal="left" vertical="center" readingOrder="1"/>
    </xf>
    <xf numFmtId="0" fontId="0" fillId="0" borderId="0" xfId="0" applyAlignment="1">
      <alignment wrapText="1"/>
    </xf>
    <xf numFmtId="0" fontId="14" fillId="0" borderId="0" xfId="0" applyFont="1"/>
    <xf numFmtId="0" fontId="0" fillId="0" borderId="0" xfId="0" applyAlignment="1">
      <alignment horizontal="center" vertical="center"/>
    </xf>
    <xf numFmtId="0" fontId="23" fillId="0" borderId="1" xfId="0" applyFont="1" applyBorder="1"/>
    <xf numFmtId="0" fontId="23" fillId="0" borderId="1" xfId="0" applyFont="1" applyBorder="1" applyAlignment="1">
      <alignment horizontal="center" vertical="center" textRotation="66"/>
    </xf>
    <xf numFmtId="0" fontId="23" fillId="0" borderId="0" xfId="0" applyFont="1" applyAlignment="1">
      <alignment wrapText="1"/>
    </xf>
    <xf numFmtId="14" fontId="0" fillId="0" borderId="1" xfId="0" applyNumberFormat="1" applyBorder="1" applyAlignment="1">
      <alignment horizontal="center"/>
    </xf>
    <xf numFmtId="0" fontId="0" fillId="0" borderId="1" xfId="0" applyBorder="1" applyAlignment="1">
      <alignment wrapText="1"/>
    </xf>
    <xf numFmtId="14" fontId="0" fillId="13" borderId="1" xfId="0" applyNumberFormat="1" applyFill="1" applyBorder="1" applyAlignment="1">
      <alignment horizontal="center"/>
    </xf>
    <xf numFmtId="0" fontId="0" fillId="13" borderId="1" xfId="0" applyFill="1" applyBorder="1" applyAlignment="1">
      <alignment horizontal="center"/>
    </xf>
    <xf numFmtId="0" fontId="0" fillId="0" borderId="1" xfId="0" applyBorder="1" applyAlignment="1">
      <alignment horizontal="left"/>
    </xf>
    <xf numFmtId="14" fontId="0" fillId="0" borderId="1" xfId="0" applyNumberFormat="1" applyBorder="1"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vertical="center" wrapText="1"/>
    </xf>
    <xf numFmtId="0" fontId="0" fillId="0" borderId="0" xfId="0" applyAlignment="1">
      <alignment vertical="center"/>
    </xf>
    <xf numFmtId="0" fontId="34" fillId="0" borderId="1" xfId="0" applyFont="1" applyBorder="1" applyAlignment="1">
      <alignment wrapText="1"/>
    </xf>
    <xf numFmtId="0" fontId="23" fillId="0" borderId="0" xfId="0" applyFont="1"/>
    <xf numFmtId="0" fontId="23" fillId="0" borderId="30" xfId="0" applyFont="1" applyBorder="1" applyAlignment="1">
      <alignment horizontal="center" wrapText="1"/>
    </xf>
    <xf numFmtId="14" fontId="23" fillId="0" borderId="30" xfId="0" applyNumberFormat="1" applyFont="1" applyBorder="1" applyAlignment="1">
      <alignment horizontal="center" wrapText="1"/>
    </xf>
    <xf numFmtId="14" fontId="0" fillId="0" borderId="0" xfId="0" applyNumberFormat="1"/>
    <xf numFmtId="0" fontId="0" fillId="0" borderId="0" xfId="0" applyAlignment="1">
      <alignment horizontal="center" wrapText="1"/>
    </xf>
    <xf numFmtId="0" fontId="16" fillId="0" borderId="0" xfId="0" applyFont="1"/>
    <xf numFmtId="0" fontId="4" fillId="0" borderId="0" xfId="3" applyBorder="1"/>
    <xf numFmtId="0" fontId="35" fillId="0" borderId="0" xfId="0" applyFont="1"/>
    <xf numFmtId="0" fontId="6" fillId="0" borderId="21" xfId="3" applyFont="1" applyBorder="1" applyProtection="1"/>
    <xf numFmtId="9" fontId="0" fillId="0" borderId="22" xfId="2" applyFont="1" applyBorder="1" applyAlignment="1">
      <alignment horizontal="center"/>
    </xf>
    <xf numFmtId="0" fontId="23" fillId="0" borderId="1" xfId="0" applyFont="1" applyBorder="1" applyAlignment="1">
      <alignment horizontal="center"/>
    </xf>
    <xf numFmtId="0" fontId="38" fillId="0" borderId="0" xfId="0" applyFont="1"/>
    <xf numFmtId="0" fontId="8" fillId="0" borderId="5" xfId="0" applyFont="1" applyBorder="1" applyAlignment="1">
      <alignment horizontal="center"/>
    </xf>
    <xf numFmtId="14" fontId="9" fillId="0" borderId="6" xfId="0" applyNumberFormat="1" applyFont="1" applyBorder="1" applyAlignment="1">
      <alignment horizontal="center"/>
    </xf>
    <xf numFmtId="0" fontId="41" fillId="0" borderId="4" xfId="3" applyFont="1" applyFill="1" applyBorder="1" applyAlignment="1" applyProtection="1">
      <alignment horizontal="left"/>
    </xf>
    <xf numFmtId="0" fontId="35" fillId="0" borderId="4" xfId="0" applyFont="1" applyBorder="1"/>
    <xf numFmtId="0" fontId="0" fillId="0" borderId="17" xfId="0" applyBorder="1"/>
    <xf numFmtId="0" fontId="0" fillId="0" borderId="8" xfId="0" applyBorder="1"/>
    <xf numFmtId="0" fontId="0" fillId="0" borderId="18" xfId="0" applyBorder="1"/>
    <xf numFmtId="14" fontId="23" fillId="0" borderId="0" xfId="2" applyNumberFormat="1" applyFont="1" applyFill="1" applyBorder="1" applyAlignment="1">
      <alignment horizontal="center"/>
    </xf>
    <xf numFmtId="0" fontId="42" fillId="0" borderId="0" xfId="3" applyFont="1" applyFill="1" applyBorder="1" applyAlignment="1">
      <alignment horizontal="left"/>
    </xf>
    <xf numFmtId="0" fontId="43" fillId="0" borderId="0" xfId="0" applyFont="1" applyProtection="1">
      <protection locked="0"/>
    </xf>
    <xf numFmtId="164" fontId="0" fillId="0" borderId="1" xfId="1" applyNumberFormat="1" applyFont="1" applyBorder="1"/>
    <xf numFmtId="164" fontId="0" fillId="0" borderId="0" xfId="1" applyNumberFormat="1" applyFont="1" applyFill="1" applyBorder="1"/>
    <xf numFmtId="0" fontId="3" fillId="0" borderId="0" xfId="0" applyFont="1" applyAlignment="1" applyProtection="1">
      <alignment vertical="top" wrapText="1" indent="1"/>
      <protection locked="0"/>
    </xf>
    <xf numFmtId="43" fontId="0" fillId="0" borderId="0" xfId="0" applyNumberFormat="1"/>
    <xf numFmtId="0" fontId="44" fillId="0" borderId="0" xfId="0" applyFont="1"/>
    <xf numFmtId="0" fontId="43" fillId="0" borderId="0" xfId="0" applyFont="1" applyAlignment="1">
      <alignment horizontal="center" vertical="center"/>
    </xf>
    <xf numFmtId="164" fontId="0" fillId="0" borderId="1" xfId="1" applyNumberFormat="1" applyFont="1" applyBorder="1" applyAlignment="1">
      <alignment horizontal="center"/>
    </xf>
    <xf numFmtId="0" fontId="21" fillId="0" borderId="0" xfId="0" applyFont="1"/>
    <xf numFmtId="0" fontId="7" fillId="0" borderId="0" xfId="0" applyFont="1"/>
    <xf numFmtId="164" fontId="10" fillId="0" borderId="0" xfId="1" applyNumberFormat="1" applyFont="1" applyFill="1" applyBorder="1" applyAlignment="1" applyProtection="1">
      <alignment horizontal="right"/>
    </xf>
    <xf numFmtId="164" fontId="25" fillId="0" borderId="0" xfId="1" applyNumberFormat="1" applyFont="1" applyFill="1" applyBorder="1" applyAlignment="1" applyProtection="1">
      <alignment horizontal="right"/>
    </xf>
    <xf numFmtId="0" fontId="45" fillId="13" borderId="1" xfId="0" applyFont="1" applyFill="1" applyBorder="1" applyAlignment="1">
      <alignment horizontal="center"/>
    </xf>
    <xf numFmtId="0" fontId="45" fillId="0" borderId="0" xfId="0" applyFont="1" applyAlignment="1">
      <alignment horizontal="center"/>
    </xf>
    <xf numFmtId="0" fontId="21" fillId="0" borderId="1" xfId="0" applyFont="1" applyBorder="1" applyAlignment="1">
      <alignment vertical="center"/>
    </xf>
    <xf numFmtId="0" fontId="0" fillId="15" borderId="0" xfId="0" applyFill="1"/>
    <xf numFmtId="20" fontId="0" fillId="0" borderId="0" xfId="0" applyNumberFormat="1"/>
    <xf numFmtId="0" fontId="0" fillId="0" borderId="13" xfId="0" applyBorder="1" applyAlignment="1">
      <alignment horizontal="right" vertical="center"/>
    </xf>
    <xf numFmtId="14" fontId="23" fillId="3" borderId="18" xfId="2" applyNumberFormat="1" applyFont="1" applyFill="1" applyBorder="1" applyAlignment="1">
      <alignment horizontal="center" vertical="center"/>
    </xf>
    <xf numFmtId="0" fontId="11" fillId="0" borderId="0" xfId="3" applyFont="1" applyFill="1"/>
    <xf numFmtId="0" fontId="47" fillId="11" borderId="20" xfId="0" applyFont="1" applyFill="1" applyBorder="1" applyAlignment="1">
      <alignment horizontal="center" vertical="center" textRotation="90"/>
    </xf>
    <xf numFmtId="0" fontId="47" fillId="16" borderId="20" xfId="0" applyFont="1" applyFill="1" applyBorder="1" applyAlignment="1">
      <alignment horizontal="center" vertical="center" textRotation="90"/>
    </xf>
    <xf numFmtId="0" fontId="0" fillId="17" borderId="0" xfId="0" applyFill="1"/>
    <xf numFmtId="0" fontId="0" fillId="17" borderId="0" xfId="0" applyFill="1" applyAlignment="1">
      <alignment horizontal="center" textRotation="90"/>
    </xf>
    <xf numFmtId="0" fontId="0" fillId="17" borderId="0" xfId="0" applyFill="1" applyAlignment="1">
      <alignment horizontal="center" vertical="center" textRotation="90"/>
    </xf>
    <xf numFmtId="0" fontId="48" fillId="0" borderId="0" xfId="0" pivotButton="1" applyFont="1"/>
    <xf numFmtId="0" fontId="0" fillId="16" borderId="0" xfId="0" applyFill="1"/>
    <xf numFmtId="0" fontId="0" fillId="16" borderId="0" xfId="0" applyFill="1" applyAlignment="1">
      <alignment horizontal="center" vertical="center" textRotation="90"/>
    </xf>
    <xf numFmtId="0" fontId="11" fillId="2" borderId="0" xfId="0" applyFont="1" applyFill="1" applyAlignment="1">
      <alignment horizontal="center" textRotation="255"/>
    </xf>
    <xf numFmtId="0" fontId="11" fillId="3" borderId="0" xfId="0" applyFont="1" applyFill="1" applyAlignment="1">
      <alignment horizontal="center" textRotation="255"/>
    </xf>
    <xf numFmtId="0" fontId="11" fillId="4" borderId="0" xfId="0" applyFont="1" applyFill="1" applyAlignment="1">
      <alignment horizontal="center" textRotation="255"/>
    </xf>
    <xf numFmtId="0" fontId="11" fillId="5" borderId="3" xfId="0" applyFont="1" applyFill="1" applyBorder="1" applyAlignment="1">
      <alignment horizontal="center" vertical="center" textRotation="90"/>
    </xf>
    <xf numFmtId="0" fontId="11" fillId="5" borderId="35" xfId="0" applyFont="1" applyFill="1" applyBorder="1" applyAlignment="1">
      <alignment horizontal="center" vertical="center" textRotation="90"/>
    </xf>
    <xf numFmtId="0" fontId="11" fillId="4" borderId="35" xfId="0" applyFont="1" applyFill="1" applyBorder="1" applyAlignment="1">
      <alignment horizontal="center" vertical="center" textRotation="90"/>
    </xf>
    <xf numFmtId="0" fontId="0" fillId="18" borderId="1" xfId="0" applyFill="1" applyBorder="1" applyAlignment="1">
      <alignment horizontal="center" vertical="center"/>
    </xf>
    <xf numFmtId="0" fontId="5" fillId="0" borderId="32" xfId="0" applyFont="1" applyBorder="1" applyAlignment="1" applyProtection="1">
      <alignment horizontal="center" vertical="center"/>
      <protection locked="0"/>
    </xf>
    <xf numFmtId="0" fontId="7" fillId="0" borderId="36" xfId="0" applyFont="1" applyBorder="1" applyAlignment="1">
      <alignment horizontal="center" vertical="center" wrapText="1"/>
    </xf>
    <xf numFmtId="0" fontId="10" fillId="0" borderId="34" xfId="0" applyFont="1" applyBorder="1" applyAlignment="1" applyProtection="1">
      <alignment horizontal="left" vertical="center"/>
      <protection locked="0"/>
    </xf>
    <xf numFmtId="0" fontId="10" fillId="0" borderId="34" xfId="0" applyFont="1" applyBorder="1" applyAlignment="1" applyProtection="1">
      <alignment horizontal="left" vertical="center" wrapText="1"/>
      <protection locked="0"/>
    </xf>
    <xf numFmtId="16" fontId="10" fillId="0" borderId="34" xfId="0" applyNumberFormat="1" applyFont="1" applyBorder="1" applyAlignment="1" applyProtection="1">
      <alignment horizontal="left" vertical="center"/>
      <protection locked="0"/>
    </xf>
    <xf numFmtId="0" fontId="19" fillId="0" borderId="1" xfId="0" applyFont="1" applyBorder="1" applyAlignment="1">
      <alignment horizontal="center" vertical="center"/>
    </xf>
    <xf numFmtId="14" fontId="0" fillId="0" borderId="0" xfId="0" applyNumberFormat="1" applyAlignment="1">
      <alignment horizontal="left"/>
    </xf>
    <xf numFmtId="0" fontId="41" fillId="0" borderId="0" xfId="3" applyFont="1" applyFill="1" applyBorder="1" applyAlignment="1" applyProtection="1">
      <alignment horizontal="left"/>
    </xf>
    <xf numFmtId="0" fontId="8" fillId="0" borderId="0" xfId="0" applyFont="1" applyAlignment="1">
      <alignment horizontal="center"/>
    </xf>
    <xf numFmtId="0" fontId="46" fillId="0" borderId="0" xfId="3" applyFont="1" applyBorder="1" applyAlignment="1">
      <alignment horizontal="left" vertical="center"/>
    </xf>
    <xf numFmtId="0" fontId="11" fillId="4" borderId="0" xfId="0" applyFont="1" applyFill="1" applyAlignment="1">
      <alignment textRotation="89"/>
    </xf>
    <xf numFmtId="0" fontId="0" fillId="13" borderId="0" xfId="0" applyFill="1"/>
    <xf numFmtId="0" fontId="51" fillId="13" borderId="0" xfId="0" applyFont="1" applyFill="1" applyAlignment="1">
      <alignment horizontal="center" vertical="center" textRotation="90"/>
    </xf>
    <xf numFmtId="0" fontId="17" fillId="13" borderId="16" xfId="0" applyFont="1" applyFill="1" applyBorder="1" applyAlignment="1">
      <alignment vertical="center"/>
    </xf>
    <xf numFmtId="0" fontId="17" fillId="13" borderId="40" xfId="0" applyFont="1" applyFill="1" applyBorder="1" applyAlignment="1">
      <alignment vertical="center"/>
    </xf>
    <xf numFmtId="0" fontId="7" fillId="8" borderId="21" xfId="0" applyFont="1" applyFill="1" applyBorder="1" applyAlignment="1">
      <alignment horizontal="center" vertical="center"/>
    </xf>
    <xf numFmtId="14" fontId="18" fillId="10" borderId="16" xfId="0" applyNumberFormat="1" applyFont="1" applyFill="1" applyBorder="1" applyAlignment="1">
      <alignment horizontal="center" vertical="center"/>
    </xf>
    <xf numFmtId="164" fontId="7" fillId="0" borderId="19" xfId="1" applyNumberFormat="1" applyFont="1" applyBorder="1" applyAlignment="1">
      <alignment horizontal="left" vertical="center"/>
    </xf>
    <xf numFmtId="0" fontId="10" fillId="0" borderId="35" xfId="0" applyFont="1" applyBorder="1" applyAlignment="1" applyProtection="1">
      <alignment vertical="center"/>
      <protection locked="0"/>
    </xf>
    <xf numFmtId="0" fontId="5" fillId="0" borderId="0" xfId="0" applyFont="1" applyAlignment="1" applyProtection="1">
      <alignment horizontal="center" vertical="center"/>
      <protection locked="0"/>
    </xf>
    <xf numFmtId="0" fontId="5" fillId="3" borderId="1" xfId="0" applyFont="1" applyFill="1" applyBorder="1" applyAlignment="1" applyProtection="1">
      <alignment horizontal="center" vertical="center"/>
      <protection locked="0"/>
    </xf>
    <xf numFmtId="0" fontId="24" fillId="0" borderId="0" xfId="0" applyFont="1" applyAlignment="1">
      <alignment horizontal="center"/>
    </xf>
    <xf numFmtId="0" fontId="4" fillId="0" borderId="34" xfId="3" applyBorder="1"/>
    <xf numFmtId="0" fontId="23" fillId="0" borderId="7" xfId="0" applyFont="1" applyBorder="1" applyAlignment="1">
      <alignment horizontal="center" wrapText="1"/>
    </xf>
    <xf numFmtId="14" fontId="23" fillId="12" borderId="7" xfId="0" applyNumberFormat="1" applyFont="1" applyFill="1" applyBorder="1" applyAlignment="1">
      <alignment horizontal="center" wrapText="1"/>
    </xf>
    <xf numFmtId="0" fontId="23" fillId="12" borderId="7" xfId="0" applyFont="1" applyFill="1" applyBorder="1" applyAlignment="1">
      <alignment horizontal="center" wrapText="1"/>
    </xf>
    <xf numFmtId="164" fontId="23" fillId="12" borderId="7" xfId="1" applyNumberFormat="1" applyFont="1" applyFill="1" applyBorder="1" applyAlignment="1">
      <alignment wrapText="1"/>
    </xf>
    <xf numFmtId="0" fontId="23" fillId="13" borderId="7" xfId="0" applyFont="1" applyFill="1" applyBorder="1" applyAlignment="1">
      <alignment wrapText="1"/>
    </xf>
    <xf numFmtId="164" fontId="23" fillId="13" borderId="7" xfId="1" applyNumberFormat="1" applyFont="1" applyFill="1" applyBorder="1" applyAlignment="1">
      <alignment wrapText="1"/>
    </xf>
    <xf numFmtId="0" fontId="23" fillId="0" borderId="14" xfId="0" applyFont="1" applyBorder="1"/>
    <xf numFmtId="164" fontId="23" fillId="14" borderId="41" xfId="1" applyNumberFormat="1" applyFont="1" applyFill="1" applyBorder="1" applyAlignment="1">
      <alignment wrapText="1"/>
    </xf>
    <xf numFmtId="164" fontId="0" fillId="14" borderId="2" xfId="1" applyNumberFormat="1" applyFont="1" applyFill="1" applyBorder="1" applyAlignment="1"/>
    <xf numFmtId="164" fontId="0" fillId="14" borderId="1" xfId="1" applyNumberFormat="1" applyFont="1" applyFill="1" applyBorder="1" applyAlignment="1"/>
    <xf numFmtId="14" fontId="24" fillId="0" borderId="0" xfId="0" applyNumberFormat="1" applyFont="1"/>
    <xf numFmtId="0" fontId="24" fillId="0" borderId="0" xfId="0" applyFont="1"/>
    <xf numFmtId="0" fontId="55" fillId="0" borderId="0" xfId="0" applyFont="1" applyAlignment="1">
      <alignment horizontal="left" vertical="center" readingOrder="1"/>
    </xf>
    <xf numFmtId="0" fontId="10" fillId="12" borderId="13" xfId="0" applyFont="1" applyFill="1" applyBorder="1" applyAlignment="1">
      <alignment horizontal="right" vertical="center"/>
    </xf>
    <xf numFmtId="0" fontId="10" fillId="0" borderId="11" xfId="0" applyFont="1" applyBorder="1" applyAlignment="1">
      <alignment horizontal="right" vertical="center" wrapText="1"/>
    </xf>
    <xf numFmtId="0" fontId="10" fillId="0" borderId="9" xfId="0" applyFont="1" applyBorder="1" applyAlignment="1">
      <alignment horizontal="right" vertical="center"/>
    </xf>
    <xf numFmtId="16" fontId="0" fillId="0" borderId="1" xfId="0" applyNumberFormat="1" applyBorder="1" applyAlignment="1">
      <alignment horizontal="center"/>
    </xf>
    <xf numFmtId="14" fontId="59" fillId="0" borderId="0" xfId="0" applyNumberFormat="1" applyFont="1" applyAlignment="1">
      <alignment horizontal="center"/>
    </xf>
    <xf numFmtId="0" fontId="60" fillId="0" borderId="1" xfId="0" applyFont="1" applyBorder="1"/>
    <xf numFmtId="164" fontId="0" fillId="0" borderId="0" xfId="1" applyNumberFormat="1" applyFont="1" applyBorder="1"/>
    <xf numFmtId="164" fontId="23" fillId="0" borderId="0" xfId="1" applyNumberFormat="1" applyFont="1" applyBorder="1"/>
    <xf numFmtId="9" fontId="0" fillId="0" borderId="0" xfId="0" applyNumberFormat="1"/>
    <xf numFmtId="0" fontId="4" fillId="0" borderId="21" xfId="3" applyBorder="1" applyProtection="1"/>
    <xf numFmtId="3" fontId="0" fillId="21" borderId="0" xfId="0" applyNumberFormat="1" applyFill="1"/>
    <xf numFmtId="1" fontId="7" fillId="0" borderId="19" xfId="1" applyNumberFormat="1" applyFont="1" applyBorder="1" applyAlignment="1">
      <alignment horizontal="center" vertical="center"/>
    </xf>
    <xf numFmtId="0" fontId="0" fillId="0" borderId="0" xfId="0" applyAlignment="1">
      <alignment vertical="center" wrapText="1"/>
    </xf>
    <xf numFmtId="0" fontId="49" fillId="0" borderId="0" xfId="0" applyFont="1" applyAlignment="1">
      <alignment horizontal="center" vertical="center"/>
    </xf>
    <xf numFmtId="0" fontId="7" fillId="0" borderId="4" xfId="0" applyFont="1" applyBorder="1" applyAlignment="1">
      <alignment horizontal="center" vertical="center"/>
    </xf>
    <xf numFmtId="0" fontId="49" fillId="0" borderId="0" xfId="0" applyFont="1" applyAlignment="1">
      <alignment horizontal="left" vertical="center"/>
    </xf>
    <xf numFmtId="0" fontId="0" fillId="14" borderId="1" xfId="1" applyNumberFormat="1" applyFont="1" applyFill="1" applyBorder="1" applyAlignment="1">
      <alignment horizontal="center"/>
    </xf>
    <xf numFmtId="164" fontId="0" fillId="14" borderId="1" xfId="1" applyNumberFormat="1" applyFont="1" applyFill="1" applyBorder="1" applyAlignment="1">
      <alignment horizontal="center"/>
    </xf>
    <xf numFmtId="164" fontId="10" fillId="0" borderId="1" xfId="1" applyNumberFormat="1" applyFont="1" applyFill="1" applyBorder="1" applyAlignment="1" applyProtection="1">
      <alignment horizontal="left" vertical="center"/>
      <protection locked="0"/>
    </xf>
    <xf numFmtId="164" fontId="10" fillId="0" borderId="1" xfId="1" applyNumberFormat="1" applyFont="1" applyFill="1" applyBorder="1" applyAlignment="1" applyProtection="1">
      <alignment vertical="center"/>
      <protection locked="0"/>
    </xf>
    <xf numFmtId="0" fontId="5" fillId="0" borderId="1" xfId="0" quotePrefix="1" applyFont="1" applyBorder="1" applyAlignment="1" applyProtection="1">
      <alignment vertical="center"/>
      <protection locked="0"/>
    </xf>
    <xf numFmtId="0" fontId="62" fillId="22" borderId="43" xfId="0" applyFont="1" applyFill="1" applyBorder="1" applyAlignment="1">
      <alignment horizontal="center" wrapText="1"/>
    </xf>
    <xf numFmtId="14" fontId="61" fillId="22" borderId="43" xfId="0" applyNumberFormat="1" applyFont="1" applyFill="1" applyBorder="1" applyAlignment="1">
      <alignment horizontal="center"/>
    </xf>
    <xf numFmtId="3" fontId="61" fillId="22" borderId="43" xfId="0" applyNumberFormat="1" applyFont="1" applyFill="1" applyBorder="1" applyAlignment="1">
      <alignment horizontal="center"/>
    </xf>
    <xf numFmtId="0" fontId="64" fillId="22" borderId="42" xfId="0" applyFont="1" applyFill="1" applyBorder="1" applyAlignment="1">
      <alignment horizontal="left" vertical="top" wrapText="1"/>
    </xf>
    <xf numFmtId="0" fontId="65" fillId="22" borderId="42" xfId="0" applyFont="1" applyFill="1" applyBorder="1"/>
    <xf numFmtId="0" fontId="0" fillId="0" borderId="0" xfId="0" applyAlignment="1">
      <alignment vertical="center"/>
    </xf>
    <xf numFmtId="0" fontId="0" fillId="0" borderId="0" xfId="0" applyAlignment="1">
      <alignment horizontal="center" vertical="center"/>
    </xf>
    <xf numFmtId="0" fontId="54" fillId="11" borderId="4" xfId="0" applyFont="1" applyFill="1" applyBorder="1" applyAlignment="1">
      <alignment horizontal="center" vertical="center"/>
    </xf>
    <xf numFmtId="0" fontId="54" fillId="11" borderId="5" xfId="0" applyFont="1" applyFill="1" applyBorder="1" applyAlignment="1">
      <alignment horizontal="center" vertical="center"/>
    </xf>
    <xf numFmtId="0" fontId="54" fillId="11" borderId="17" xfId="0" applyFont="1" applyFill="1" applyBorder="1" applyAlignment="1">
      <alignment horizontal="center" vertical="center"/>
    </xf>
    <xf numFmtId="0" fontId="54" fillId="11" borderId="8" xfId="0" applyFont="1" applyFill="1" applyBorder="1" applyAlignment="1">
      <alignment horizontal="center" vertical="center"/>
    </xf>
    <xf numFmtId="0" fontId="0" fillId="0" borderId="0" xfId="0"/>
    <xf numFmtId="0" fontId="23" fillId="20" borderId="32" xfId="0" applyFont="1" applyFill="1" applyBorder="1" applyAlignment="1">
      <alignment horizontal="center"/>
    </xf>
    <xf numFmtId="0" fontId="23" fillId="20" borderId="33" xfId="0" applyFont="1" applyFill="1" applyBorder="1" applyAlignment="1">
      <alignment horizontal="center"/>
    </xf>
    <xf numFmtId="0" fontId="23" fillId="20" borderId="34" xfId="0" applyFont="1" applyFill="1" applyBorder="1" applyAlignment="1">
      <alignment horizontal="center"/>
    </xf>
    <xf numFmtId="0" fontId="4" fillId="0" borderId="0" xfId="3" applyAlignment="1">
      <alignment horizontal="center" vertical="center"/>
    </xf>
    <xf numFmtId="0" fontId="23" fillId="0" borderId="32" xfId="0" applyFont="1" applyBorder="1" applyAlignment="1">
      <alignment horizontal="center"/>
    </xf>
    <xf numFmtId="0" fontId="23" fillId="0" borderId="33" xfId="0" applyFont="1" applyBorder="1" applyAlignment="1">
      <alignment horizontal="center"/>
    </xf>
    <xf numFmtId="0" fontId="23" fillId="0" borderId="34" xfId="0" applyFont="1" applyBorder="1" applyAlignment="1">
      <alignment horizontal="center"/>
    </xf>
    <xf numFmtId="0" fontId="14" fillId="0" borderId="0" xfId="3" applyFont="1" applyBorder="1" applyAlignment="1">
      <alignment horizontal="center" vertical="center"/>
    </xf>
    <xf numFmtId="14" fontId="15" fillId="0" borderId="0" xfId="3" applyNumberFormat="1" applyFont="1" applyBorder="1" applyAlignment="1">
      <alignment horizontal="center" vertical="center"/>
    </xf>
    <xf numFmtId="0" fontId="35" fillId="0" borderId="5" xfId="0" applyFont="1" applyBorder="1"/>
    <xf numFmtId="0" fontId="35" fillId="0" borderId="6" xfId="0" applyFont="1" applyBorder="1"/>
    <xf numFmtId="0" fontId="56" fillId="0" borderId="4" xfId="0" applyFont="1" applyBorder="1" applyAlignment="1">
      <alignment horizontal="left" vertical="center" wrapText="1"/>
    </xf>
    <xf numFmtId="0" fontId="56" fillId="0" borderId="5" xfId="0" applyFont="1" applyBorder="1" applyAlignment="1">
      <alignment horizontal="left" vertical="center" wrapText="1"/>
    </xf>
    <xf numFmtId="0" fontId="56" fillId="0" borderId="15" xfId="0" applyFont="1" applyBorder="1" applyAlignment="1">
      <alignment horizontal="left" vertical="center" wrapText="1"/>
    </xf>
    <xf numFmtId="0" fontId="56" fillId="0" borderId="0" xfId="0" applyFont="1" applyAlignment="1">
      <alignment horizontal="left" vertical="center" wrapText="1"/>
    </xf>
    <xf numFmtId="0" fontId="56" fillId="0" borderId="17" xfId="0" applyFont="1" applyBorder="1" applyAlignment="1">
      <alignment horizontal="left" vertical="center" wrapText="1"/>
    </xf>
    <xf numFmtId="0" fontId="56" fillId="0" borderId="8" xfId="0" applyFont="1" applyBorder="1" applyAlignment="1">
      <alignment horizontal="left" vertical="center" wrapText="1"/>
    </xf>
    <xf numFmtId="9" fontId="19" fillId="0" borderId="0" xfId="2" applyFont="1" applyAlignment="1" applyProtection="1">
      <alignment horizontal="left"/>
    </xf>
    <xf numFmtId="9" fontId="19" fillId="0" borderId="0" xfId="2" applyFont="1" applyBorder="1" applyAlignment="1" applyProtection="1">
      <alignment horizontal="left"/>
    </xf>
    <xf numFmtId="0" fontId="49" fillId="0" borderId="2" xfId="0" applyFont="1" applyBorder="1" applyAlignment="1">
      <alignment horizontal="left" vertical="center"/>
    </xf>
    <xf numFmtId="0" fontId="49" fillId="0" borderId="1" xfId="0" applyFont="1" applyBorder="1" applyAlignment="1">
      <alignment horizontal="left" vertical="center"/>
    </xf>
    <xf numFmtId="0" fontId="17" fillId="19" borderId="27" xfId="0" applyFont="1" applyFill="1" applyBorder="1" applyAlignment="1">
      <alignment horizontal="center"/>
    </xf>
    <xf numFmtId="0" fontId="17" fillId="19" borderId="29" xfId="0" applyFont="1" applyFill="1" applyBorder="1" applyAlignment="1">
      <alignment horizontal="center"/>
    </xf>
    <xf numFmtId="0" fontId="54" fillId="11" borderId="9" xfId="0" applyFont="1" applyFill="1" applyBorder="1" applyAlignment="1">
      <alignment horizontal="center" vertical="center" wrapText="1"/>
    </xf>
    <xf numFmtId="0" fontId="54" fillId="11" borderId="37" xfId="0" applyFont="1" applyFill="1" applyBorder="1" applyAlignment="1">
      <alignment horizontal="center" vertical="center" wrapText="1"/>
    </xf>
    <xf numFmtId="0" fontId="54" fillId="11" borderId="10" xfId="0" applyFont="1" applyFill="1" applyBorder="1" applyAlignment="1">
      <alignment horizontal="center" vertical="center" wrapText="1"/>
    </xf>
    <xf numFmtId="0" fontId="54" fillId="11" borderId="13" xfId="0" applyFont="1" applyFill="1" applyBorder="1" applyAlignment="1">
      <alignment horizontal="center" vertical="center" wrapText="1"/>
    </xf>
    <xf numFmtId="0" fontId="54" fillId="11" borderId="7" xfId="0" applyFont="1" applyFill="1" applyBorder="1" applyAlignment="1">
      <alignment horizontal="center" vertical="center" wrapText="1"/>
    </xf>
    <xf numFmtId="0" fontId="54" fillId="11" borderId="14" xfId="0" applyFont="1" applyFill="1" applyBorder="1" applyAlignment="1">
      <alignment horizontal="center" vertical="center" wrapText="1"/>
    </xf>
    <xf numFmtId="0" fontId="4" fillId="0" borderId="0" xfId="3" applyAlignment="1" applyProtection="1">
      <alignment horizontal="left"/>
    </xf>
    <xf numFmtId="0" fontId="0" fillId="0" borderId="0" xfId="0" applyAlignment="1">
      <alignment horizontal="center" vertical="top"/>
    </xf>
    <xf numFmtId="0" fontId="4" fillId="0" borderId="0" xfId="3" applyAlignment="1">
      <alignment horizontal="left" vertical="center"/>
    </xf>
    <xf numFmtId="14" fontId="11" fillId="0" borderId="0" xfId="3" quotePrefix="1" applyNumberFormat="1" applyFont="1" applyAlignment="1">
      <alignment horizontal="center" vertical="center"/>
    </xf>
    <xf numFmtId="0" fontId="11" fillId="0" borderId="0" xfId="3" applyFont="1" applyAlignment="1">
      <alignment horizontal="center" vertical="center"/>
    </xf>
    <xf numFmtId="0" fontId="11" fillId="0" borderId="0" xfId="3" quotePrefix="1" applyFont="1" applyAlignment="1">
      <alignment horizontal="center" vertical="center"/>
    </xf>
    <xf numFmtId="0" fontId="0" fillId="0" borderId="0" xfId="0" applyAlignment="1">
      <alignment horizontal="center"/>
    </xf>
    <xf numFmtId="0" fontId="17" fillId="11" borderId="17" xfId="0" applyFont="1" applyFill="1" applyBorder="1" applyAlignment="1">
      <alignment horizontal="center" vertical="center" wrapText="1"/>
    </xf>
    <xf numFmtId="0" fontId="17" fillId="11" borderId="8" xfId="0" applyFont="1" applyFill="1" applyBorder="1" applyAlignment="1">
      <alignment horizontal="center" vertical="center" wrapText="1"/>
    </xf>
    <xf numFmtId="0" fontId="17" fillId="11" borderId="18" xfId="0" applyFont="1" applyFill="1" applyBorder="1" applyAlignment="1">
      <alignment horizontal="center" vertical="center" wrapText="1"/>
    </xf>
    <xf numFmtId="0" fontId="17" fillId="11" borderId="17" xfId="0" applyFont="1" applyFill="1" applyBorder="1" applyAlignment="1">
      <alignment horizontal="center" vertical="center"/>
    </xf>
    <xf numFmtId="0" fontId="17" fillId="11" borderId="8" xfId="0" applyFont="1" applyFill="1" applyBorder="1" applyAlignment="1">
      <alignment horizontal="center" vertical="center"/>
    </xf>
    <xf numFmtId="0" fontId="17" fillId="11" borderId="18" xfId="0" applyFont="1" applyFill="1" applyBorder="1" applyAlignment="1">
      <alignment horizontal="center" vertical="center"/>
    </xf>
    <xf numFmtId="0" fontId="20" fillId="0" borderId="4" xfId="0" applyFont="1" applyBorder="1" applyAlignment="1">
      <alignment horizontal="left" vertical="center" wrapText="1"/>
    </xf>
    <xf numFmtId="0" fontId="20" fillId="0" borderId="5" xfId="0" applyFont="1" applyBorder="1" applyAlignment="1">
      <alignment horizontal="left" vertical="center" wrapText="1"/>
    </xf>
    <xf numFmtId="0" fontId="20" fillId="0" borderId="15" xfId="0" applyFont="1" applyBorder="1" applyAlignment="1">
      <alignment horizontal="left" vertical="center" wrapText="1"/>
    </xf>
    <xf numFmtId="0" fontId="20" fillId="0" borderId="0" xfId="0" applyFont="1" applyAlignment="1">
      <alignment horizontal="left" vertical="center" wrapText="1"/>
    </xf>
    <xf numFmtId="0" fontId="20" fillId="0" borderId="17" xfId="0" applyFont="1" applyBorder="1" applyAlignment="1">
      <alignment horizontal="left" vertical="center" wrapText="1"/>
    </xf>
    <xf numFmtId="0" fontId="20" fillId="0" borderId="8" xfId="0" applyFont="1" applyBorder="1" applyAlignment="1">
      <alignment horizontal="left" vertical="center" wrapText="1"/>
    </xf>
    <xf numFmtId="9" fontId="19" fillId="0" borderId="31" xfId="2" applyFont="1" applyBorder="1" applyAlignment="1" applyProtection="1">
      <alignment horizontal="left"/>
    </xf>
    <xf numFmtId="0" fontId="35" fillId="0" borderId="0" xfId="0" applyFont="1"/>
    <xf numFmtId="0" fontId="38" fillId="0" borderId="0" xfId="0" applyFont="1"/>
    <xf numFmtId="0" fontId="31" fillId="0" borderId="0" xfId="0" applyFont="1" applyAlignment="1">
      <alignment horizontal="left" vertical="center" readingOrder="1"/>
    </xf>
    <xf numFmtId="0" fontId="64" fillId="22" borderId="42" xfId="0" applyFont="1" applyFill="1" applyBorder="1" applyAlignment="1">
      <alignment horizontal="left" vertical="top" wrapText="1"/>
    </xf>
    <xf numFmtId="0" fontId="63" fillId="22" borderId="42" xfId="0" applyFont="1" applyFill="1" applyBorder="1"/>
    <xf numFmtId="0" fontId="0" fillId="0" borderId="0" xfId="0" applyNumberFormat="1"/>
    <xf numFmtId="0" fontId="0" fillId="0" borderId="0" xfId="0" applyNumberFormat="1" applyAlignment="1">
      <alignment horizontal="center"/>
    </xf>
    <xf numFmtId="0" fontId="0" fillId="21" borderId="0" xfId="0" applyNumberFormat="1" applyFill="1" applyAlignment="1">
      <alignment horizontal="center"/>
    </xf>
    <xf numFmtId="0" fontId="19" fillId="0" borderId="24" xfId="0" applyNumberFormat="1" applyFont="1" applyBorder="1" applyAlignment="1" applyProtection="1">
      <alignment horizontal="center" vertical="center"/>
    </xf>
    <xf numFmtId="0" fontId="19" fillId="0" borderId="25" xfId="0" applyNumberFormat="1" applyFont="1" applyBorder="1" applyAlignment="1" applyProtection="1">
      <alignment horizontal="center" vertical="center"/>
    </xf>
    <xf numFmtId="0" fontId="19" fillId="0" borderId="26" xfId="0" applyNumberFormat="1" applyFont="1" applyBorder="1" applyAlignment="1" applyProtection="1">
      <alignment horizontal="center" vertical="center"/>
    </xf>
    <xf numFmtId="0" fontId="19" fillId="0" borderId="27" xfId="0" applyNumberFormat="1" applyFont="1" applyBorder="1" applyAlignment="1" applyProtection="1">
      <alignment horizontal="center" vertical="center"/>
    </xf>
    <xf numFmtId="0" fontId="19" fillId="0" borderId="29" xfId="0" applyNumberFormat="1" applyFont="1" applyBorder="1" applyAlignment="1" applyProtection="1">
      <alignment horizontal="center" vertical="center"/>
    </xf>
    <xf numFmtId="0" fontId="53" fillId="2" borderId="24" xfId="0" applyFont="1" applyFill="1" applyBorder="1" applyAlignment="1" applyProtection="1">
      <alignment horizontal="center" vertical="top" wrapText="1"/>
    </xf>
    <xf numFmtId="0" fontId="53" fillId="3" borderId="25" xfId="0" applyFont="1" applyFill="1" applyBorder="1" applyAlignment="1" applyProtection="1">
      <alignment horizontal="center" vertical="top" wrapText="1"/>
    </xf>
    <xf numFmtId="0" fontId="53" fillId="4" borderId="26" xfId="0" applyFont="1" applyFill="1" applyBorder="1" applyAlignment="1" applyProtection="1">
      <alignment horizontal="center" vertical="top" wrapText="1"/>
    </xf>
    <xf numFmtId="0" fontId="1" fillId="0" borderId="0" xfId="0" applyFont="1" applyProtection="1"/>
    <xf numFmtId="0" fontId="1" fillId="0" borderId="0" xfId="0" applyFont="1" applyAlignment="1" applyProtection="1">
      <alignment horizontal="center"/>
    </xf>
    <xf numFmtId="0" fontId="1" fillId="0" borderId="0" xfId="0" applyFont="1" applyAlignment="1" applyProtection="1">
      <alignment horizontal="left"/>
    </xf>
    <xf numFmtId="0" fontId="1" fillId="0" borderId="0" xfId="0" applyNumberFormat="1" applyFont="1" applyAlignment="1" applyProtection="1">
      <alignment horizontal="center"/>
    </xf>
    <xf numFmtId="0" fontId="15" fillId="4" borderId="24" xfId="0" applyFont="1" applyFill="1" applyBorder="1" applyAlignment="1" applyProtection="1">
      <alignment horizontal="center" vertical="center" wrapText="1"/>
    </xf>
    <xf numFmtId="0" fontId="15" fillId="4" borderId="25" xfId="0" applyFont="1" applyFill="1" applyBorder="1" applyAlignment="1" applyProtection="1">
      <alignment horizontal="center" vertical="center" wrapText="1"/>
    </xf>
    <xf numFmtId="0" fontId="15" fillId="4" borderId="26" xfId="0" applyFont="1" applyFill="1" applyBorder="1" applyAlignment="1" applyProtection="1">
      <alignment horizontal="center" vertical="center" wrapText="1"/>
    </xf>
    <xf numFmtId="0" fontId="15" fillId="4" borderId="28" xfId="0" applyFont="1" applyFill="1" applyBorder="1" applyAlignment="1" applyProtection="1">
      <alignment horizontal="center" vertical="center" wrapText="1"/>
    </xf>
    <xf numFmtId="0" fontId="52" fillId="13" borderId="38" xfId="0" applyFont="1" applyFill="1" applyBorder="1" applyAlignment="1" applyProtection="1">
      <alignment horizontal="center" vertical="center"/>
    </xf>
    <xf numFmtId="0" fontId="19" fillId="20" borderId="24" xfId="0" applyNumberFormat="1" applyFont="1" applyFill="1" applyBorder="1" applyAlignment="1" applyProtection="1">
      <alignment horizontal="center" vertical="center"/>
    </xf>
    <xf numFmtId="0" fontId="19" fillId="20" borderId="39" xfId="0" applyNumberFormat="1" applyFont="1" applyFill="1" applyBorder="1" applyAlignment="1" applyProtection="1">
      <alignment horizontal="center" vertical="center"/>
    </xf>
    <xf numFmtId="0" fontId="19" fillId="20" borderId="38" xfId="0" applyNumberFormat="1" applyFont="1" applyFill="1" applyBorder="1" applyAlignment="1" applyProtection="1">
      <alignment horizontal="center" vertical="center"/>
    </xf>
    <xf numFmtId="0" fontId="26" fillId="2" borderId="24" xfId="0" applyFont="1" applyFill="1" applyBorder="1" applyAlignment="1" applyProtection="1">
      <alignment horizontal="center" vertical="top" wrapText="1"/>
    </xf>
    <xf numFmtId="0" fontId="26" fillId="3" borderId="25" xfId="0" applyFont="1" applyFill="1" applyBorder="1" applyAlignment="1" applyProtection="1">
      <alignment horizontal="center" vertical="top" wrapText="1"/>
    </xf>
    <xf numFmtId="0" fontId="26" fillId="4" borderId="26" xfId="0" applyFont="1" applyFill="1" applyBorder="1" applyAlignment="1" applyProtection="1">
      <alignment horizontal="center" vertical="top" wrapText="1"/>
    </xf>
    <xf numFmtId="0" fontId="1" fillId="12" borderId="0" xfId="0" applyFont="1" applyFill="1" applyAlignment="1" applyProtection="1">
      <alignment horizontal="left" vertical="center"/>
    </xf>
    <xf numFmtId="0" fontId="1" fillId="12" borderId="0" xfId="0" applyNumberFormat="1" applyFont="1" applyFill="1" applyAlignment="1" applyProtection="1">
      <alignment horizontal="center" vertical="center"/>
    </xf>
    <xf numFmtId="0" fontId="1" fillId="0" borderId="0" xfId="0" applyFont="1" applyAlignment="1" applyProtection="1">
      <alignment horizontal="left" vertical="center"/>
    </xf>
    <xf numFmtId="0" fontId="1" fillId="0" borderId="0" xfId="0" applyNumberFormat="1" applyFont="1" applyAlignment="1" applyProtection="1">
      <alignment horizontal="center" vertical="center"/>
    </xf>
    <xf numFmtId="167" fontId="0" fillId="0" borderId="0" xfId="0" pivotButton="1" applyNumberFormat="1"/>
    <xf numFmtId="0" fontId="69" fillId="22" borderId="42" xfId="0" applyFont="1" applyFill="1" applyBorder="1"/>
    <xf numFmtId="3" fontId="69" fillId="23" borderId="44" xfId="0" applyNumberFormat="1" applyFont="1" applyFill="1" applyBorder="1" applyAlignment="1">
      <alignment horizontal="center" vertical="center"/>
    </xf>
    <xf numFmtId="166" fontId="71" fillId="22" borderId="1" xfId="0" applyNumberFormat="1" applyFont="1" applyFill="1" applyBorder="1" applyAlignment="1">
      <alignment horizontal="center" vertical="center" wrapText="1"/>
    </xf>
    <xf numFmtId="3" fontId="38" fillId="0" borderId="0" xfId="0" applyNumberFormat="1" applyFont="1"/>
    <xf numFmtId="0" fontId="38" fillId="0" borderId="0" xfId="0" applyFont="1" applyAlignment="1">
      <alignment horizontal="center"/>
    </xf>
    <xf numFmtId="3" fontId="69" fillId="25" borderId="44" xfId="0" applyNumberFormat="1" applyFont="1" applyFill="1" applyBorder="1" applyAlignment="1">
      <alignment horizontal="center" vertical="center"/>
    </xf>
    <xf numFmtId="0" fontId="38" fillId="0" borderId="1" xfId="0" applyFont="1" applyBorder="1" applyAlignment="1">
      <alignment horizontal="center"/>
    </xf>
    <xf numFmtId="3" fontId="69" fillId="24" borderId="44" xfId="0" applyNumberFormat="1" applyFont="1" applyFill="1" applyBorder="1" applyAlignment="1">
      <alignment horizontal="center" vertical="center"/>
    </xf>
    <xf numFmtId="0" fontId="69" fillId="22" borderId="42" xfId="0" applyFont="1" applyFill="1" applyBorder="1" applyAlignment="1">
      <alignment horizontal="center"/>
    </xf>
    <xf numFmtId="0" fontId="0" fillId="22" borderId="43" xfId="0" applyFont="1" applyFill="1" applyBorder="1" applyAlignment="1">
      <alignment horizontal="left" wrapText="1"/>
    </xf>
    <xf numFmtId="0" fontId="67" fillId="22" borderId="1" xfId="0" applyFont="1" applyFill="1" applyBorder="1" applyAlignment="1">
      <alignment horizontal="center"/>
    </xf>
    <xf numFmtId="14" fontId="66" fillId="22" borderId="1" xfId="0" applyNumberFormat="1" applyFont="1" applyFill="1" applyBorder="1" applyAlignment="1">
      <alignment horizontal="center"/>
    </xf>
    <xf numFmtId="0" fontId="66" fillId="22" borderId="1" xfId="0" applyFont="1" applyFill="1" applyBorder="1" applyAlignment="1">
      <alignment horizontal="center"/>
    </xf>
    <xf numFmtId="0" fontId="69" fillId="25" borderId="43" xfId="0" applyFont="1" applyFill="1" applyBorder="1" applyAlignment="1">
      <alignment horizontal="right" vertical="center"/>
    </xf>
    <xf numFmtId="0" fontId="72" fillId="0" borderId="0" xfId="0" applyFont="1"/>
    <xf numFmtId="3" fontId="72" fillId="0" borderId="0" xfId="0" applyNumberFormat="1" applyFont="1"/>
    <xf numFmtId="0" fontId="69" fillId="23" borderId="43" xfId="0" applyFont="1" applyFill="1" applyBorder="1" applyAlignment="1">
      <alignment horizontal="right" vertical="center"/>
    </xf>
    <xf numFmtId="3" fontId="72" fillId="0" borderId="42" xfId="0" applyNumberFormat="1" applyFont="1" applyBorder="1"/>
    <xf numFmtId="0" fontId="69" fillId="24" borderId="43" xfId="0" applyFont="1" applyFill="1" applyBorder="1" applyAlignment="1">
      <alignment horizontal="right" vertical="center"/>
    </xf>
    <xf numFmtId="0" fontId="70" fillId="0" borderId="43" xfId="0" applyFont="1" applyFill="1" applyBorder="1" applyAlignment="1">
      <alignment horizontal="right" vertical="center"/>
    </xf>
    <xf numFmtId="3" fontId="69" fillId="0" borderId="44" xfId="0" applyNumberFormat="1" applyFont="1" applyFill="1" applyBorder="1" applyAlignment="1">
      <alignment horizontal="center" vertical="center"/>
    </xf>
    <xf numFmtId="0" fontId="38" fillId="0" borderId="0" xfId="0" applyFont="1" applyFill="1"/>
    <xf numFmtId="3" fontId="38" fillId="0" borderId="0" xfId="0" applyNumberFormat="1" applyFont="1" applyFill="1"/>
    <xf numFmtId="0" fontId="70" fillId="26" borderId="43" xfId="0" applyFont="1" applyFill="1" applyBorder="1" applyAlignment="1">
      <alignment horizontal="right" vertical="center"/>
    </xf>
    <xf numFmtId="3" fontId="69" fillId="26" borderId="44" xfId="0" applyNumberFormat="1" applyFont="1" applyFill="1" applyBorder="1" applyAlignment="1">
      <alignment horizontal="center" vertical="center"/>
    </xf>
    <xf numFmtId="0" fontId="73" fillId="11" borderId="43" xfId="0" applyFont="1" applyFill="1" applyBorder="1" applyAlignment="1">
      <alignment horizontal="right" vertical="center"/>
    </xf>
    <xf numFmtId="3" fontId="74" fillId="11" borderId="44" xfId="0" applyNumberFormat="1" applyFont="1" applyFill="1" applyBorder="1" applyAlignment="1">
      <alignment horizontal="center" vertical="center"/>
    </xf>
    <xf numFmtId="0" fontId="68" fillId="0" borderId="1" xfId="0" applyFont="1" applyBorder="1" applyAlignment="1">
      <alignment horizontal="center"/>
    </xf>
    <xf numFmtId="0" fontId="69" fillId="22" borderId="1" xfId="0" applyFont="1" applyFill="1" applyBorder="1" applyAlignment="1">
      <alignment horizontal="center"/>
    </xf>
  </cellXfs>
  <cellStyles count="4">
    <cellStyle name="Comma" xfId="1" builtinId="3"/>
    <cellStyle name="Hyperlink" xfId="3" builtinId="8"/>
    <cellStyle name="Normal" xfId="0" builtinId="0"/>
    <cellStyle name="Percent" xfId="2" builtinId="5"/>
  </cellStyles>
  <dxfs count="608">
    <dxf>
      <font>
        <color rgb="FF9C0006"/>
      </font>
      <fill>
        <patternFill>
          <bgColor rgb="FFFFC7CE"/>
        </patternFill>
      </fill>
    </dxf>
    <dxf>
      <font>
        <color rgb="FF006100"/>
      </font>
      <fill>
        <patternFill>
          <bgColor rgb="FFC6EFCE"/>
        </patternFill>
      </fill>
    </dxf>
    <dxf>
      <font>
        <b val="0"/>
        <i val="0"/>
        <strike val="0"/>
      </font>
      <fill>
        <patternFill>
          <fgColor theme="3" tint="0.89992980742820516"/>
          <bgColor theme="3" tint="0.89996032593768116"/>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font>
    </dxf>
    <dxf>
      <font>
        <b val="0"/>
        <i val="0"/>
        <strike val="0"/>
      </font>
      <fill>
        <patternFill>
          <fgColor theme="3" tint="0.89992980742820516"/>
          <bgColor theme="3" tint="0.89996032593768116"/>
        </patternFill>
      </fill>
    </dxf>
    <dxf>
      <font>
        <color rgb="FF006100"/>
      </font>
      <fill>
        <patternFill>
          <bgColor rgb="FFC6EFCE"/>
        </patternFill>
      </fill>
    </dxf>
    <dxf>
      <font>
        <color rgb="FF9C0006"/>
      </font>
      <fill>
        <patternFill>
          <bgColor rgb="FFFFC7CE"/>
        </patternFill>
      </fill>
    </dxf>
    <dxf>
      <font>
        <b val="0"/>
        <i val="0"/>
        <strike val="0"/>
      </font>
      <fill>
        <patternFill>
          <fgColor theme="3" tint="0.89992980742820516"/>
          <bgColor theme="3" tint="0.89996032593768116"/>
        </patternFill>
      </fill>
    </dxf>
    <dxf>
      <font>
        <color rgb="FF006100"/>
      </font>
      <fill>
        <patternFill>
          <bgColor rgb="FFC6EFCE"/>
        </patternFill>
      </fill>
    </dxf>
    <dxf>
      <font>
        <color rgb="FF9C0006"/>
      </font>
      <fill>
        <patternFill>
          <bgColor rgb="FFFFC7CE"/>
        </patternFill>
      </fill>
    </dxf>
    <dxf>
      <fill>
        <patternFill>
          <fgColor theme="3" tint="0.89996032593768116"/>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167" formatCode="m/d/yyyy"/>
    </dxf>
    <dxf>
      <numFmt numFmtId="167" formatCode="m/d/yyyy"/>
    </dxf>
    <dxf>
      <alignment wrapText="1"/>
    </dxf>
    <dxf>
      <alignment horizontal="center"/>
    </dxf>
    <dxf>
      <alignment horizontal="center"/>
    </dxf>
    <dxf>
      <alignment textRotation="90"/>
    </dxf>
    <dxf>
      <alignment horizontal="center"/>
    </dxf>
    <dxf>
      <alignment horizontal="center"/>
    </dxf>
    <dxf>
      <fill>
        <patternFill patternType="solid">
          <bgColor rgb="FF388600"/>
        </patternFill>
      </fill>
    </dxf>
    <dxf>
      <fill>
        <patternFill patternType="solid">
          <bgColor rgb="FF92D050"/>
        </patternFill>
      </fill>
    </dxf>
    <dxf>
      <fill>
        <patternFill patternType="solid">
          <bgColor rgb="FFFF7C80"/>
        </patternFill>
      </fill>
    </dxf>
    <dxf>
      <fill>
        <patternFill patternType="solid">
          <bgColor theme="2" tint="-9.9978637043366805E-2"/>
        </patternFill>
      </fill>
    </dxf>
    <dxf>
      <fill>
        <patternFill patternType="solid">
          <bgColor rgb="FFFF7C80"/>
        </patternFill>
      </fill>
    </dxf>
    <dxf>
      <fill>
        <patternFill patternType="solid">
          <bgColor rgb="FFFF7C80"/>
        </patternFill>
      </fill>
    </dxf>
    <dxf>
      <alignment horizontal="center"/>
    </dxf>
    <dxf>
      <font>
        <color auto="1"/>
      </font>
    </dxf>
    <dxf>
      <fill>
        <patternFill patternType="solid">
          <bgColor rgb="FF92D050"/>
        </patternFill>
      </fill>
    </dxf>
    <dxf>
      <alignment wrapText="1"/>
    </dxf>
    <dxf>
      <numFmt numFmtId="13" formatCode="0%"/>
    </dxf>
    <dxf>
      <fill>
        <patternFill>
          <bgColor rgb="FFFF7C80"/>
        </patternFill>
      </fill>
    </dxf>
    <dxf>
      <fill>
        <patternFill>
          <bgColor rgb="FFFF7C80"/>
        </patternFill>
      </fill>
    </dxf>
    <dxf>
      <fill>
        <patternFill patternType="solid">
          <bgColor rgb="FFFF7C80"/>
        </patternFill>
      </fill>
    </dxf>
    <dxf>
      <font>
        <color auto="1"/>
      </font>
    </dxf>
    <dxf>
      <alignment textRotation="89"/>
    </dxf>
    <dxf>
      <alignment horizontal="center"/>
    </dxf>
    <dxf>
      <alignment textRotation="90"/>
    </dxf>
    <dxf>
      <alignment horizontal="center"/>
    </dxf>
    <dxf>
      <alignment horizontal="center"/>
    </dxf>
    <dxf>
      <fill>
        <patternFill patternType="solid">
          <bgColor rgb="FF388600"/>
        </patternFill>
      </fill>
    </dxf>
    <dxf>
      <fill>
        <patternFill patternType="solid">
          <bgColor rgb="FF388600"/>
        </patternFill>
      </fill>
    </dxf>
    <dxf>
      <fill>
        <patternFill patternType="solid">
          <bgColor rgb="FF92D050"/>
        </patternFill>
      </fill>
    </dxf>
    <dxf>
      <fill>
        <patternFill patternType="solid">
          <bgColor rgb="FF92D050"/>
        </patternFill>
      </fill>
    </dxf>
    <dxf>
      <fill>
        <patternFill>
          <bgColor rgb="FF92D050"/>
        </patternFill>
      </fill>
    </dxf>
    <dxf>
      <fill>
        <patternFill>
          <bgColor rgb="FFFFFF00"/>
        </patternFill>
      </fill>
    </dxf>
    <dxf>
      <fill>
        <patternFill patternType="solid">
          <bgColor rgb="FFFF7C80"/>
        </patternFill>
      </fill>
    </dxf>
    <dxf>
      <fill>
        <patternFill patternType="solid">
          <bgColor rgb="FFFF7C80"/>
        </patternFill>
      </fill>
    </dxf>
    <dxf>
      <font>
        <color auto="1"/>
      </font>
    </dxf>
    <dxf>
      <fill>
        <patternFill patternType="solid">
          <bgColor theme="2" tint="-9.9978637043366805E-2"/>
        </patternFill>
      </fill>
    </dxf>
    <dxf>
      <fill>
        <patternFill patternType="solid">
          <bgColor theme="2" tint="-9.9978637043366805E-2"/>
        </patternFill>
      </fill>
    </dxf>
    <dxf>
      <fill>
        <patternFill patternType="solid">
          <bgColor rgb="FFFF7C80"/>
        </patternFill>
      </fill>
    </dxf>
    <dxf>
      <fill>
        <patternFill patternType="solid">
          <bgColor rgb="FFFF7C80"/>
        </patternFill>
      </fill>
    </dxf>
    <dxf>
      <alignment horizontal="center"/>
    </dxf>
    <dxf>
      <font>
        <color auto="1"/>
      </font>
    </dxf>
    <dxf>
      <fill>
        <patternFill patternType="solid">
          <bgColor rgb="FF92D050"/>
        </patternFill>
      </fill>
    </dxf>
    <dxf>
      <fill>
        <patternFill>
          <bgColor rgb="FFFFFF00"/>
        </patternFill>
      </fill>
    </dxf>
    <dxf>
      <fill>
        <patternFill>
          <bgColor rgb="FFFF7C80"/>
        </patternFill>
      </fill>
    </dxf>
    <dxf>
      <fill>
        <patternFill>
          <bgColor theme="2" tint="-9.9978637043366805E-2"/>
        </patternFill>
      </fill>
    </dxf>
    <dxf>
      <fill>
        <patternFill>
          <bgColor rgb="FFFF7C80"/>
        </patternFill>
      </fill>
    </dxf>
    <dxf>
      <alignment wrapText="1"/>
    </dxf>
    <dxf>
      <numFmt numFmtId="13" formatCode="0%"/>
    </dxf>
    <dxf>
      <font>
        <color theme="1" tint="0.499984740745262"/>
      </font>
    </dxf>
    <dxf>
      <font>
        <sz val="14"/>
      </font>
    </dxf>
    <dxf>
      <font>
        <sz val="14"/>
      </font>
    </dxf>
    <dxf>
      <alignment vertical="center"/>
    </dxf>
    <dxf>
      <alignment vertic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protection locked="0"/>
    </dxf>
    <dxf>
      <protection locked="0"/>
    </dxf>
    <dxf>
      <fill>
        <patternFill>
          <bgColor rgb="FFFFFFCC"/>
        </patternFill>
      </fill>
    </dxf>
    <dxf>
      <fill>
        <patternFill>
          <bgColor rgb="FFFFFFCC"/>
        </patternFill>
      </fill>
    </dxf>
    <dxf>
      <font>
        <sz val="12"/>
      </font>
    </dxf>
    <dxf>
      <font>
        <sz val="12"/>
      </font>
    </dxf>
    <dxf>
      <font>
        <sz val="12"/>
      </font>
    </dxf>
    <dxf>
      <font>
        <sz val="12"/>
      </font>
    </dxf>
    <dxf>
      <font>
        <sz val="12"/>
      </font>
    </dxf>
    <dxf>
      <protection locked="1"/>
    </dxf>
    <dxf>
      <protection locked="1"/>
    </dxf>
    <dxf>
      <protection locked="1"/>
    </dxf>
    <dxf>
      <protection locked="1"/>
    </dxf>
    <dxf>
      <protection locked="1"/>
    </dxf>
    <dxf>
      <alignment textRotation="90"/>
    </dxf>
    <dxf>
      <alignment horizontal="center"/>
    </dxf>
    <dxf>
      <alignment horizontal="center"/>
    </dxf>
    <dxf>
      <fill>
        <patternFill patternType="solid">
          <bgColor rgb="FF388600"/>
        </patternFill>
      </fill>
    </dxf>
    <dxf>
      <fill>
        <patternFill patternType="solid">
          <bgColor rgb="FF388600"/>
        </patternFill>
      </fill>
    </dxf>
    <dxf>
      <fill>
        <patternFill patternType="solid">
          <bgColor rgb="FF92D050"/>
        </patternFill>
      </fill>
    </dxf>
    <dxf>
      <fill>
        <patternFill patternType="solid">
          <bgColor rgb="FF92D050"/>
        </patternFill>
      </fill>
    </dxf>
    <dxf>
      <fill>
        <patternFill patternType="solid">
          <bgColor rgb="FFFF7C80"/>
        </patternFill>
      </fill>
    </dxf>
    <dxf>
      <fill>
        <patternFill patternType="solid">
          <bgColor rgb="FFFF7C80"/>
        </patternFill>
      </fill>
    </dxf>
    <dxf>
      <font>
        <color auto="1"/>
      </font>
    </dxf>
    <dxf>
      <fill>
        <patternFill patternType="solid">
          <bgColor theme="2" tint="-9.9978637043366805E-2"/>
        </patternFill>
      </fill>
    </dxf>
    <dxf>
      <fill>
        <patternFill patternType="solid">
          <bgColor theme="2" tint="-9.9978637043366805E-2"/>
        </patternFill>
      </fill>
    </dxf>
    <dxf>
      <fill>
        <patternFill patternType="solid">
          <bgColor rgb="FFFF7C80"/>
        </patternFill>
      </fill>
    </dxf>
    <dxf>
      <fill>
        <patternFill patternType="solid">
          <bgColor rgb="FFFF7C80"/>
        </patternFill>
      </fill>
    </dxf>
    <dxf>
      <alignment horizontal="center"/>
    </dxf>
    <dxf>
      <font>
        <color auto="1"/>
      </font>
    </dxf>
    <dxf>
      <fill>
        <patternFill>
          <bgColor rgb="FF92D050"/>
        </patternFill>
      </fill>
    </dxf>
    <dxf>
      <fill>
        <patternFill>
          <bgColor rgb="FFFFFF00"/>
        </patternFill>
      </fill>
    </dxf>
    <dxf>
      <fill>
        <patternFill>
          <bgColor rgb="FFFF7C80"/>
        </patternFill>
      </fill>
    </dxf>
    <dxf>
      <alignment wrapText="1"/>
    </dxf>
    <dxf>
      <alignment wrapText="1"/>
    </dxf>
    <dxf>
      <numFmt numFmtId="13" formatCode="0%"/>
    </dxf>
    <dxf>
      <numFmt numFmtId="13" formatCode="0%"/>
    </dxf>
    <dxf>
      <font>
        <color theme="7"/>
      </font>
    </dxf>
    <dxf>
      <fill>
        <patternFill>
          <bgColor theme="0" tint="-0.14999847407452621"/>
        </patternFill>
      </fill>
    </dxf>
    <dxf>
      <alignment textRotation="90"/>
    </dxf>
    <dxf>
      <alignment textRotation="90"/>
    </dxf>
    <dxf>
      <alignment horizontal="center"/>
    </dxf>
    <dxf>
      <fill>
        <patternFill patternType="solid">
          <bgColor rgb="FFFF6600"/>
        </patternFill>
      </fill>
    </dxf>
    <dxf>
      <fill>
        <patternFill>
          <bgColor rgb="FFFF7C80"/>
        </patternFill>
      </fill>
    </dxf>
    <dxf>
      <fill>
        <patternFill>
          <bgColor theme="0" tint="-0.14999847407452621"/>
        </patternFill>
      </fill>
    </dxf>
    <dxf>
      <fill>
        <patternFill>
          <bgColor rgb="FFFF7C80"/>
        </patternFill>
      </fill>
    </dxf>
    <dxf>
      <fill>
        <patternFill>
          <bgColor rgb="FFFFFF00"/>
        </patternFill>
      </fill>
    </dxf>
    <dxf>
      <fill>
        <patternFill>
          <bgColor rgb="FF92D050"/>
        </patternFill>
      </fill>
    </dxf>
    <dxf>
      <fill>
        <patternFill>
          <bgColor theme="1" tint="0.34998626667073579"/>
        </patternFill>
      </fill>
    </dxf>
    <dxf>
      <fill>
        <patternFill>
          <bgColor theme="1" tint="0.34998626667073579"/>
        </patternFill>
      </fill>
    </dxf>
    <dxf>
      <alignment horizontal="center"/>
    </dxf>
    <dxf>
      <alignment wrapText="1"/>
    </dxf>
    <dxf>
      <alignment wrapText="1"/>
    </dxf>
    <dxf>
      <alignment vertical="center"/>
    </dxf>
    <dxf>
      <alignment horizontal="center"/>
    </dxf>
    <dxf>
      <font>
        <sz val="14"/>
      </font>
    </dxf>
    <dxf>
      <font>
        <sz val="14"/>
      </font>
    </dxf>
    <dxf>
      <font>
        <sz val="14"/>
      </font>
    </dxf>
    <dxf>
      <font>
        <b/>
      </font>
    </dxf>
    <dxf>
      <font>
        <b/>
      </font>
    </dxf>
    <dxf>
      <font>
        <b/>
      </font>
    </dxf>
    <dxf>
      <alignment vertical="center"/>
    </dxf>
    <dxf>
      <alignment vertical="center"/>
    </dxf>
    <dxf>
      <alignment vertical="center"/>
    </dxf>
    <dxf>
      <alignment horizontal="center"/>
    </dxf>
    <dxf>
      <alignment horizontal="center"/>
    </dxf>
    <dxf>
      <alignment horizontal="center"/>
    </dxf>
    <dxf>
      <fill>
        <patternFill patternType="solid">
          <bgColor rgb="FFFF7C80"/>
        </patternFill>
      </fill>
    </dxf>
    <dxf>
      <font>
        <b val="0"/>
      </font>
    </dxf>
    <dxf>
      <font>
        <color auto="1"/>
      </font>
    </dxf>
    <dxf>
      <protection locked="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protection locked="1"/>
    </dxf>
    <dxf>
      <protection locked="1"/>
    </dxf>
    <dxf>
      <protection locked="1"/>
    </dxf>
    <dxf>
      <font>
        <sz val="12"/>
      </font>
    </dxf>
    <dxf>
      <alignment wrapText="1"/>
    </dxf>
    <dxf>
      <alignment wrapText="1"/>
    </dxf>
    <dxf>
      <alignment wrapText="1"/>
    </dxf>
    <dxf>
      <alignment vertical="center"/>
    </dxf>
    <dxf>
      <fill>
        <patternFill patternType="solid">
          <bgColor rgb="FF92D050"/>
        </patternFill>
      </fill>
    </dxf>
    <dxf>
      <fill>
        <patternFill patternType="solid">
          <bgColor rgb="FFFFFF00"/>
        </patternFill>
      </fill>
    </dxf>
    <dxf>
      <fill>
        <patternFill patternType="solid">
          <bgColor rgb="FFFF7C80"/>
        </patternFill>
      </fill>
    </dxf>
    <dxf>
      <font>
        <color auto="1"/>
      </font>
    </dxf>
    <dxf>
      <font>
        <sz val="14"/>
      </font>
    </dxf>
    <dxf>
      <alignment horizontal="center"/>
    </dxf>
    <dxf>
      <alignment horizontal="center"/>
    </dxf>
    <dxf>
      <alignment vertical="top"/>
    </dxf>
    <dxf>
      <protection locked="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alignment vertical="center"/>
    </dxf>
    <dxf>
      <protection locked="1"/>
    </dxf>
    <dxf>
      <protection locked="1"/>
    </dxf>
    <dxf>
      <protection locked="1"/>
    </dxf>
    <dxf>
      <font>
        <sz val="12"/>
      </font>
    </dxf>
    <dxf>
      <font>
        <sz val="9"/>
      </font>
    </dxf>
    <dxf>
      <alignment wrapText="1"/>
    </dxf>
    <dxf>
      <alignment vertical="center"/>
    </dxf>
    <dxf>
      <alignment horizontal="center"/>
    </dxf>
    <dxf>
      <font>
        <sz val="14"/>
      </font>
    </dxf>
    <dxf>
      <font>
        <sz val="14"/>
      </font>
    </dxf>
    <dxf>
      <font>
        <sz val="14"/>
      </font>
    </dxf>
    <dxf>
      <font>
        <b/>
      </font>
    </dxf>
    <dxf>
      <font>
        <b/>
      </font>
    </dxf>
    <dxf>
      <font>
        <b/>
      </font>
    </dxf>
    <dxf>
      <alignment vertical="center"/>
    </dxf>
    <dxf>
      <alignment vertical="center"/>
    </dxf>
    <dxf>
      <alignment vertical="center"/>
    </dxf>
    <dxf>
      <alignment horizontal="center"/>
    </dxf>
    <dxf>
      <alignment horizontal="center"/>
    </dxf>
    <dxf>
      <alignment horizontal="center"/>
    </dxf>
    <dxf>
      <fill>
        <patternFill patternType="solid">
          <bgColor rgb="FFFF7C80"/>
        </patternFill>
      </fill>
    </dxf>
    <dxf>
      <font>
        <b val="0"/>
      </font>
    </dxf>
    <dxf>
      <font>
        <color auto="1"/>
      </font>
    </dxf>
    <dxf>
      <protection locked="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protection locked="1"/>
    </dxf>
    <dxf>
      <protection locked="1"/>
    </dxf>
    <dxf>
      <protection locked="1"/>
    </dxf>
    <dxf>
      <font>
        <sz val="12"/>
      </font>
    </dxf>
    <dxf>
      <fill>
        <patternFill patternType="solid">
          <bgColor rgb="FFFF7C80"/>
        </patternFill>
      </fill>
    </dxf>
    <dxf>
      <font>
        <color theme="1" tint="4.9989318521683403E-2"/>
      </font>
    </dxf>
    <dxf>
      <border>
        <left/>
      </border>
    </dxf>
    <dxf>
      <fill>
        <patternFill>
          <bgColor theme="0"/>
        </patternFill>
      </fill>
    </dxf>
    <dxf>
      <fill>
        <patternFill>
          <bgColor theme="3" tint="0.89999084444715716"/>
        </patternFill>
      </fill>
    </dxf>
    <dxf>
      <border>
        <left style="thin">
          <color indexed="64"/>
        </left>
      </border>
    </dxf>
    <dxf>
      <border>
        <right style="thin">
          <color indexed="64"/>
        </right>
      </border>
    </dxf>
    <dxf>
      <border>
        <left style="thin">
          <color indexed="64"/>
        </left>
      </border>
    </dxf>
    <dxf>
      <border>
        <left style="thin">
          <color indexed="64"/>
        </left>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ill>
        <patternFill patternType="solid">
          <bgColor rgb="FFFFFF99"/>
        </patternFill>
      </fill>
    </dxf>
    <dxf>
      <fill>
        <patternFill>
          <bgColor rgb="FFFFFF99"/>
        </patternFill>
      </fill>
    </dxf>
    <dxf>
      <font>
        <sz val="14"/>
      </font>
    </dxf>
    <dxf>
      <alignment horizontal="center"/>
    </dxf>
    <dxf>
      <alignment horizontal="center"/>
    </dxf>
    <dxf>
      <alignment horizontal="center"/>
    </dxf>
    <dxf>
      <font>
        <sz val="12"/>
      </font>
    </dxf>
    <dxf>
      <font>
        <sz val="12"/>
      </font>
    </dxf>
    <dxf>
      <font>
        <sz val="12"/>
      </font>
    </dxf>
    <dxf>
      <font>
        <sz val="12"/>
      </font>
    </dxf>
    <dxf>
      <protection locked="1"/>
    </dxf>
    <dxf>
      <protection locked="1"/>
    </dxf>
    <dxf>
      <protection locked="1"/>
    </dxf>
    <dxf>
      <protection locked="1"/>
    </dxf>
    <dxf>
      <alignment wrapText="1"/>
    </dxf>
    <dxf>
      <alignment wrapText="1"/>
    </dxf>
    <dxf>
      <alignment wrapText="1"/>
    </dxf>
    <dxf>
      <alignment vertical="center"/>
    </dxf>
    <dxf>
      <fill>
        <patternFill patternType="solid">
          <bgColor rgb="FF92D050"/>
        </patternFill>
      </fill>
    </dxf>
    <dxf>
      <fill>
        <patternFill patternType="solid">
          <bgColor rgb="FFFFFF00"/>
        </patternFill>
      </fill>
    </dxf>
    <dxf>
      <fill>
        <patternFill patternType="solid">
          <bgColor rgb="FFFF7C80"/>
        </patternFill>
      </fill>
    </dxf>
    <dxf>
      <font>
        <color auto="1"/>
      </font>
    </dxf>
    <dxf>
      <font>
        <sz val="14"/>
      </font>
    </dxf>
    <dxf>
      <alignment horizontal="center"/>
    </dxf>
    <dxf>
      <alignment horizontal="center"/>
    </dxf>
    <dxf>
      <alignment vertical="top"/>
    </dxf>
    <dxf>
      <protection locked="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alignment vertical="center"/>
    </dxf>
    <dxf>
      <protection locked="1"/>
    </dxf>
    <dxf>
      <protection locked="1"/>
    </dxf>
    <dxf>
      <protection locked="1"/>
    </dxf>
    <dxf>
      <font>
        <sz val="12"/>
      </font>
    </dxf>
    <dxf>
      <border>
        <right style="thin">
          <color indexed="64"/>
        </right>
      </border>
    </dxf>
    <dxf>
      <border>
        <left style="thin">
          <color indexed="64"/>
        </left>
      </border>
    </dxf>
    <dxf>
      <font>
        <b/>
      </font>
    </dxf>
    <dxf>
      <font>
        <sz val="12"/>
      </font>
    </dxf>
    <dxf>
      <alignment textRotation="90"/>
    </dxf>
    <dxf>
      <alignment horizontal="center"/>
    </dxf>
    <dxf>
      <alignment horizontal="center"/>
    </dxf>
    <dxf>
      <fill>
        <patternFill patternType="solid">
          <bgColor rgb="FF388600"/>
        </patternFill>
      </fill>
    </dxf>
    <dxf>
      <fill>
        <patternFill patternType="solid">
          <bgColor rgb="FF388600"/>
        </patternFill>
      </fill>
    </dxf>
    <dxf>
      <fill>
        <patternFill patternType="solid">
          <bgColor rgb="FF92D050"/>
        </patternFill>
      </fill>
    </dxf>
    <dxf>
      <fill>
        <patternFill patternType="solid">
          <bgColor rgb="FF92D050"/>
        </patternFill>
      </fill>
    </dxf>
    <dxf>
      <fill>
        <patternFill patternType="solid">
          <bgColor rgb="FFFF7C80"/>
        </patternFill>
      </fill>
    </dxf>
    <dxf>
      <fill>
        <patternFill patternType="solid">
          <bgColor rgb="FFFF7C80"/>
        </patternFill>
      </fill>
    </dxf>
    <dxf>
      <font>
        <color auto="1"/>
      </font>
    </dxf>
    <dxf>
      <fill>
        <patternFill patternType="solid">
          <bgColor theme="2" tint="-9.9978637043366805E-2"/>
        </patternFill>
      </fill>
    </dxf>
    <dxf>
      <fill>
        <patternFill patternType="solid">
          <bgColor theme="2" tint="-9.9978637043366805E-2"/>
        </patternFill>
      </fill>
    </dxf>
    <dxf>
      <fill>
        <patternFill patternType="solid">
          <bgColor rgb="FFFF7C80"/>
        </patternFill>
      </fill>
    </dxf>
    <dxf>
      <fill>
        <patternFill patternType="solid">
          <bgColor rgb="FFFF7C80"/>
        </patternFill>
      </fill>
    </dxf>
    <dxf>
      <alignment horizontal="center"/>
    </dxf>
    <dxf>
      <font>
        <color auto="1"/>
      </font>
    </dxf>
    <dxf>
      <fill>
        <patternFill>
          <bgColor rgb="FF92D050"/>
        </patternFill>
      </fill>
    </dxf>
    <dxf>
      <fill>
        <patternFill>
          <bgColor rgb="FFFFFF00"/>
        </patternFill>
      </fill>
    </dxf>
    <dxf>
      <fill>
        <patternFill>
          <bgColor rgb="FFFF7C80"/>
        </patternFill>
      </fill>
    </dxf>
    <dxf>
      <alignment wrapText="1"/>
    </dxf>
    <dxf>
      <alignment wrapText="1"/>
    </dxf>
    <dxf>
      <numFmt numFmtId="13" formatCode="0%"/>
    </dxf>
    <dxf>
      <numFmt numFmtId="13" formatCode="0%"/>
    </dxf>
    <dxf>
      <alignment textRotation="90"/>
    </dxf>
    <dxf>
      <alignment textRotation="90"/>
    </dxf>
    <dxf>
      <alignment horizontal="center"/>
    </dxf>
    <dxf>
      <fill>
        <patternFill patternType="solid">
          <bgColor rgb="FFFF6600"/>
        </patternFill>
      </fill>
    </dxf>
    <dxf>
      <fill>
        <patternFill>
          <bgColor rgb="FFFF7C80"/>
        </patternFill>
      </fill>
    </dxf>
    <dxf>
      <fill>
        <patternFill>
          <bgColor rgb="FFFF7C80"/>
        </patternFill>
      </fill>
    </dxf>
    <dxf>
      <fill>
        <patternFill>
          <bgColor rgb="FFFFFF00"/>
        </patternFill>
      </fill>
    </dxf>
    <dxf>
      <fill>
        <patternFill>
          <bgColor rgb="FF92D050"/>
        </patternFill>
      </fill>
    </dxf>
    <dxf>
      <fill>
        <patternFill>
          <bgColor theme="1" tint="0.34998626667073579"/>
        </patternFill>
      </fill>
    </dxf>
    <dxf>
      <fill>
        <patternFill>
          <bgColor theme="1" tint="0.34998626667073579"/>
        </patternFill>
      </fill>
    </dxf>
    <dxf>
      <alignment horizontal="center"/>
    </dxf>
    <dxf>
      <alignment wrapText="1"/>
    </dxf>
    <dxf>
      <alignment vertical="center"/>
    </dxf>
    <dxf>
      <alignment vertical="center"/>
    </dxf>
    <dxf>
      <fill>
        <patternFill patternType="solid">
          <bgColor theme="7" tint="0.79998168889431442"/>
        </patternFill>
      </fill>
    </dxf>
    <dxf>
      <fill>
        <patternFill>
          <bgColor theme="7" tint="0.59999389629810485"/>
        </patternFill>
      </fill>
    </dxf>
    <dxf>
      <font>
        <color theme="3" tint="0.249977111117893"/>
      </font>
    </dxf>
    <dxf>
      <fill>
        <patternFill>
          <bgColor theme="8" tint="-0.249977111117893"/>
        </patternFill>
      </fill>
    </dxf>
    <dxf>
      <fill>
        <patternFill>
          <bgColor theme="8" tint="-0.249977111117893"/>
        </patternFill>
      </fill>
    </dxf>
    <dxf>
      <alignment textRotation="255"/>
    </dxf>
    <dxf>
      <border>
        <vertical style="thin">
          <color auto="1"/>
        </vertical>
      </border>
    </dxf>
    <dxf>
      <fill>
        <patternFill>
          <bgColor theme="2" tint="-9.9978637043366805E-2"/>
        </patternFill>
      </fill>
    </dxf>
    <dxf>
      <fill>
        <patternFill patternType="solid">
          <bgColor rgb="FFFF7C80"/>
        </patternFill>
      </fill>
    </dxf>
    <dxf>
      <fill>
        <patternFill patternType="solid">
          <bgColor rgb="FFFF7C80"/>
        </patternFill>
      </fill>
    </dxf>
    <dxf>
      <font>
        <color theme="1" tint="4.9989318521683403E-2"/>
      </font>
    </dxf>
    <dxf>
      <alignment textRotation="90"/>
    </dxf>
    <dxf>
      <alignment horizontal="center"/>
    </dxf>
    <dxf>
      <alignment vertical="center"/>
    </dxf>
    <dxf>
      <border>
        <right style="thin">
          <color indexed="64"/>
        </right>
      </border>
    </dxf>
    <dxf>
      <fill>
        <patternFill>
          <bgColor theme="3" tint="0.89999084444715716"/>
        </patternFill>
      </fill>
    </dxf>
    <dxf>
      <fill>
        <patternFill>
          <bgColor theme="3" tint="0.89999084444715716"/>
        </patternFill>
      </fill>
    </dxf>
    <dxf>
      <alignment horizontal="center"/>
    </dxf>
    <dxf>
      <alignment textRotation="89"/>
    </dxf>
    <dxf>
      <font>
        <color auto="1"/>
      </font>
    </dxf>
    <dxf>
      <fill>
        <patternFill patternType="solid">
          <bgColor rgb="FFFF7C80"/>
        </patternFill>
      </fill>
    </dxf>
    <dxf>
      <fill>
        <patternFill>
          <bgColor rgb="FFFF7C80"/>
        </patternFill>
      </fill>
    </dxf>
    <dxf>
      <fill>
        <patternFill>
          <bgColor rgb="FFFF7C80"/>
        </patternFill>
      </fill>
    </dxf>
    <dxf>
      <numFmt numFmtId="13" formatCode="0%"/>
    </dxf>
    <dxf>
      <alignment wrapText="1"/>
    </dxf>
    <dxf>
      <fill>
        <patternFill patternType="solid">
          <bgColor rgb="FF92D050"/>
        </patternFill>
      </fill>
    </dxf>
    <dxf>
      <font>
        <color auto="1"/>
      </font>
    </dxf>
    <dxf>
      <alignment horizontal="center"/>
    </dxf>
    <dxf>
      <fill>
        <patternFill patternType="solid">
          <bgColor rgb="FFFF7C80"/>
        </patternFill>
      </fill>
    </dxf>
    <dxf>
      <fill>
        <patternFill patternType="solid">
          <bgColor rgb="FFFF7C80"/>
        </patternFill>
      </fill>
    </dxf>
    <dxf>
      <fill>
        <patternFill patternType="solid">
          <bgColor theme="2" tint="-9.9978637043366805E-2"/>
        </patternFill>
      </fill>
    </dxf>
    <dxf>
      <fill>
        <patternFill patternType="solid">
          <bgColor rgb="FFFF7C80"/>
        </patternFill>
      </fill>
    </dxf>
    <dxf>
      <fill>
        <patternFill patternType="solid">
          <bgColor rgb="FF92D050"/>
        </patternFill>
      </fill>
    </dxf>
    <dxf>
      <fill>
        <patternFill patternType="solid">
          <bgColor rgb="FF388600"/>
        </patternFill>
      </fill>
    </dxf>
    <dxf>
      <alignment horizontal="center"/>
    </dxf>
    <dxf>
      <alignment horizontal="center"/>
    </dxf>
    <dxf>
      <alignment textRotation="90"/>
    </dxf>
    <dxf>
      <font>
        <color theme="1" tint="0.499984740745262"/>
      </font>
    </dxf>
    <dxf>
      <numFmt numFmtId="13" formatCode="0%"/>
    </dxf>
    <dxf>
      <alignment wrapText="1"/>
    </dxf>
    <dxf>
      <fill>
        <patternFill>
          <bgColor rgb="FFFF7C80"/>
        </patternFill>
      </fill>
    </dxf>
    <dxf>
      <fill>
        <patternFill>
          <bgColor theme="2" tint="-9.9978637043366805E-2"/>
        </patternFill>
      </fill>
    </dxf>
    <dxf>
      <fill>
        <patternFill>
          <bgColor rgb="FFFF7C80"/>
        </patternFill>
      </fill>
    </dxf>
    <dxf>
      <fill>
        <patternFill>
          <bgColor rgb="FFFFFF00"/>
        </patternFill>
      </fill>
    </dxf>
    <dxf>
      <fill>
        <patternFill patternType="solid">
          <bgColor rgb="FF92D050"/>
        </patternFill>
      </fill>
    </dxf>
    <dxf>
      <font>
        <color auto="1"/>
      </font>
    </dxf>
    <dxf>
      <alignment horizontal="center"/>
    </dxf>
    <dxf>
      <fill>
        <patternFill patternType="solid">
          <bgColor rgb="FFFF7C80"/>
        </patternFill>
      </fill>
    </dxf>
    <dxf>
      <fill>
        <patternFill patternType="solid">
          <bgColor rgb="FFFF7C80"/>
        </patternFill>
      </fill>
    </dxf>
    <dxf>
      <fill>
        <patternFill patternType="solid">
          <bgColor theme="2" tint="-9.9978637043366805E-2"/>
        </patternFill>
      </fill>
    </dxf>
    <dxf>
      <fill>
        <patternFill patternType="solid">
          <bgColor theme="2" tint="-9.9978637043366805E-2"/>
        </patternFill>
      </fill>
    </dxf>
    <dxf>
      <font>
        <color auto="1"/>
      </font>
    </dxf>
    <dxf>
      <fill>
        <patternFill patternType="solid">
          <bgColor rgb="FFFF7C80"/>
        </patternFill>
      </fill>
    </dxf>
    <dxf>
      <fill>
        <patternFill patternType="solid">
          <bgColor rgb="FFFF7C80"/>
        </patternFill>
      </fill>
    </dxf>
    <dxf>
      <fill>
        <patternFill>
          <bgColor rgb="FFFFFF00"/>
        </patternFill>
      </fill>
    </dxf>
    <dxf>
      <fill>
        <patternFill>
          <bgColor rgb="FF92D050"/>
        </patternFill>
      </fill>
    </dxf>
    <dxf>
      <fill>
        <patternFill patternType="solid">
          <bgColor rgb="FF92D050"/>
        </patternFill>
      </fill>
    </dxf>
    <dxf>
      <fill>
        <patternFill patternType="solid">
          <bgColor rgb="FF92D050"/>
        </patternFill>
      </fill>
    </dxf>
    <dxf>
      <fill>
        <patternFill patternType="solid">
          <bgColor rgb="FF388600"/>
        </patternFill>
      </fill>
    </dxf>
    <dxf>
      <fill>
        <patternFill patternType="solid">
          <bgColor rgb="FF388600"/>
        </patternFill>
      </fill>
    </dxf>
    <dxf>
      <alignment horizontal="center"/>
    </dxf>
    <dxf>
      <alignment horizontal="center"/>
    </dxf>
    <dxf>
      <alignment textRotation="90"/>
    </dxf>
    <dxf>
      <font>
        <sz val="9"/>
      </font>
    </dxf>
    <dxf>
      <font>
        <sz val="12"/>
      </font>
    </dxf>
    <dxf>
      <protection locked="1"/>
    </dxf>
    <dxf>
      <protection locked="1"/>
    </dxf>
    <dxf>
      <protection locked="1"/>
    </dxf>
    <dxf>
      <alignment vertical="center"/>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protection locked="0"/>
    </dxf>
    <dxf>
      <alignment vertical="top"/>
    </dxf>
    <dxf>
      <alignment horizontal="center"/>
    </dxf>
    <dxf>
      <alignment horizontal="center"/>
    </dxf>
    <dxf>
      <font>
        <sz val="14"/>
      </font>
    </dxf>
    <dxf>
      <font>
        <color auto="1"/>
      </font>
    </dxf>
    <dxf>
      <fill>
        <patternFill patternType="solid">
          <bgColor rgb="FFFF7C80"/>
        </patternFill>
      </fill>
    </dxf>
    <dxf>
      <fill>
        <patternFill patternType="solid">
          <bgColor rgb="FFFFFF00"/>
        </patternFill>
      </fill>
    </dxf>
    <dxf>
      <fill>
        <patternFill patternType="solid">
          <bgColor rgb="FF92D050"/>
        </patternFill>
      </fill>
    </dxf>
    <dxf>
      <alignment vertical="center"/>
    </dxf>
    <dxf>
      <alignment wrapText="1"/>
    </dxf>
    <dxf>
      <alignment wrapText="1"/>
    </dxf>
    <dxf>
      <alignment wrapText="1"/>
    </dxf>
    <dxf>
      <font>
        <sz val="12"/>
      </font>
    </dxf>
    <dxf>
      <protection locked="1"/>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protection locked="0"/>
    </dxf>
    <dxf>
      <font>
        <color auto="1"/>
      </font>
    </dxf>
    <dxf>
      <font>
        <b val="0"/>
      </font>
    </dxf>
    <dxf>
      <fill>
        <patternFill patternType="solid">
          <bgColor rgb="FFFF7C80"/>
        </patternFill>
      </fill>
    </dxf>
    <dxf>
      <alignment horizontal="center"/>
    </dxf>
    <dxf>
      <alignment horizontal="center"/>
    </dxf>
    <dxf>
      <alignment horizontal="center"/>
    </dxf>
    <dxf>
      <alignment vertical="center"/>
    </dxf>
    <dxf>
      <alignment vertical="center"/>
    </dxf>
    <dxf>
      <alignment vertical="center"/>
    </dxf>
    <dxf>
      <font>
        <b/>
      </font>
    </dxf>
    <dxf>
      <font>
        <b/>
      </font>
    </dxf>
    <dxf>
      <font>
        <b/>
      </font>
    </dxf>
    <dxf>
      <font>
        <sz val="14"/>
      </font>
    </dxf>
    <dxf>
      <font>
        <sz val="14"/>
      </font>
    </dxf>
    <dxf>
      <font>
        <sz val="14"/>
      </font>
    </dxf>
    <dxf>
      <alignment horizontal="center"/>
    </dxf>
    <dxf>
      <alignment vertical="center"/>
    </dxf>
    <dxf>
      <alignment wrapText="1"/>
    </dxf>
    <dxf>
      <alignment wrapText="1"/>
    </dxf>
    <dxf>
      <alignment horizontal="center"/>
    </dxf>
    <dxf>
      <fill>
        <patternFill>
          <bgColor theme="1" tint="0.34998626667073579"/>
        </patternFill>
      </fill>
    </dxf>
    <dxf>
      <fill>
        <patternFill>
          <bgColor theme="1" tint="0.34998626667073579"/>
        </patternFill>
      </fill>
    </dxf>
    <dxf>
      <fill>
        <patternFill>
          <bgColor rgb="FF92D050"/>
        </patternFill>
      </fill>
    </dxf>
    <dxf>
      <fill>
        <patternFill>
          <bgColor rgb="FFFFFF00"/>
        </patternFill>
      </fill>
    </dxf>
    <dxf>
      <fill>
        <patternFill>
          <bgColor rgb="FFFF7C80"/>
        </patternFill>
      </fill>
    </dxf>
    <dxf>
      <fill>
        <patternFill>
          <bgColor theme="0" tint="-0.14999847407452621"/>
        </patternFill>
      </fill>
    </dxf>
    <dxf>
      <fill>
        <patternFill>
          <bgColor rgb="FFFF7C80"/>
        </patternFill>
      </fill>
    </dxf>
    <dxf>
      <fill>
        <patternFill patternType="solid">
          <bgColor rgb="FFFF6600"/>
        </patternFill>
      </fill>
    </dxf>
    <dxf>
      <alignment horizontal="center"/>
    </dxf>
    <dxf>
      <alignment textRotation="90"/>
    </dxf>
    <dxf>
      <alignment textRotation="90"/>
    </dxf>
    <dxf>
      <fill>
        <patternFill>
          <bgColor theme="0" tint="-0.14999847407452621"/>
        </patternFill>
      </fill>
    </dxf>
    <dxf>
      <font>
        <color theme="7"/>
      </font>
    </dxf>
    <dxf>
      <numFmt numFmtId="13" formatCode="0%"/>
    </dxf>
    <dxf>
      <numFmt numFmtId="13" formatCode="0%"/>
    </dxf>
    <dxf>
      <alignment wrapText="1"/>
    </dxf>
    <dxf>
      <alignment wrapText="1"/>
    </dxf>
    <dxf>
      <fill>
        <patternFill>
          <bgColor rgb="FFFF7C80"/>
        </patternFill>
      </fill>
    </dxf>
    <dxf>
      <fill>
        <patternFill>
          <bgColor rgb="FFFFFF00"/>
        </patternFill>
      </fill>
    </dxf>
    <dxf>
      <fill>
        <patternFill>
          <bgColor rgb="FF92D050"/>
        </patternFill>
      </fill>
    </dxf>
    <dxf>
      <font>
        <color auto="1"/>
      </font>
    </dxf>
    <dxf>
      <alignment horizontal="center"/>
    </dxf>
    <dxf>
      <fill>
        <patternFill patternType="solid">
          <bgColor rgb="FFFF7C80"/>
        </patternFill>
      </fill>
    </dxf>
    <dxf>
      <fill>
        <patternFill patternType="solid">
          <bgColor rgb="FFFF7C80"/>
        </patternFill>
      </fill>
    </dxf>
    <dxf>
      <fill>
        <patternFill patternType="solid">
          <bgColor theme="2" tint="-9.9978637043366805E-2"/>
        </patternFill>
      </fill>
    </dxf>
    <dxf>
      <fill>
        <patternFill patternType="solid">
          <bgColor theme="2" tint="-9.9978637043366805E-2"/>
        </patternFill>
      </fill>
    </dxf>
    <dxf>
      <font>
        <color auto="1"/>
      </font>
    </dxf>
    <dxf>
      <fill>
        <patternFill patternType="solid">
          <bgColor rgb="FFFF7C80"/>
        </patternFill>
      </fill>
    </dxf>
    <dxf>
      <fill>
        <patternFill patternType="solid">
          <bgColor rgb="FFFF7C80"/>
        </patternFill>
      </fill>
    </dxf>
    <dxf>
      <fill>
        <patternFill patternType="solid">
          <bgColor rgb="FF92D050"/>
        </patternFill>
      </fill>
    </dxf>
    <dxf>
      <fill>
        <patternFill patternType="solid">
          <bgColor rgb="FF92D050"/>
        </patternFill>
      </fill>
    </dxf>
    <dxf>
      <fill>
        <patternFill patternType="solid">
          <bgColor rgb="FF388600"/>
        </patternFill>
      </fill>
    </dxf>
    <dxf>
      <fill>
        <patternFill patternType="solid">
          <bgColor rgb="FF388600"/>
        </patternFill>
      </fill>
    </dxf>
    <dxf>
      <alignment horizontal="center"/>
    </dxf>
    <dxf>
      <alignment horizontal="center"/>
    </dxf>
    <dxf>
      <alignment textRotation="90"/>
    </dxf>
    <dxf>
      <protection locked="1"/>
    </dxf>
    <dxf>
      <protection locked="1"/>
    </dxf>
    <dxf>
      <protection locked="1"/>
    </dxf>
    <dxf>
      <protection locked="1"/>
    </dxf>
    <dxf>
      <protection locked="1"/>
    </dxf>
    <dxf>
      <font>
        <sz val="12"/>
      </font>
    </dxf>
    <dxf>
      <font>
        <sz val="12"/>
      </font>
    </dxf>
    <dxf>
      <font>
        <sz val="12"/>
      </font>
    </dxf>
    <dxf>
      <font>
        <sz val="12"/>
      </font>
    </dxf>
    <dxf>
      <font>
        <sz val="12"/>
      </font>
    </dxf>
    <dxf>
      <fill>
        <patternFill>
          <bgColor rgb="FFFFFFCC"/>
        </patternFill>
      </fill>
    </dxf>
    <dxf>
      <fill>
        <patternFill>
          <bgColor rgb="FFFFFFCC"/>
        </patternFill>
      </fill>
    </dxf>
    <dxf>
      <protection locked="0"/>
    </dxf>
    <dxf>
      <protection locked="0"/>
    </dxf>
    <dxf>
      <alignment horizontal="center"/>
    </dxf>
    <dxf>
      <alignment horizontal="center"/>
    </dxf>
    <dxf>
      <alignment horizontal="center"/>
    </dxf>
    <dxf>
      <fill>
        <patternFill patternType="solid">
          <bgColor rgb="FFFFFF00"/>
        </patternFill>
      </fill>
    </dxf>
    <dxf>
      <fill>
        <patternFill patternType="solid">
          <bgColor rgb="FFFFFF00"/>
        </patternFill>
      </fill>
    </dxf>
    <dxf>
      <alignment vertical="center"/>
    </dxf>
    <dxf>
      <alignment vertical="center"/>
    </dxf>
    <dxf>
      <font>
        <sz val="14"/>
      </font>
    </dxf>
    <dxf>
      <font>
        <sz val="14"/>
      </font>
    </dxf>
    <dxf>
      <alignment horizontal="center"/>
    </dxf>
    <dxf>
      <alignment horizontal="center"/>
    </dxf>
    <dxf>
      <alignment wrapText="1"/>
    </dxf>
    <dxf>
      <numFmt numFmtId="167" formatCode="m/d/yyyy"/>
    </dxf>
    <dxf>
      <numFmt numFmtId="167" formatCode="m/d/yyyy"/>
    </dxf>
    <dxf>
      <fill>
        <patternFill>
          <bgColor theme="3" tint="0.89999084444715716"/>
        </patternFill>
      </fill>
    </dxf>
    <dxf>
      <fill>
        <patternFill>
          <bgColor theme="3" tint="0.89999084444715716"/>
        </patternFill>
      </fill>
    </dxf>
    <dxf>
      <border>
        <right style="thin">
          <color indexed="64"/>
        </right>
      </border>
    </dxf>
    <dxf>
      <alignment vertical="center"/>
    </dxf>
    <dxf>
      <alignment horizontal="center"/>
    </dxf>
    <dxf>
      <alignment textRotation="90"/>
    </dxf>
    <dxf>
      <font>
        <color theme="1" tint="4.9989318521683403E-2"/>
      </font>
    </dxf>
    <dxf>
      <fill>
        <patternFill patternType="solid">
          <bgColor rgb="FFFF7C80"/>
        </patternFill>
      </fill>
    </dxf>
    <dxf>
      <fill>
        <patternFill patternType="solid">
          <bgColor rgb="FFFF7C80"/>
        </patternFill>
      </fill>
    </dxf>
    <dxf>
      <fill>
        <patternFill>
          <bgColor theme="2" tint="-9.9978637043366805E-2"/>
        </patternFill>
      </fill>
    </dxf>
    <dxf>
      <border>
        <vertical style="thin">
          <color auto="1"/>
        </vertical>
      </border>
    </dxf>
    <dxf>
      <alignment textRotation="255"/>
    </dxf>
    <dxf>
      <fill>
        <patternFill>
          <bgColor theme="8" tint="-0.249977111117893"/>
        </patternFill>
      </fill>
    </dxf>
    <dxf>
      <fill>
        <patternFill>
          <bgColor theme="8" tint="-0.249977111117893"/>
        </patternFill>
      </fill>
    </dxf>
    <dxf>
      <font>
        <color theme="3" tint="0.249977111117893"/>
      </font>
    </dxf>
    <dxf>
      <fill>
        <patternFill>
          <bgColor theme="7" tint="0.59999389629810485"/>
        </patternFill>
      </fill>
    </dxf>
    <dxf>
      <fill>
        <patternFill patternType="solid">
          <bgColor theme="7" tint="0.79998168889431442"/>
        </patternFill>
      </fill>
    </dxf>
    <dxf>
      <alignment vertical="center"/>
    </dxf>
    <dxf>
      <alignment vertical="center"/>
    </dxf>
    <dxf>
      <alignment wrapText="1"/>
    </dxf>
    <dxf>
      <alignment horizontal="center"/>
    </dxf>
    <dxf>
      <fill>
        <patternFill>
          <bgColor theme="1" tint="0.34998626667073579"/>
        </patternFill>
      </fill>
    </dxf>
    <dxf>
      <fill>
        <patternFill>
          <bgColor theme="1" tint="0.34998626667073579"/>
        </patternFill>
      </fill>
    </dxf>
    <dxf>
      <fill>
        <patternFill>
          <bgColor rgb="FF92D050"/>
        </patternFill>
      </fill>
    </dxf>
    <dxf>
      <fill>
        <patternFill>
          <bgColor rgb="FFFFFF00"/>
        </patternFill>
      </fill>
    </dxf>
    <dxf>
      <fill>
        <patternFill>
          <bgColor rgb="FFFF7C80"/>
        </patternFill>
      </fill>
    </dxf>
    <dxf>
      <fill>
        <patternFill>
          <bgColor rgb="FFFF7C80"/>
        </patternFill>
      </fill>
    </dxf>
    <dxf>
      <fill>
        <patternFill patternType="solid">
          <bgColor rgb="FFFF6600"/>
        </patternFill>
      </fill>
    </dxf>
    <dxf>
      <alignment horizontal="center"/>
    </dxf>
    <dxf>
      <alignment textRotation="90"/>
    </dxf>
    <dxf>
      <alignment textRotation="90"/>
    </dxf>
    <dxf>
      <numFmt numFmtId="13" formatCode="0%"/>
    </dxf>
    <dxf>
      <numFmt numFmtId="13" formatCode="0%"/>
    </dxf>
    <dxf>
      <alignment wrapText="1"/>
    </dxf>
    <dxf>
      <alignment wrapText="1"/>
    </dxf>
    <dxf>
      <fill>
        <patternFill>
          <bgColor rgb="FFFF7C80"/>
        </patternFill>
      </fill>
    </dxf>
    <dxf>
      <fill>
        <patternFill>
          <bgColor rgb="FFFFFF00"/>
        </patternFill>
      </fill>
    </dxf>
    <dxf>
      <fill>
        <patternFill>
          <bgColor rgb="FF92D050"/>
        </patternFill>
      </fill>
    </dxf>
    <dxf>
      <font>
        <color auto="1"/>
      </font>
    </dxf>
    <dxf>
      <alignment horizontal="center"/>
    </dxf>
    <dxf>
      <fill>
        <patternFill patternType="solid">
          <bgColor rgb="FFFF7C80"/>
        </patternFill>
      </fill>
    </dxf>
    <dxf>
      <fill>
        <patternFill patternType="solid">
          <bgColor rgb="FFFF7C80"/>
        </patternFill>
      </fill>
    </dxf>
    <dxf>
      <fill>
        <patternFill patternType="solid">
          <bgColor theme="2" tint="-9.9978637043366805E-2"/>
        </patternFill>
      </fill>
    </dxf>
    <dxf>
      <fill>
        <patternFill patternType="solid">
          <bgColor theme="2" tint="-9.9978637043366805E-2"/>
        </patternFill>
      </fill>
    </dxf>
    <dxf>
      <font>
        <color auto="1"/>
      </font>
    </dxf>
    <dxf>
      <fill>
        <patternFill patternType="solid">
          <bgColor rgb="FFFF7C80"/>
        </patternFill>
      </fill>
    </dxf>
    <dxf>
      <fill>
        <patternFill patternType="solid">
          <bgColor rgb="FFFF7C80"/>
        </patternFill>
      </fill>
    </dxf>
    <dxf>
      <fill>
        <patternFill patternType="solid">
          <bgColor rgb="FF92D050"/>
        </patternFill>
      </fill>
    </dxf>
    <dxf>
      <fill>
        <patternFill patternType="solid">
          <bgColor rgb="FF92D050"/>
        </patternFill>
      </fill>
    </dxf>
    <dxf>
      <fill>
        <patternFill patternType="solid">
          <bgColor rgb="FF388600"/>
        </patternFill>
      </fill>
    </dxf>
    <dxf>
      <fill>
        <patternFill patternType="solid">
          <bgColor rgb="FF388600"/>
        </patternFill>
      </fill>
    </dxf>
    <dxf>
      <alignment horizontal="center"/>
    </dxf>
    <dxf>
      <alignment horizontal="center"/>
    </dxf>
    <dxf>
      <alignment textRotation="90"/>
    </dxf>
    <dxf>
      <font>
        <sz val="12"/>
      </font>
    </dxf>
    <dxf>
      <font>
        <b/>
      </font>
    </dxf>
    <dxf>
      <border>
        <left style="thin">
          <color indexed="64"/>
        </left>
      </border>
    </dxf>
    <dxf>
      <border>
        <right style="thin">
          <color indexed="64"/>
        </right>
      </border>
    </dxf>
    <dxf>
      <font>
        <sz val="12"/>
      </font>
    </dxf>
    <dxf>
      <protection locked="1"/>
    </dxf>
    <dxf>
      <protection locked="1"/>
    </dxf>
    <dxf>
      <protection locked="1"/>
    </dxf>
    <dxf>
      <alignment vertical="center"/>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protection locked="0"/>
    </dxf>
    <dxf>
      <alignment vertical="top"/>
    </dxf>
    <dxf>
      <alignment horizontal="center"/>
    </dxf>
    <dxf>
      <alignment horizontal="center"/>
    </dxf>
    <dxf>
      <font>
        <sz val="14"/>
      </font>
    </dxf>
    <dxf>
      <font>
        <color auto="1"/>
      </font>
    </dxf>
    <dxf>
      <fill>
        <patternFill patternType="solid">
          <bgColor rgb="FFFF7C80"/>
        </patternFill>
      </fill>
    </dxf>
    <dxf>
      <fill>
        <patternFill patternType="solid">
          <bgColor rgb="FFFFFF00"/>
        </patternFill>
      </fill>
    </dxf>
    <dxf>
      <fill>
        <patternFill patternType="solid">
          <bgColor rgb="FF92D050"/>
        </patternFill>
      </fill>
    </dxf>
    <dxf>
      <alignment vertical="center"/>
    </dxf>
    <dxf>
      <alignment wrapText="1"/>
    </dxf>
    <dxf>
      <alignment wrapText="1"/>
    </dxf>
    <dxf>
      <alignment wrapText="1"/>
    </dxf>
    <dxf>
      <protection locked="1"/>
    </dxf>
    <dxf>
      <protection locked="1"/>
    </dxf>
    <dxf>
      <protection locked="1"/>
    </dxf>
    <dxf>
      <protection locked="1"/>
    </dxf>
    <dxf>
      <font>
        <sz val="12"/>
      </font>
    </dxf>
    <dxf>
      <font>
        <sz val="12"/>
      </font>
    </dxf>
    <dxf>
      <font>
        <sz val="12"/>
      </font>
    </dxf>
    <dxf>
      <font>
        <sz val="12"/>
      </font>
    </dxf>
    <dxf>
      <alignment horizontal="center"/>
    </dxf>
    <dxf>
      <alignment horizontal="center"/>
    </dxf>
    <dxf>
      <alignment horizontal="center"/>
    </dxf>
    <dxf>
      <font>
        <sz val="14"/>
      </font>
    </dxf>
    <dxf>
      <fill>
        <patternFill>
          <bgColor rgb="FFFFFF99"/>
        </patternFill>
      </fill>
    </dxf>
    <dxf>
      <fill>
        <patternFill patternType="solid">
          <bgColor rgb="FFFFFF99"/>
        </patternFill>
      </fil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border>
    </dxf>
    <dxf>
      <border>
        <left style="thin">
          <color indexed="64"/>
        </left>
      </border>
    </dxf>
    <dxf>
      <border>
        <right style="thin">
          <color indexed="64"/>
        </right>
      </border>
    </dxf>
    <dxf>
      <border>
        <left style="thin">
          <color indexed="64"/>
        </left>
      </border>
    </dxf>
    <dxf>
      <fill>
        <patternFill>
          <bgColor theme="3" tint="0.89999084444715716"/>
        </patternFill>
      </fill>
    </dxf>
    <dxf>
      <fill>
        <patternFill>
          <bgColor theme="0"/>
        </patternFill>
      </fill>
    </dxf>
    <dxf>
      <border>
        <left/>
      </border>
    </dxf>
    <dxf>
      <font>
        <color theme="1" tint="4.9989318521683403E-2"/>
      </font>
    </dxf>
    <dxf>
      <fill>
        <patternFill patternType="solid">
          <bgColor rgb="FFFF7C80"/>
        </patternFill>
      </fill>
    </dxf>
    <dxf>
      <font>
        <sz val="12"/>
      </font>
    </dxf>
    <dxf>
      <protection locked="1"/>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protection locked="0"/>
    </dxf>
    <dxf>
      <font>
        <color auto="1"/>
      </font>
    </dxf>
    <dxf>
      <font>
        <b val="0"/>
      </font>
    </dxf>
    <dxf>
      <fill>
        <patternFill patternType="solid">
          <bgColor rgb="FFFF7C80"/>
        </patternFill>
      </fill>
    </dxf>
    <dxf>
      <alignment horizontal="center"/>
    </dxf>
    <dxf>
      <alignment horizontal="center"/>
    </dxf>
    <dxf>
      <alignment horizontal="center"/>
    </dxf>
    <dxf>
      <alignment vertical="center"/>
    </dxf>
    <dxf>
      <alignment vertical="center"/>
    </dxf>
    <dxf>
      <alignment vertical="center"/>
    </dxf>
    <dxf>
      <font>
        <b/>
      </font>
    </dxf>
    <dxf>
      <font>
        <b/>
      </font>
    </dxf>
    <dxf>
      <font>
        <b/>
      </font>
    </dxf>
    <dxf>
      <font>
        <sz val="14"/>
      </font>
    </dxf>
    <dxf>
      <font>
        <sz val="14"/>
      </font>
    </dxf>
    <dxf>
      <font>
        <sz val="14"/>
      </font>
    </dxf>
    <dxf>
      <alignment horizontal="center"/>
    </dxf>
    <dxf>
      <alignment vertical="center"/>
    </dxf>
    <dxf>
      <alignment wrapText="1"/>
    </dxf>
    <dxf>
      <fill>
        <patternFill>
          <bgColor theme="0"/>
        </patternFill>
      </fill>
    </dxf>
    <dxf>
      <fill>
        <patternFill>
          <bgColor theme="3" tint="0.89996032593768116"/>
        </patternFill>
      </fill>
    </dxf>
    <dxf>
      <fill>
        <patternFill>
          <bgColor theme="1"/>
        </patternFill>
      </fill>
    </dxf>
    <dxf>
      <fill>
        <patternFill>
          <bgColor rgb="FF00B0F0"/>
        </patternFill>
      </fill>
    </dxf>
  </dxfs>
  <tableStyles count="1" defaultTableStyle="TableStyleMedium2" defaultPivotStyle="PivotStyleLight16">
    <tableStyle name="Fire Report" pivot="0" count="4" xr9:uid="{6BCE760F-7097-411D-8C0F-FEB38EF21420}">
      <tableStyleElement type="headerRow" dxfId="607"/>
      <tableStyleElement type="totalRow" dxfId="606"/>
      <tableStyleElement type="firstColumnStripe" dxfId="605"/>
      <tableStyleElement type="secondColumnStripe" dxfId="604"/>
    </tableStyle>
  </tableStyles>
  <colors>
    <mruColors>
      <color rgb="FFFF6600"/>
      <color rgb="FFFF9900"/>
      <color rgb="FFFF7C80"/>
      <color rgb="FFFFFF99"/>
      <color rgb="FFFFCC00"/>
      <color rgb="FFCC9900"/>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theme" Target="theme/theme1.xml"/><Relationship Id="rId29"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eetMetadata" Target="metadata.xml"/><Relationship Id="rId28" Type="http://schemas.microsoft.com/office/2017/06/relationships/rdSupportingPropertyBagStructure" Target="richData/rdsupportingpropertybagstructure.xml"/><Relationship Id="rId10" Type="http://schemas.openxmlformats.org/officeDocument/2006/relationships/worksheet" Target="worksheets/sheet10.xml"/><Relationship Id="rId19" Type="http://schemas.microsoft.com/office/2007/relationships/slicerCache" Target="slicerCaches/slicerCache3.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sharedStrings" Target="sharedStrings.xml"/><Relationship Id="rId27" Type="http://schemas.microsoft.com/office/2017/06/relationships/richStyles" Target="richData/richStyles.xml"/><Relationship Id="rId30"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 Id="rId4"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pivotSource>
    <c:name>[2026_Wildfire_Report_trend.xlsx]Chart-acres vs active!PivotTable1</c:name>
    <c:fmtId val="114"/>
  </c:pivotSource>
  <c:chart>
    <c:autoTitleDeleted val="1"/>
    <c:pivotFmts>
      <c:pivotFmt>
        <c:idx val="0"/>
        <c:spPr>
          <a:solidFill>
            <a:schemeClr val="accent1"/>
          </a:solidFill>
          <a:ln w="28575" cap="sq">
            <a:solidFill>
              <a:schemeClr val="tx1"/>
            </a:solidFill>
            <a:round/>
            <a:headEnd type="diamond"/>
            <a:tailEnd type="diamond"/>
          </a:ln>
          <a:effectLst/>
        </c:spPr>
        <c:marker>
          <c:symbol val="circle"/>
          <c:size val="5"/>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C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C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sq">
            <a:solidFill>
              <a:schemeClr val="tx1"/>
            </a:solidFill>
            <a:round/>
            <a:headEnd type="diamond"/>
            <a:tailEnd type="diamond"/>
          </a:ln>
          <a:effectLst/>
        </c:spPr>
        <c:marker>
          <c:symbol val="circle"/>
          <c:size val="5"/>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5875" cap="rnd">
            <a:solidFill>
              <a:sysClr val="windowText" lastClr="000000"/>
            </a:solidFill>
            <a:miter lim="800000"/>
            <a:headEnd type="none" w="sm" len="sm"/>
            <a:tailEnd type="none" w="sm" len="sm"/>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5875" cap="rnd">
            <a:solidFill>
              <a:sysClr val="windowText" lastClr="000000"/>
            </a:solidFill>
            <a:miter lim="800000"/>
            <a:headEnd type="none" w="sm" len="sm"/>
            <a:tailEnd type="none" w="sm" len="sm"/>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5875" cap="rnd">
            <a:solidFill>
              <a:sysClr val="windowText" lastClr="000000"/>
            </a:solidFill>
            <a:miter lim="800000"/>
            <a:headEnd type="none" w="sm" len="sm"/>
            <a:tailEnd type="none" w="sm" len="sm"/>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5875" cap="rnd">
            <a:solidFill>
              <a:sysClr val="windowText" lastClr="000000"/>
            </a:solidFill>
            <a:miter lim="800000"/>
            <a:headEnd type="none" w="sm" len="sm"/>
            <a:tailEnd type="none" w="sm" len="sm"/>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2225">
            <a:solidFill>
              <a:sysClr val="windowText" lastClr="000000"/>
            </a:solidFill>
            <a:miter lim="800000"/>
            <a:headEnd type="none" w="sm" len="sm"/>
            <a:tailEnd type="none" w="sm" len="sm"/>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pivotFmt>
    </c:pivotFmts>
    <c:plotArea>
      <c:layout>
        <c:manualLayout>
          <c:layoutTarget val="inner"/>
          <c:xMode val="edge"/>
          <c:yMode val="edge"/>
          <c:x val="9.6568833675666321E-2"/>
          <c:y val="9.4120476003931156E-2"/>
          <c:w val="0.8489079944603467"/>
          <c:h val="0.73791542568613899"/>
        </c:manualLayout>
      </c:layout>
      <c:areaChart>
        <c:grouping val="standard"/>
        <c:varyColors val="0"/>
        <c:ser>
          <c:idx val="0"/>
          <c:order val="0"/>
          <c:tx>
            <c:strRef>
              <c:f>'Chart-acres vs active'!$B$3</c:f>
              <c:strCache>
                <c:ptCount val="1"/>
                <c:pt idx="0">
                  <c:v>Total</c:v>
                </c:pt>
              </c:strCache>
            </c:strRef>
          </c:tx>
          <c:spPr>
            <a:solidFill>
              <a:schemeClr val="accent1"/>
            </a:solidFill>
            <a:ln w="22225">
              <a:solidFill>
                <a:sysClr val="windowText" lastClr="000000"/>
              </a:solidFill>
              <a:miter lim="800000"/>
              <a:headEnd type="none" w="sm" len="sm"/>
              <a:tailEnd type="none" w="sm" len="sm"/>
            </a:ln>
            <a:effectLst/>
          </c:spPr>
          <c:cat>
            <c:strRef>
              <c:f>'Chart-acres vs active'!$A$4:$A$153</c:f>
              <c:strCache>
                <c:ptCount val="150"/>
                <c:pt idx="0">
                  <c:v>(blank)</c:v>
                </c:pt>
                <c:pt idx="1">
                  <c:v>1/1/26</c:v>
                </c:pt>
                <c:pt idx="2">
                  <c:v>1/2/26</c:v>
                </c:pt>
                <c:pt idx="3">
                  <c:v>1/5/26</c:v>
                </c:pt>
                <c:pt idx="4">
                  <c:v>1/6/26</c:v>
                </c:pt>
                <c:pt idx="5">
                  <c:v>1/7/26</c:v>
                </c:pt>
                <c:pt idx="6">
                  <c:v>1/8/26</c:v>
                </c:pt>
                <c:pt idx="7">
                  <c:v>1/9/26</c:v>
                </c:pt>
                <c:pt idx="8">
                  <c:v>1/12/26</c:v>
                </c:pt>
                <c:pt idx="9">
                  <c:v>1/14/26</c:v>
                </c:pt>
                <c:pt idx="10">
                  <c:v>1/15/26</c:v>
                </c:pt>
                <c:pt idx="11">
                  <c:v>1/16/26</c:v>
                </c:pt>
                <c:pt idx="12">
                  <c:v>1/20/26</c:v>
                </c:pt>
                <c:pt idx="13">
                  <c:v>1/21/26</c:v>
                </c:pt>
                <c:pt idx="14">
                  <c:v>1/22/26</c:v>
                </c:pt>
                <c:pt idx="15">
                  <c:v>1/26/26</c:v>
                </c:pt>
                <c:pt idx="16">
                  <c:v>1/27/26</c:v>
                </c:pt>
                <c:pt idx="17">
                  <c:v>1/28/26</c:v>
                </c:pt>
                <c:pt idx="18">
                  <c:v>1/29/26</c:v>
                </c:pt>
                <c:pt idx="19">
                  <c:v>1/30/26</c:v>
                </c:pt>
                <c:pt idx="20">
                  <c:v>2/2/26</c:v>
                </c:pt>
                <c:pt idx="21">
                  <c:v>2/3/26</c:v>
                </c:pt>
                <c:pt idx="22">
                  <c:v>2/4/26</c:v>
                </c:pt>
                <c:pt idx="23">
                  <c:v>2/5/26</c:v>
                </c:pt>
                <c:pt idx="24">
                  <c:v>2/6/26</c:v>
                </c:pt>
                <c:pt idx="25">
                  <c:v>2/9/26</c:v>
                </c:pt>
                <c:pt idx="26">
                  <c:v>2/10/26</c:v>
                </c:pt>
                <c:pt idx="27">
                  <c:v>2/11/26</c:v>
                </c:pt>
                <c:pt idx="28">
                  <c:v>2/12/26</c:v>
                </c:pt>
                <c:pt idx="29">
                  <c:v>2/13/26</c:v>
                </c:pt>
                <c:pt idx="30">
                  <c:v>2/17/26</c:v>
                </c:pt>
                <c:pt idx="31">
                  <c:v>2/18/26</c:v>
                </c:pt>
                <c:pt idx="32">
                  <c:v>2/19/26</c:v>
                </c:pt>
                <c:pt idx="33">
                  <c:v>2/20/26</c:v>
                </c:pt>
                <c:pt idx="34">
                  <c:v>2/23/26</c:v>
                </c:pt>
                <c:pt idx="35">
                  <c:v>2/24/26</c:v>
                </c:pt>
                <c:pt idx="36">
                  <c:v>2/25/26</c:v>
                </c:pt>
                <c:pt idx="37">
                  <c:v>2/26/26</c:v>
                </c:pt>
                <c:pt idx="38">
                  <c:v>2/27/26</c:v>
                </c:pt>
                <c:pt idx="39">
                  <c:v>4/2/26</c:v>
                </c:pt>
                <c:pt idx="40">
                  <c:v>3/2/26</c:v>
                </c:pt>
                <c:pt idx="41">
                  <c:v>3/3/26</c:v>
                </c:pt>
                <c:pt idx="42">
                  <c:v>3/4/26</c:v>
                </c:pt>
                <c:pt idx="43">
                  <c:v>3/5/26</c:v>
                </c:pt>
                <c:pt idx="44">
                  <c:v>3/6/26</c:v>
                </c:pt>
                <c:pt idx="45">
                  <c:v>3/9/26</c:v>
                </c:pt>
                <c:pt idx="46">
                  <c:v>3/10/26</c:v>
                </c:pt>
                <c:pt idx="47">
                  <c:v>3/11/26</c:v>
                </c:pt>
                <c:pt idx="48">
                  <c:v>3/12/26</c:v>
                </c:pt>
                <c:pt idx="49">
                  <c:v>3/13/26</c:v>
                </c:pt>
                <c:pt idx="50">
                  <c:v>3/16/26</c:v>
                </c:pt>
                <c:pt idx="51">
                  <c:v>3/17/26</c:v>
                </c:pt>
                <c:pt idx="52">
                  <c:v>3/18/26</c:v>
                </c:pt>
                <c:pt idx="53">
                  <c:v>3/19/26</c:v>
                </c:pt>
                <c:pt idx="54">
                  <c:v>3/20/26</c:v>
                </c:pt>
                <c:pt idx="55">
                  <c:v>3/26/26</c:v>
                </c:pt>
                <c:pt idx="56">
                  <c:v>3/27/26</c:v>
                </c:pt>
                <c:pt idx="57">
                  <c:v>3/30/26</c:v>
                </c:pt>
                <c:pt idx="58">
                  <c:v>3/31/26</c:v>
                </c:pt>
                <c:pt idx="59">
                  <c:v>4/1/26</c:v>
                </c:pt>
                <c:pt idx="60">
                  <c:v>4/3/26</c:v>
                </c:pt>
                <c:pt idx="61">
                  <c:v>4/6/26</c:v>
                </c:pt>
                <c:pt idx="62">
                  <c:v>4/7/26</c:v>
                </c:pt>
                <c:pt idx="63">
                  <c:v>4/8/26</c:v>
                </c:pt>
                <c:pt idx="64">
                  <c:v>4/9/26</c:v>
                </c:pt>
                <c:pt idx="65">
                  <c:v>4/10/26</c:v>
                </c:pt>
                <c:pt idx="66">
                  <c:v>4/11/26</c:v>
                </c:pt>
                <c:pt idx="67">
                  <c:v>4/12/26</c:v>
                </c:pt>
                <c:pt idx="68">
                  <c:v>4/13/26</c:v>
                </c:pt>
                <c:pt idx="69">
                  <c:v>4/14/26</c:v>
                </c:pt>
                <c:pt idx="70">
                  <c:v>4/15/26</c:v>
                </c:pt>
                <c:pt idx="71">
                  <c:v>4/16/26</c:v>
                </c:pt>
                <c:pt idx="72">
                  <c:v>4/17/26</c:v>
                </c:pt>
                <c:pt idx="73">
                  <c:v>4/20/26</c:v>
                </c:pt>
                <c:pt idx="74">
                  <c:v>4/21/26</c:v>
                </c:pt>
                <c:pt idx="75">
                  <c:v>4/22/26</c:v>
                </c:pt>
                <c:pt idx="76">
                  <c:v>4/23/26</c:v>
                </c:pt>
                <c:pt idx="77">
                  <c:v>4/24/26</c:v>
                </c:pt>
                <c:pt idx="78">
                  <c:v>4/27/26</c:v>
                </c:pt>
                <c:pt idx="79">
                  <c:v>4/28/26</c:v>
                </c:pt>
                <c:pt idx="80">
                  <c:v>4/29/26</c:v>
                </c:pt>
                <c:pt idx="81">
                  <c:v>4/30/26</c:v>
                </c:pt>
                <c:pt idx="82">
                  <c:v>5/1/26</c:v>
                </c:pt>
                <c:pt idx="83">
                  <c:v>5/4/26</c:v>
                </c:pt>
                <c:pt idx="84">
                  <c:v>5/5/26</c:v>
                </c:pt>
                <c:pt idx="85">
                  <c:v>5/6/26</c:v>
                </c:pt>
                <c:pt idx="86">
                  <c:v>5/7/26</c:v>
                </c:pt>
                <c:pt idx="87">
                  <c:v>5/8/26</c:v>
                </c:pt>
                <c:pt idx="88">
                  <c:v>5/11/26</c:v>
                </c:pt>
                <c:pt idx="89">
                  <c:v>5/12/26</c:v>
                </c:pt>
                <c:pt idx="90">
                  <c:v>5/13/26</c:v>
                </c:pt>
                <c:pt idx="91">
                  <c:v>5/14/26</c:v>
                </c:pt>
                <c:pt idx="92">
                  <c:v>5/15/26</c:v>
                </c:pt>
                <c:pt idx="93">
                  <c:v>5/18/26</c:v>
                </c:pt>
                <c:pt idx="94">
                  <c:v>5/20/26</c:v>
                </c:pt>
                <c:pt idx="95">
                  <c:v>5/21/26</c:v>
                </c:pt>
                <c:pt idx="96">
                  <c:v>5/22/26</c:v>
                </c:pt>
                <c:pt idx="97">
                  <c:v>5/25/26</c:v>
                </c:pt>
                <c:pt idx="98">
                  <c:v>5/26/26</c:v>
                </c:pt>
                <c:pt idx="99">
                  <c:v>5/27/26</c:v>
                </c:pt>
                <c:pt idx="100">
                  <c:v>5/28/26</c:v>
                </c:pt>
                <c:pt idx="101">
                  <c:v>5/29/26</c:v>
                </c:pt>
                <c:pt idx="102">
                  <c:v>6/1/26</c:v>
                </c:pt>
                <c:pt idx="103">
                  <c:v>6/2/26</c:v>
                </c:pt>
                <c:pt idx="104">
                  <c:v>6/3/26</c:v>
                </c:pt>
                <c:pt idx="105">
                  <c:v>6/4/26</c:v>
                </c:pt>
                <c:pt idx="106">
                  <c:v>6/5/26</c:v>
                </c:pt>
                <c:pt idx="107">
                  <c:v>6/8/26</c:v>
                </c:pt>
                <c:pt idx="108">
                  <c:v>6/9/26</c:v>
                </c:pt>
                <c:pt idx="109">
                  <c:v>6/10/26</c:v>
                </c:pt>
                <c:pt idx="110">
                  <c:v>6/11/26</c:v>
                </c:pt>
                <c:pt idx="111">
                  <c:v>6/12/26</c:v>
                </c:pt>
                <c:pt idx="112">
                  <c:v>6/15/26</c:v>
                </c:pt>
                <c:pt idx="113">
                  <c:v>6/16/26</c:v>
                </c:pt>
                <c:pt idx="114">
                  <c:v>6/17/26</c:v>
                </c:pt>
                <c:pt idx="115">
                  <c:v>6/18/26</c:v>
                </c:pt>
                <c:pt idx="116">
                  <c:v>6/19/26</c:v>
                </c:pt>
                <c:pt idx="117">
                  <c:v>6/20/26</c:v>
                </c:pt>
                <c:pt idx="118">
                  <c:v>6/21/26</c:v>
                </c:pt>
                <c:pt idx="119">
                  <c:v>6/22/26</c:v>
                </c:pt>
                <c:pt idx="120">
                  <c:v>6/23/26</c:v>
                </c:pt>
                <c:pt idx="121">
                  <c:v>6/24/26</c:v>
                </c:pt>
                <c:pt idx="122">
                  <c:v>6/25/26</c:v>
                </c:pt>
                <c:pt idx="123">
                  <c:v>6/26/26</c:v>
                </c:pt>
                <c:pt idx="124">
                  <c:v>6/27/26</c:v>
                </c:pt>
                <c:pt idx="125">
                  <c:v>6/28/26</c:v>
                </c:pt>
                <c:pt idx="126">
                  <c:v>6/29/26</c:v>
                </c:pt>
                <c:pt idx="127">
                  <c:v>6/30/26</c:v>
                </c:pt>
                <c:pt idx="128">
                  <c:v>7/1/26</c:v>
                </c:pt>
                <c:pt idx="129">
                  <c:v>7/2/26</c:v>
                </c:pt>
                <c:pt idx="130">
                  <c:v>7/3/26</c:v>
                </c:pt>
                <c:pt idx="131">
                  <c:v>7/4/26</c:v>
                </c:pt>
                <c:pt idx="132">
                  <c:v>7/5/26</c:v>
                </c:pt>
                <c:pt idx="133">
                  <c:v>7/6/26</c:v>
                </c:pt>
                <c:pt idx="134">
                  <c:v>7/7/26</c:v>
                </c:pt>
                <c:pt idx="135">
                  <c:v>7/8/26</c:v>
                </c:pt>
                <c:pt idx="136">
                  <c:v>7/9/26</c:v>
                </c:pt>
                <c:pt idx="137">
                  <c:v>7/13/26</c:v>
                </c:pt>
                <c:pt idx="138">
                  <c:v>7/14/26</c:v>
                </c:pt>
                <c:pt idx="139">
                  <c:v>7/15/26</c:v>
                </c:pt>
                <c:pt idx="140">
                  <c:v>7/16/26</c:v>
                </c:pt>
                <c:pt idx="141">
                  <c:v>7/17/26</c:v>
                </c:pt>
                <c:pt idx="142">
                  <c:v>7/18/26</c:v>
                </c:pt>
                <c:pt idx="143">
                  <c:v>7/19/26</c:v>
                </c:pt>
                <c:pt idx="144">
                  <c:v>7/20/26</c:v>
                </c:pt>
                <c:pt idx="145">
                  <c:v>7/21/26</c:v>
                </c:pt>
                <c:pt idx="146">
                  <c:v>7/22/26</c:v>
                </c:pt>
                <c:pt idx="147">
                  <c:v>7/23/26</c:v>
                </c:pt>
                <c:pt idx="148">
                  <c:v>7/24/26</c:v>
                </c:pt>
                <c:pt idx="149">
                  <c:v>7/27/26</c:v>
                </c:pt>
              </c:strCache>
            </c:strRef>
          </c:cat>
          <c:val>
            <c:numRef>
              <c:f>'Chart-acres vs active'!$B$4:$B$153</c:f>
              <c:numCache>
                <c:formatCode>General</c:formatCode>
                <c:ptCount val="150"/>
                <c:pt idx="1">
                  <c:v>1</c:v>
                </c:pt>
                <c:pt idx="2">
                  <c:v>1</c:v>
                </c:pt>
                <c:pt idx="3">
                  <c:v>15</c:v>
                </c:pt>
                <c:pt idx="4">
                  <c:v>10</c:v>
                </c:pt>
                <c:pt idx="5">
                  <c:v>19</c:v>
                </c:pt>
                <c:pt idx="6">
                  <c:v>23</c:v>
                </c:pt>
                <c:pt idx="7">
                  <c:v>19</c:v>
                </c:pt>
                <c:pt idx="8">
                  <c:v>3</c:v>
                </c:pt>
                <c:pt idx="9">
                  <c:v>11</c:v>
                </c:pt>
                <c:pt idx="10">
                  <c:v>13</c:v>
                </c:pt>
                <c:pt idx="11">
                  <c:v>19</c:v>
                </c:pt>
                <c:pt idx="12">
                  <c:v>4</c:v>
                </c:pt>
                <c:pt idx="13">
                  <c:v>8</c:v>
                </c:pt>
                <c:pt idx="14">
                  <c:v>10</c:v>
                </c:pt>
                <c:pt idx="15">
                  <c:v>5</c:v>
                </c:pt>
                <c:pt idx="16">
                  <c:v>9</c:v>
                </c:pt>
                <c:pt idx="17">
                  <c:v>15</c:v>
                </c:pt>
                <c:pt idx="18">
                  <c:v>17</c:v>
                </c:pt>
                <c:pt idx="19">
                  <c:v>12</c:v>
                </c:pt>
                <c:pt idx="20">
                  <c:v>6</c:v>
                </c:pt>
                <c:pt idx="21">
                  <c:v>9</c:v>
                </c:pt>
                <c:pt idx="22">
                  <c:v>10</c:v>
                </c:pt>
                <c:pt idx="23">
                  <c:v>12</c:v>
                </c:pt>
                <c:pt idx="24">
                  <c:v>9</c:v>
                </c:pt>
                <c:pt idx="25">
                  <c:v>6</c:v>
                </c:pt>
                <c:pt idx="26">
                  <c:v>10</c:v>
                </c:pt>
                <c:pt idx="27">
                  <c:v>10</c:v>
                </c:pt>
                <c:pt idx="28">
                  <c:v>8</c:v>
                </c:pt>
                <c:pt idx="29">
                  <c:v>3</c:v>
                </c:pt>
                <c:pt idx="30">
                  <c:v>4</c:v>
                </c:pt>
                <c:pt idx="31">
                  <c:v>9</c:v>
                </c:pt>
                <c:pt idx="32">
                  <c:v>11</c:v>
                </c:pt>
                <c:pt idx="33">
                  <c:v>9</c:v>
                </c:pt>
                <c:pt idx="34">
                  <c:v>2</c:v>
                </c:pt>
                <c:pt idx="35">
                  <c:v>5</c:v>
                </c:pt>
                <c:pt idx="36">
                  <c:v>3</c:v>
                </c:pt>
                <c:pt idx="37">
                  <c:v>4</c:v>
                </c:pt>
                <c:pt idx="38">
                  <c:v>3</c:v>
                </c:pt>
                <c:pt idx="39">
                  <c:v>9</c:v>
                </c:pt>
                <c:pt idx="40">
                  <c:v>1</c:v>
                </c:pt>
                <c:pt idx="41">
                  <c:v>2</c:v>
                </c:pt>
                <c:pt idx="42">
                  <c:v>3</c:v>
                </c:pt>
                <c:pt idx="43">
                  <c:v>4</c:v>
                </c:pt>
                <c:pt idx="44">
                  <c:v>4</c:v>
                </c:pt>
                <c:pt idx="45">
                  <c:v>1</c:v>
                </c:pt>
                <c:pt idx="46">
                  <c:v>1</c:v>
                </c:pt>
                <c:pt idx="47">
                  <c:v>1</c:v>
                </c:pt>
                <c:pt idx="48">
                  <c:v>2</c:v>
                </c:pt>
                <c:pt idx="49">
                  <c:v>1</c:v>
                </c:pt>
                <c:pt idx="50">
                  <c:v>0</c:v>
                </c:pt>
                <c:pt idx="51">
                  <c:v>6</c:v>
                </c:pt>
                <c:pt idx="52">
                  <c:v>9</c:v>
                </c:pt>
                <c:pt idx="53">
                  <c:v>11</c:v>
                </c:pt>
                <c:pt idx="54">
                  <c:v>14</c:v>
                </c:pt>
                <c:pt idx="55">
                  <c:v>13</c:v>
                </c:pt>
                <c:pt idx="56">
                  <c:v>13</c:v>
                </c:pt>
                <c:pt idx="57">
                  <c:v>8</c:v>
                </c:pt>
                <c:pt idx="58">
                  <c:v>8</c:v>
                </c:pt>
                <c:pt idx="59">
                  <c:v>9</c:v>
                </c:pt>
                <c:pt idx="60">
                  <c:v>6</c:v>
                </c:pt>
                <c:pt idx="61">
                  <c:v>3</c:v>
                </c:pt>
                <c:pt idx="62">
                  <c:v>8</c:v>
                </c:pt>
                <c:pt idx="63">
                  <c:v>12</c:v>
                </c:pt>
                <c:pt idx="64">
                  <c:v>17</c:v>
                </c:pt>
                <c:pt idx="65">
                  <c:v>15</c:v>
                </c:pt>
                <c:pt idx="66">
                  <c:v>15</c:v>
                </c:pt>
                <c:pt idx="67">
                  <c:v>13</c:v>
                </c:pt>
                <c:pt idx="68">
                  <c:v>10</c:v>
                </c:pt>
                <c:pt idx="69">
                  <c:v>10</c:v>
                </c:pt>
                <c:pt idx="70">
                  <c:v>15</c:v>
                </c:pt>
                <c:pt idx="71">
                  <c:v>15</c:v>
                </c:pt>
                <c:pt idx="72">
                  <c:v>16</c:v>
                </c:pt>
                <c:pt idx="73">
                  <c:v>4</c:v>
                </c:pt>
                <c:pt idx="74">
                  <c:v>7</c:v>
                </c:pt>
                <c:pt idx="75">
                  <c:v>7</c:v>
                </c:pt>
                <c:pt idx="76">
                  <c:v>8</c:v>
                </c:pt>
                <c:pt idx="77">
                  <c:v>11</c:v>
                </c:pt>
                <c:pt idx="78">
                  <c:v>5</c:v>
                </c:pt>
                <c:pt idx="79">
                  <c:v>10</c:v>
                </c:pt>
                <c:pt idx="80">
                  <c:v>15</c:v>
                </c:pt>
                <c:pt idx="81">
                  <c:v>19</c:v>
                </c:pt>
                <c:pt idx="82">
                  <c:v>18</c:v>
                </c:pt>
                <c:pt idx="83">
                  <c:v>12</c:v>
                </c:pt>
                <c:pt idx="84">
                  <c:v>16</c:v>
                </c:pt>
                <c:pt idx="85">
                  <c:v>30</c:v>
                </c:pt>
                <c:pt idx="86">
                  <c:v>31</c:v>
                </c:pt>
                <c:pt idx="87">
                  <c:v>27</c:v>
                </c:pt>
                <c:pt idx="88">
                  <c:v>14</c:v>
                </c:pt>
                <c:pt idx="89">
                  <c:v>18</c:v>
                </c:pt>
                <c:pt idx="90">
                  <c:v>13</c:v>
                </c:pt>
                <c:pt idx="91">
                  <c:v>14</c:v>
                </c:pt>
                <c:pt idx="92">
                  <c:v>14</c:v>
                </c:pt>
                <c:pt idx="93">
                  <c:v>5</c:v>
                </c:pt>
                <c:pt idx="94">
                  <c:v>14</c:v>
                </c:pt>
                <c:pt idx="95">
                  <c:v>17</c:v>
                </c:pt>
                <c:pt idx="96">
                  <c:v>18</c:v>
                </c:pt>
                <c:pt idx="97">
                  <c:v>21</c:v>
                </c:pt>
                <c:pt idx="98">
                  <c:v>17</c:v>
                </c:pt>
                <c:pt idx="99">
                  <c:v>19</c:v>
                </c:pt>
                <c:pt idx="100">
                  <c:v>17</c:v>
                </c:pt>
                <c:pt idx="101">
                  <c:v>21</c:v>
                </c:pt>
                <c:pt idx="102">
                  <c:v>15</c:v>
                </c:pt>
                <c:pt idx="103">
                  <c:v>23</c:v>
                </c:pt>
                <c:pt idx="104">
                  <c:v>36</c:v>
                </c:pt>
                <c:pt idx="105">
                  <c:v>37</c:v>
                </c:pt>
                <c:pt idx="106">
                  <c:v>31</c:v>
                </c:pt>
                <c:pt idx="107">
                  <c:v>13</c:v>
                </c:pt>
                <c:pt idx="108">
                  <c:v>23</c:v>
                </c:pt>
                <c:pt idx="109">
                  <c:v>47</c:v>
                </c:pt>
                <c:pt idx="110">
                  <c:v>47</c:v>
                </c:pt>
                <c:pt idx="111">
                  <c:v>46</c:v>
                </c:pt>
                <c:pt idx="112">
                  <c:v>32</c:v>
                </c:pt>
                <c:pt idx="113">
                  <c:v>37</c:v>
                </c:pt>
                <c:pt idx="114">
                  <c:v>45</c:v>
                </c:pt>
                <c:pt idx="115">
                  <c:v>48</c:v>
                </c:pt>
                <c:pt idx="116">
                  <c:v>48</c:v>
                </c:pt>
                <c:pt idx="117">
                  <c:v>23</c:v>
                </c:pt>
                <c:pt idx="118">
                  <c:v>23</c:v>
                </c:pt>
                <c:pt idx="119">
                  <c:v>28</c:v>
                </c:pt>
                <c:pt idx="120">
                  <c:v>30</c:v>
                </c:pt>
                <c:pt idx="121">
                  <c:v>40</c:v>
                </c:pt>
                <c:pt idx="122">
                  <c:v>37</c:v>
                </c:pt>
                <c:pt idx="123">
                  <c:v>34</c:v>
                </c:pt>
                <c:pt idx="124">
                  <c:v>36</c:v>
                </c:pt>
                <c:pt idx="125">
                  <c:v>36</c:v>
                </c:pt>
                <c:pt idx="126">
                  <c:v>27</c:v>
                </c:pt>
                <c:pt idx="127">
                  <c:v>15</c:v>
                </c:pt>
                <c:pt idx="128">
                  <c:v>22</c:v>
                </c:pt>
                <c:pt idx="129">
                  <c:v>22</c:v>
                </c:pt>
                <c:pt idx="130">
                  <c:v>32</c:v>
                </c:pt>
                <c:pt idx="131">
                  <c:v>29</c:v>
                </c:pt>
                <c:pt idx="132">
                  <c:v>42</c:v>
                </c:pt>
                <c:pt idx="133">
                  <c:v>43</c:v>
                </c:pt>
                <c:pt idx="134">
                  <c:v>55</c:v>
                </c:pt>
                <c:pt idx="135">
                  <c:v>59</c:v>
                </c:pt>
                <c:pt idx="136">
                  <c:v>69</c:v>
                </c:pt>
                <c:pt idx="137">
                  <c:v>42</c:v>
                </c:pt>
                <c:pt idx="138">
                  <c:v>45</c:v>
                </c:pt>
                <c:pt idx="139">
                  <c:v>49</c:v>
                </c:pt>
                <c:pt idx="140">
                  <c:v>95</c:v>
                </c:pt>
                <c:pt idx="141">
                  <c:v>139</c:v>
                </c:pt>
                <c:pt idx="142">
                  <c:v>121</c:v>
                </c:pt>
                <c:pt idx="143">
                  <c:v>101</c:v>
                </c:pt>
                <c:pt idx="144">
                  <c:v>89</c:v>
                </c:pt>
                <c:pt idx="145">
                  <c:v>72</c:v>
                </c:pt>
                <c:pt idx="146">
                  <c:v>77</c:v>
                </c:pt>
                <c:pt idx="147">
                  <c:v>101</c:v>
                </c:pt>
                <c:pt idx="148">
                  <c:v>144</c:v>
                </c:pt>
                <c:pt idx="149">
                  <c:v>92</c:v>
                </c:pt>
              </c:numCache>
            </c:numRef>
          </c:val>
          <c:extLst>
            <c:ext xmlns:c16="http://schemas.microsoft.com/office/drawing/2014/chart" uri="{C3380CC4-5D6E-409C-BE32-E72D297353CC}">
              <c16:uniqueId val="{00000001-E2AD-4EEF-99CF-C71CA75822B3}"/>
            </c:ext>
          </c:extLst>
        </c:ser>
        <c:dLbls>
          <c:showLegendKey val="0"/>
          <c:showVal val="0"/>
          <c:showCatName val="0"/>
          <c:showSerName val="0"/>
          <c:showPercent val="0"/>
          <c:showBubbleSize val="0"/>
        </c:dLbls>
        <c:axId val="1035943336"/>
        <c:axId val="1035943696"/>
      </c:areaChart>
      <c:catAx>
        <c:axId val="1035943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layout>
            <c:manualLayout>
              <c:xMode val="edge"/>
              <c:yMode val="edge"/>
              <c:x val="0.48709222249831374"/>
              <c:y val="0.916932200226198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64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943696"/>
        <c:crosses val="autoZero"/>
        <c:auto val="1"/>
        <c:lblAlgn val="ctr"/>
        <c:lblOffset val="100"/>
        <c:noMultiLvlLbl val="0"/>
      </c:catAx>
      <c:valAx>
        <c:axId val="1035943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Acres burned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943336"/>
        <c:crosses val="autoZero"/>
        <c:crossBetween val="between"/>
      </c:valAx>
      <c:spPr>
        <a:noFill/>
        <a:ln w="25400">
          <a:solidFill>
            <a:schemeClr val="tx1">
              <a:lumMod val="15000"/>
              <a:lumOff val="8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'ODF data'!$O$10</c:f>
          <c:strCache>
            <c:ptCount val="1"/>
            <c:pt idx="0">
              <c:v>Statewide total acres burned and total number of wildfires</c:v>
            </c:pt>
          </c:strCache>
        </c:strRef>
      </c:tx>
      <c:layout>
        <c:manualLayout>
          <c:xMode val="edge"/>
          <c:yMode val="edge"/>
          <c:x val="0.2818938167658796"/>
          <c:y val="1.3414410244653389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1217423874131713E-2"/>
          <c:y val="8.9987609444698372E-2"/>
          <c:w val="0.87423528861594901"/>
          <c:h val="0.81052026874720351"/>
        </c:manualLayout>
      </c:layout>
      <c:barChart>
        <c:barDir val="col"/>
        <c:grouping val="clustered"/>
        <c:varyColors val="0"/>
        <c:ser>
          <c:idx val="0"/>
          <c:order val="0"/>
          <c:tx>
            <c:strRef>
              <c:f>'ODF data'!$I$2</c:f>
              <c:strCache>
                <c:ptCount val="1"/>
                <c:pt idx="0">
                  <c:v> Statewide acres burned YTD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'ODF data'!$A$3:$A$9</c:f>
              <c:numCache>
                <c:formatCode>General</c:formatCode>
                <c:ptCount val="7"/>
                <c:pt idx="0">
                  <c:v>2020</c:v>
                </c:pt>
                <c:pt idx="1">
                  <c:v>2021</c:v>
                </c:pt>
                <c:pt idx="2">
                  <c:v>2022</c:v>
                </c:pt>
                <c:pt idx="3">
                  <c:v>2023</c:v>
                </c:pt>
                <c:pt idx="4">
                  <c:v>2024</c:v>
                </c:pt>
                <c:pt idx="5">
                  <c:v>2025</c:v>
                </c:pt>
                <c:pt idx="6">
                  <c:v>2026</c:v>
                </c:pt>
              </c:numCache>
            </c:numRef>
          </c:cat>
          <c:val>
            <c:numRef>
              <c:f>'ODF data'!$I$3:$I$9</c:f>
              <c:numCache>
                <c:formatCode>_(* #,##0_);_(* \(#,##0\);_(* "-"??_);_(@_)</c:formatCode>
                <c:ptCount val="7"/>
                <c:pt idx="0">
                  <c:v>1221324</c:v>
                </c:pt>
                <c:pt idx="1">
                  <c:v>827596</c:v>
                </c:pt>
                <c:pt idx="2">
                  <c:v>344899</c:v>
                </c:pt>
                <c:pt idx="3">
                  <c:v>190507</c:v>
                </c:pt>
                <c:pt idx="4">
                  <c:v>1915554</c:v>
                </c:pt>
                <c:pt idx="5">
                  <c:v>340991</c:v>
                </c:pt>
                <c:pt idx="6">
                  <c:v>577106</c:v>
                </c:pt>
              </c:numCache>
            </c:numRef>
          </c:val>
          <c:extLst>
            <c:ext xmlns:c16="http://schemas.microsoft.com/office/drawing/2014/chart" uri="{C3380CC4-5D6E-409C-BE32-E72D297353CC}">
              <c16:uniqueId val="{00000000-830E-4CFC-907D-2086085AD26D}"/>
            </c:ext>
          </c:extLst>
        </c:ser>
        <c:dLbls>
          <c:showLegendKey val="0"/>
          <c:showVal val="0"/>
          <c:showCatName val="0"/>
          <c:showSerName val="0"/>
          <c:showPercent val="0"/>
          <c:showBubbleSize val="0"/>
        </c:dLbls>
        <c:gapWidth val="219"/>
        <c:overlap val="-27"/>
        <c:axId val="1068133568"/>
        <c:axId val="1068138248"/>
      </c:barChart>
      <c:lineChart>
        <c:grouping val="standard"/>
        <c:varyColors val="0"/>
        <c:ser>
          <c:idx val="1"/>
          <c:order val="1"/>
          <c:tx>
            <c:strRef>
              <c:f>'ODF data'!$H$2</c:f>
              <c:strCache>
                <c:ptCount val="1"/>
                <c:pt idx="0">
                  <c:v> Statewide total fires YTD </c:v>
                </c:pt>
              </c:strCache>
            </c:strRef>
          </c:tx>
          <c:spPr>
            <a:ln w="28575" cap="rnd">
              <a:solidFill>
                <a:srgbClr val="00B0F0"/>
              </a:solidFill>
              <a:round/>
            </a:ln>
            <a:effectLst/>
          </c:spPr>
          <c:marker>
            <c:symbol val="none"/>
          </c:marker>
          <c:dLbls>
            <c:dLbl>
              <c:idx val="4"/>
              <c:layout>
                <c:manualLayout>
                  <c:x val="5.4230197366604387E-3"/>
                  <c:y val="-9.581908150242811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30E-4CFC-907D-2086085AD26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'ODF data'!$H$3:$H$9</c:f>
              <c:numCache>
                <c:formatCode>_(* #,##0_);_(* \(#,##0\);_(* "-"??_);_(@_)</c:formatCode>
                <c:ptCount val="7"/>
                <c:pt idx="0">
                  <c:v>2027</c:v>
                </c:pt>
                <c:pt idx="1">
                  <c:v>1858</c:v>
                </c:pt>
                <c:pt idx="2">
                  <c:v>1784</c:v>
                </c:pt>
                <c:pt idx="3">
                  <c:v>1731</c:v>
                </c:pt>
                <c:pt idx="4">
                  <c:v>2039</c:v>
                </c:pt>
                <c:pt idx="5">
                  <c:v>2944</c:v>
                </c:pt>
                <c:pt idx="6">
                  <c:v>1238</c:v>
                </c:pt>
              </c:numCache>
            </c:numRef>
          </c:val>
          <c:smooth val="0"/>
          <c:extLst>
            <c:ext xmlns:c16="http://schemas.microsoft.com/office/drawing/2014/chart" uri="{C3380CC4-5D6E-409C-BE32-E72D297353CC}">
              <c16:uniqueId val="{00000002-830E-4CFC-907D-2086085AD26D}"/>
            </c:ext>
          </c:extLst>
        </c:ser>
        <c:ser>
          <c:idx val="2"/>
          <c:order val="2"/>
          <c:tx>
            <c:strRef>
              <c:f>'ODF data'!$J$2</c:f>
              <c:strCache>
                <c:ptCount val="1"/>
                <c:pt idx="0">
                  <c:v> Aver. fire size (acres) </c:v>
                </c:pt>
              </c:strCache>
            </c:strRef>
          </c:tx>
          <c:spPr>
            <a:ln w="28575" cap="rnd">
              <a:solidFill>
                <a:srgbClr val="C00000"/>
              </a:solidFill>
              <a:round/>
            </a:ln>
            <a:effectLst/>
          </c:spPr>
          <c:marker>
            <c:symbol val="none"/>
          </c:marker>
          <c:dLbls>
            <c:dLbl>
              <c:idx val="0"/>
              <c:layout>
                <c:manualLayout>
                  <c:x val="1.0819147164396657E-2"/>
                  <c:y val="-9.662923742031892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30E-4CFC-907D-2086085AD26D}"/>
                </c:ext>
              </c:extLst>
            </c:dLbl>
            <c:dLbl>
              <c:idx val="1"/>
              <c:layout>
                <c:manualLayout>
                  <c:x val="1.0819147164396657E-2"/>
                  <c:y val="-1.7715155546736567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30E-4CFC-907D-2086085AD26D}"/>
                </c:ext>
              </c:extLst>
            </c:dLbl>
            <c:dLbl>
              <c:idx val="2"/>
              <c:layout>
                <c:manualLayout>
                  <c:x val="7.212764776264504E-3"/>
                  <c:y val="-9.662923742031981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30E-4CFC-907D-2086085AD26D}"/>
                </c:ext>
              </c:extLst>
            </c:dLbl>
            <c:dLbl>
              <c:idx val="3"/>
              <c:layout>
                <c:manualLayout>
                  <c:x val="7.2127647762643722E-3"/>
                  <c:y val="4.831461871015946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30E-4CFC-907D-2086085AD26D}"/>
                </c:ext>
              </c:extLst>
            </c:dLbl>
            <c:dLbl>
              <c:idx val="4"/>
              <c:layout>
                <c:manualLayout>
                  <c:x val="1.0819147164396525E-2"/>
                  <c:y val="4.831461871015857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30E-4CFC-907D-2086085AD26D}"/>
                </c:ext>
              </c:extLst>
            </c:dLbl>
            <c:dLbl>
              <c:idx val="5"/>
              <c:layout>
                <c:manualLayout>
                  <c:x val="9.0159559703305477E-3"/>
                  <c:y val="-8.8575777733682834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30E-4CFC-907D-2086085AD26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'ODF data'!$J$3:$J$9</c:f>
              <c:numCache>
                <c:formatCode>_(* #,##0_);_(* \(#,##0\);_(* "-"??_);_(@_)</c:formatCode>
                <c:ptCount val="7"/>
                <c:pt idx="0">
                  <c:v>602.52787370498277</c:v>
                </c:pt>
                <c:pt idx="1">
                  <c:v>445.42303552206675</c:v>
                </c:pt>
                <c:pt idx="2">
                  <c:v>193.32903587443946</c:v>
                </c:pt>
                <c:pt idx="3">
                  <c:v>110.05603697284806</c:v>
                </c:pt>
                <c:pt idx="4">
                  <c:v>939.45757724374698</c:v>
                </c:pt>
                <c:pt idx="5">
                  <c:v>115.8257472826087</c:v>
                </c:pt>
                <c:pt idx="6">
                  <c:v>466.15993537964459</c:v>
                </c:pt>
              </c:numCache>
            </c:numRef>
          </c:val>
          <c:smooth val="0"/>
          <c:extLst>
            <c:ext xmlns:c16="http://schemas.microsoft.com/office/drawing/2014/chart" uri="{C3380CC4-5D6E-409C-BE32-E72D297353CC}">
              <c16:uniqueId val="{00000009-830E-4CFC-907D-2086085AD26D}"/>
            </c:ext>
          </c:extLst>
        </c:ser>
        <c:dLbls>
          <c:showLegendKey val="0"/>
          <c:showVal val="0"/>
          <c:showCatName val="0"/>
          <c:showSerName val="0"/>
          <c:showPercent val="0"/>
          <c:showBubbleSize val="0"/>
        </c:dLbls>
        <c:marker val="1"/>
        <c:smooth val="0"/>
        <c:axId val="1068132128"/>
        <c:axId val="1068129608"/>
      </c:lineChart>
      <c:catAx>
        <c:axId val="1068133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138248"/>
        <c:crosses val="autoZero"/>
        <c:auto val="1"/>
        <c:lblAlgn val="ctr"/>
        <c:lblOffset val="100"/>
        <c:noMultiLvlLbl val="0"/>
      </c:catAx>
      <c:valAx>
        <c:axId val="1068138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Acres</a:t>
                </a:r>
                <a:r>
                  <a:rPr lang="en-US" baseline="0"/>
                  <a:t> burned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133568"/>
        <c:crosses val="autoZero"/>
        <c:crossBetween val="between"/>
      </c:valAx>
      <c:valAx>
        <c:axId val="1068129608"/>
        <c:scaling>
          <c:orientation val="minMax"/>
          <c:max val="3500"/>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Fires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132128"/>
        <c:crosses val="max"/>
        <c:crossBetween val="between"/>
      </c:valAx>
      <c:catAx>
        <c:axId val="1068132128"/>
        <c:scaling>
          <c:orientation val="minMax"/>
        </c:scaling>
        <c:delete val="1"/>
        <c:axPos val="b"/>
        <c:majorTickMark val="out"/>
        <c:minorTickMark val="none"/>
        <c:tickLblPos val="nextTo"/>
        <c:crossAx val="10681296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[2026_Wildfire_Report_trend.xlsx]County chart!Report-county, fire</c:name>
    <c:fmtId val="170"/>
  </c:pivotSource>
  <c:chart>
    <c:title>
      <c:tx>
        <c:strRef>
          <c:f>'County chart'!$AF$3</c:f>
          <c:strCache>
            <c:ptCount val="1"/>
            <c:pt idx="0">
              <c:v>2026 Wildfire impact by County  - Acres burned (large fires), Structures destroyed</c:v>
            </c:pt>
          </c:strCache>
        </c:strRef>
      </c:tx>
      <c:layout>
        <c:manualLayout>
          <c:xMode val="edge"/>
          <c:yMode val="edge"/>
          <c:x val="0.24218271655684148"/>
          <c:y val="2.1139048737261523E-2"/>
        </c:manualLayout>
      </c:layout>
      <c:overlay val="0"/>
      <c:spPr>
        <a:solidFill>
          <a:schemeClr val="lt1"/>
        </a:solidFill>
        <a:ln>
          <a:solidFill>
            <a:schemeClr val="accent1">
              <a:alpha val="99000"/>
            </a:schemeClr>
          </a:solidFill>
        </a:ln>
        <a:effectLst/>
      </c:spPr>
      <c:txPr>
        <a:bodyPr rot="0" spcFirstLastPara="1" vertOverflow="ellipsis" vert="horz" wrap="square" anchor="ctr" anchorCtr="1"/>
        <a:lstStyle/>
        <a:p>
          <a:pPr>
            <a:defRPr sz="1800" b="1" i="0" u="none" strike="noStrike" kern="1200" cap="none" spc="20" baseline="0">
              <a:solidFill>
                <a:schemeClr val="tx1"/>
              </a:solidFill>
              <a:latin typeface="+mn-lt"/>
              <a:ea typeface="+mn-ea"/>
              <a:cs typeface="+mn-cs"/>
            </a:defRPr>
          </a:pPr>
          <a:endParaRPr lang="en-US"/>
        </a:p>
      </c:txPr>
    </c:title>
    <c:autoTitleDeleted val="0"/>
    <c:pivotFmts>
      <c:pivotFmt>
        <c:idx val="0"/>
        <c:spPr>
          <a:solidFill>
            <a:schemeClr val="tx1">
              <a:lumMod val="65000"/>
              <a:lumOff val="35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40000"/>
              <a:lumOff val="60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65000"/>
              <a:lumOff val="35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lumMod val="40000"/>
              <a:lumOff val="60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lumMod val="60000"/>
              <a:lumOff val="40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tx1">
              <a:lumMod val="65000"/>
              <a:lumOff val="35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lumMod val="40000"/>
              <a:lumOff val="60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lumMod val="60000"/>
              <a:lumOff val="40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20960764865272"/>
          <c:y val="9.4314072415687428E-2"/>
          <c:w val="0.84588619695935008"/>
          <c:h val="0.74931478591080058"/>
        </c:manualLayout>
      </c:layout>
      <c:barChart>
        <c:barDir val="col"/>
        <c:grouping val="clustered"/>
        <c:varyColors val="0"/>
        <c:ser>
          <c:idx val="0"/>
          <c:order val="0"/>
          <c:tx>
            <c:strRef>
              <c:f>'County chart'!$AF$3</c:f>
              <c:strCache>
                <c:ptCount val="1"/>
                <c:pt idx="0">
                  <c:v>Acres</c:v>
                </c:pt>
              </c:strCache>
            </c:strRef>
          </c:tx>
          <c:spPr>
            <a:solidFill>
              <a:schemeClr val="tx1">
                <a:lumMod val="65000"/>
                <a:lumOff val="35000"/>
              </a:schemeClr>
            </a:solidFill>
            <a:ln w="9525" cap="flat" cmpd="sng" algn="ctr">
              <a:solidFill>
                <a:schemeClr val="accent1">
                  <a:shade val="95000"/>
                </a:schemeClr>
              </a:solidFill>
              <a:round/>
            </a:ln>
            <a:effectLst/>
          </c:spPr>
          <c:invertIfNegative val="0"/>
          <c:cat>
            <c:strRef>
              <c:f>'County chart'!$AF$3</c:f>
              <c:strCache>
                <c:ptCount val="15"/>
                <c:pt idx="0">
                  <c:v>Malheur</c:v>
                </c:pt>
                <c:pt idx="1">
                  <c:v>Harney</c:v>
                </c:pt>
                <c:pt idx="2">
                  <c:v>Wheeler</c:v>
                </c:pt>
                <c:pt idx="3">
                  <c:v>Gilliam</c:v>
                </c:pt>
                <c:pt idx="4">
                  <c:v>Jefferson</c:v>
                </c:pt>
                <c:pt idx="5">
                  <c:v>Crook</c:v>
                </c:pt>
                <c:pt idx="6">
                  <c:v>Umatilla</c:v>
                </c:pt>
                <c:pt idx="7">
                  <c:v>Grant</c:v>
                </c:pt>
                <c:pt idx="8">
                  <c:v>Baker</c:v>
                </c:pt>
                <c:pt idx="9">
                  <c:v>Douglas</c:v>
                </c:pt>
                <c:pt idx="10">
                  <c:v>Jackson</c:v>
                </c:pt>
                <c:pt idx="11">
                  <c:v>Wasco</c:v>
                </c:pt>
                <c:pt idx="12">
                  <c:v>Deschutes</c:v>
                </c:pt>
                <c:pt idx="13">
                  <c:v>Wallowa</c:v>
                </c:pt>
                <c:pt idx="14">
                  <c:v>Klamath</c:v>
                </c:pt>
              </c:strCache>
            </c:strRef>
          </c:cat>
          <c:val>
            <c:numRef>
              <c:f>'County chart'!$AF$3</c:f>
              <c:numCache>
                <c:formatCode>#,##0</c:formatCode>
                <c:ptCount val="15"/>
                <c:pt idx="0">
                  <c:v>341345</c:v>
                </c:pt>
                <c:pt idx="1">
                  <c:v>273420</c:v>
                </c:pt>
                <c:pt idx="2">
                  <c:v>262735</c:v>
                </c:pt>
                <c:pt idx="3">
                  <c:v>183351</c:v>
                </c:pt>
                <c:pt idx="4">
                  <c:v>120207</c:v>
                </c:pt>
                <c:pt idx="5">
                  <c:v>48760</c:v>
                </c:pt>
                <c:pt idx="6">
                  <c:v>39957</c:v>
                </c:pt>
                <c:pt idx="7">
                  <c:v>33350</c:v>
                </c:pt>
                <c:pt idx="8">
                  <c:v>26114</c:v>
                </c:pt>
                <c:pt idx="9">
                  <c:v>16400</c:v>
                </c:pt>
                <c:pt idx="10">
                  <c:v>15639</c:v>
                </c:pt>
                <c:pt idx="11">
                  <c:v>3704</c:v>
                </c:pt>
                <c:pt idx="12">
                  <c:v>2621</c:v>
                </c:pt>
                <c:pt idx="13">
                  <c:v>740</c:v>
                </c:pt>
                <c:pt idx="14">
                  <c:v>247</c:v>
                </c:pt>
              </c:numCache>
            </c:numRef>
          </c:val>
          <c:extLst>
            <c:ext xmlns:c16="http://schemas.microsoft.com/office/drawing/2014/chart" uri="{C3380CC4-5D6E-409C-BE32-E72D297353CC}">
              <c16:uniqueId val="{00000000-ACF8-477C-A616-90AE47059119}"/>
            </c:ext>
          </c:extLst>
        </c:ser>
        <c:dLbls>
          <c:showLegendKey val="0"/>
          <c:showVal val="0"/>
          <c:showCatName val="0"/>
          <c:showSerName val="0"/>
          <c:showPercent val="0"/>
          <c:showBubbleSize val="0"/>
        </c:dLbls>
        <c:gapWidth val="18"/>
        <c:overlap val="81"/>
        <c:axId val="835899336"/>
        <c:axId val="835902216"/>
      </c:barChart>
      <c:barChart>
        <c:barDir val="col"/>
        <c:grouping val="clustered"/>
        <c:varyColors val="0"/>
        <c:ser>
          <c:idx val="1"/>
          <c:order val="1"/>
          <c:tx>
            <c:strRef>
              <c:f>'County chart'!$AF$3</c:f>
              <c:strCache>
                <c:ptCount val="1"/>
                <c:pt idx="0">
                  <c:v>Resid.</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'County chart'!$AF$3</c:f>
              <c:strCache>
                <c:ptCount val="15"/>
                <c:pt idx="0">
                  <c:v>Malheur</c:v>
                </c:pt>
                <c:pt idx="1">
                  <c:v>Harney</c:v>
                </c:pt>
                <c:pt idx="2">
                  <c:v>Wheeler</c:v>
                </c:pt>
                <c:pt idx="3">
                  <c:v>Gilliam</c:v>
                </c:pt>
                <c:pt idx="4">
                  <c:v>Jefferson</c:v>
                </c:pt>
                <c:pt idx="5">
                  <c:v>Crook</c:v>
                </c:pt>
                <c:pt idx="6">
                  <c:v>Umatilla</c:v>
                </c:pt>
                <c:pt idx="7">
                  <c:v>Grant</c:v>
                </c:pt>
                <c:pt idx="8">
                  <c:v>Baker</c:v>
                </c:pt>
                <c:pt idx="9">
                  <c:v>Douglas</c:v>
                </c:pt>
                <c:pt idx="10">
                  <c:v>Jackson</c:v>
                </c:pt>
                <c:pt idx="11">
                  <c:v>Wasco</c:v>
                </c:pt>
                <c:pt idx="12">
                  <c:v>Deschutes</c:v>
                </c:pt>
                <c:pt idx="13">
                  <c:v>Wallowa</c:v>
                </c:pt>
                <c:pt idx="14">
                  <c:v>Klamath</c:v>
                </c:pt>
              </c:strCache>
            </c:strRef>
          </c:cat>
          <c:val>
            <c:numRef>
              <c:f>'County chart'!$AF$3</c:f>
              <c:numCache>
                <c:formatCode>General</c:formatCode>
                <c:ptCount val="15"/>
                <c:pt idx="2">
                  <c:v>3</c:v>
                </c:pt>
                <c:pt idx="3">
                  <c:v>13</c:v>
                </c:pt>
                <c:pt idx="4">
                  <c:v>2</c:v>
                </c:pt>
                <c:pt idx="6">
                  <c:v>6</c:v>
                </c:pt>
                <c:pt idx="7">
                  <c:v>1</c:v>
                </c:pt>
                <c:pt idx="10">
                  <c:v>1</c:v>
                </c:pt>
              </c:numCache>
            </c:numRef>
          </c:val>
          <c:extLst>
            <c:ext xmlns:c16="http://schemas.microsoft.com/office/drawing/2014/chart" uri="{C3380CC4-5D6E-409C-BE32-E72D297353CC}">
              <c16:uniqueId val="{00000001-ACF8-477C-A616-90AE47059119}"/>
            </c:ext>
          </c:extLst>
        </c:ser>
        <c:ser>
          <c:idx val="2"/>
          <c:order val="2"/>
          <c:tx>
            <c:strRef>
              <c:f>'County chart'!$AF$3</c:f>
              <c:strCache>
                <c:ptCount val="1"/>
                <c:pt idx="0">
                  <c:v>Comm.</c:v>
                </c:pt>
              </c:strCache>
            </c:strRef>
          </c:tx>
          <c:spPr>
            <a:solidFill>
              <a:schemeClr val="accent3">
                <a:lumMod val="40000"/>
                <a:lumOff val="60000"/>
              </a:schemeClr>
            </a:solidFill>
            <a:ln w="9525" cap="flat" cmpd="sng" algn="ctr">
              <a:solidFill>
                <a:schemeClr val="accent3">
                  <a:shade val="95000"/>
                </a:schemeClr>
              </a:solidFill>
              <a:round/>
            </a:ln>
            <a:effectLst/>
          </c:spPr>
          <c:invertIfNegative val="0"/>
          <c:cat>
            <c:strRef>
              <c:f>'County chart'!$AF$3</c:f>
              <c:strCache>
                <c:ptCount val="15"/>
                <c:pt idx="0">
                  <c:v>Malheur</c:v>
                </c:pt>
                <c:pt idx="1">
                  <c:v>Harney</c:v>
                </c:pt>
                <c:pt idx="2">
                  <c:v>Wheeler</c:v>
                </c:pt>
                <c:pt idx="3">
                  <c:v>Gilliam</c:v>
                </c:pt>
                <c:pt idx="4">
                  <c:v>Jefferson</c:v>
                </c:pt>
                <c:pt idx="5">
                  <c:v>Crook</c:v>
                </c:pt>
                <c:pt idx="6">
                  <c:v>Umatilla</c:v>
                </c:pt>
                <c:pt idx="7">
                  <c:v>Grant</c:v>
                </c:pt>
                <c:pt idx="8">
                  <c:v>Baker</c:v>
                </c:pt>
                <c:pt idx="9">
                  <c:v>Douglas</c:v>
                </c:pt>
                <c:pt idx="10">
                  <c:v>Jackson</c:v>
                </c:pt>
                <c:pt idx="11">
                  <c:v>Wasco</c:v>
                </c:pt>
                <c:pt idx="12">
                  <c:v>Deschutes</c:v>
                </c:pt>
                <c:pt idx="13">
                  <c:v>Wallowa</c:v>
                </c:pt>
                <c:pt idx="14">
                  <c:v>Klamath</c:v>
                </c:pt>
              </c:strCache>
            </c:strRef>
          </c:cat>
          <c:val>
            <c:numRef>
              <c:f>'County chart'!$AF$3</c:f>
              <c:numCache>
                <c:formatCode>General</c:formatCode>
                <c:ptCount val="15"/>
              </c:numCache>
            </c:numRef>
          </c:val>
          <c:extLst>
            <c:ext xmlns:c16="http://schemas.microsoft.com/office/drawing/2014/chart" uri="{C3380CC4-5D6E-409C-BE32-E72D297353CC}">
              <c16:uniqueId val="{00000002-ACF8-477C-A616-90AE47059119}"/>
            </c:ext>
          </c:extLst>
        </c:ser>
        <c:ser>
          <c:idx val="3"/>
          <c:order val="3"/>
          <c:tx>
            <c:strRef>
              <c:f>'County chart'!$AF$3</c:f>
              <c:strCache>
                <c:ptCount val="1"/>
                <c:pt idx="0">
                  <c:v>Minor</c:v>
                </c:pt>
              </c:strCache>
            </c:strRef>
          </c:tx>
          <c:spPr>
            <a:solidFill>
              <a:schemeClr val="accent4">
                <a:lumMod val="60000"/>
                <a:lumOff val="40000"/>
              </a:schemeClr>
            </a:solidFill>
            <a:ln w="9525" cap="flat" cmpd="sng" algn="ctr">
              <a:solidFill>
                <a:schemeClr val="accent4">
                  <a:shade val="95000"/>
                </a:schemeClr>
              </a:solidFill>
              <a:round/>
            </a:ln>
            <a:effectLst/>
          </c:spPr>
          <c:invertIfNegative val="0"/>
          <c:cat>
            <c:strRef>
              <c:f>'County chart'!$AF$3</c:f>
              <c:strCache>
                <c:ptCount val="15"/>
                <c:pt idx="0">
                  <c:v>Malheur</c:v>
                </c:pt>
                <c:pt idx="1">
                  <c:v>Harney</c:v>
                </c:pt>
                <c:pt idx="2">
                  <c:v>Wheeler</c:v>
                </c:pt>
                <c:pt idx="3">
                  <c:v>Gilliam</c:v>
                </c:pt>
                <c:pt idx="4">
                  <c:v>Jefferson</c:v>
                </c:pt>
                <c:pt idx="5">
                  <c:v>Crook</c:v>
                </c:pt>
                <c:pt idx="6">
                  <c:v>Umatilla</c:v>
                </c:pt>
                <c:pt idx="7">
                  <c:v>Grant</c:v>
                </c:pt>
                <c:pt idx="8">
                  <c:v>Baker</c:v>
                </c:pt>
                <c:pt idx="9">
                  <c:v>Douglas</c:v>
                </c:pt>
                <c:pt idx="10">
                  <c:v>Jackson</c:v>
                </c:pt>
                <c:pt idx="11">
                  <c:v>Wasco</c:v>
                </c:pt>
                <c:pt idx="12">
                  <c:v>Deschutes</c:v>
                </c:pt>
                <c:pt idx="13">
                  <c:v>Wallowa</c:v>
                </c:pt>
                <c:pt idx="14">
                  <c:v>Klamath</c:v>
                </c:pt>
              </c:strCache>
            </c:strRef>
          </c:cat>
          <c:val>
            <c:numRef>
              <c:f>'County chart'!$AF$3</c:f>
              <c:numCache>
                <c:formatCode>General</c:formatCode>
                <c:ptCount val="15"/>
                <c:pt idx="1">
                  <c:v>4</c:v>
                </c:pt>
                <c:pt idx="3">
                  <c:v>5</c:v>
                </c:pt>
                <c:pt idx="4">
                  <c:v>15</c:v>
                </c:pt>
                <c:pt idx="6">
                  <c:v>40</c:v>
                </c:pt>
                <c:pt idx="7">
                  <c:v>2</c:v>
                </c:pt>
                <c:pt idx="10">
                  <c:v>6</c:v>
                </c:pt>
              </c:numCache>
            </c:numRef>
          </c:val>
          <c:extLst>
            <c:ext xmlns:c16="http://schemas.microsoft.com/office/drawing/2014/chart" uri="{C3380CC4-5D6E-409C-BE32-E72D297353CC}">
              <c16:uniqueId val="{00000003-ACF8-477C-A616-90AE47059119}"/>
            </c:ext>
          </c:extLst>
        </c:ser>
        <c:ser>
          <c:idx val="4"/>
          <c:order val="4"/>
          <c:tx>
            <c:strRef>
              <c:f>'County chart'!$AF$3</c:f>
              <c:strCache>
                <c:ptCount val="1"/>
                <c:pt idx="0">
                  <c:v>RV/home</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'County chart'!$AF$3</c:f>
              <c:strCache>
                <c:ptCount val="15"/>
                <c:pt idx="0">
                  <c:v>Malheur</c:v>
                </c:pt>
                <c:pt idx="1">
                  <c:v>Harney</c:v>
                </c:pt>
                <c:pt idx="2">
                  <c:v>Wheeler</c:v>
                </c:pt>
                <c:pt idx="3">
                  <c:v>Gilliam</c:v>
                </c:pt>
                <c:pt idx="4">
                  <c:v>Jefferson</c:v>
                </c:pt>
                <c:pt idx="5">
                  <c:v>Crook</c:v>
                </c:pt>
                <c:pt idx="6">
                  <c:v>Umatilla</c:v>
                </c:pt>
                <c:pt idx="7">
                  <c:v>Grant</c:v>
                </c:pt>
                <c:pt idx="8">
                  <c:v>Baker</c:v>
                </c:pt>
                <c:pt idx="9">
                  <c:v>Douglas</c:v>
                </c:pt>
                <c:pt idx="10">
                  <c:v>Jackson</c:v>
                </c:pt>
                <c:pt idx="11">
                  <c:v>Wasco</c:v>
                </c:pt>
                <c:pt idx="12">
                  <c:v>Deschutes</c:v>
                </c:pt>
                <c:pt idx="13">
                  <c:v>Wallowa</c:v>
                </c:pt>
                <c:pt idx="14">
                  <c:v>Klamath</c:v>
                </c:pt>
              </c:strCache>
            </c:strRef>
          </c:cat>
          <c:val>
            <c:numRef>
              <c:f>'County chart'!$AF$3</c:f>
              <c:numCache>
                <c:formatCode>General</c:formatCode>
                <c:ptCount val="15"/>
              </c:numCache>
            </c:numRef>
          </c:val>
          <c:extLst>
            <c:ext xmlns:c16="http://schemas.microsoft.com/office/drawing/2014/chart" uri="{C3380CC4-5D6E-409C-BE32-E72D297353CC}">
              <c16:uniqueId val="{00000004-ACF8-477C-A616-90AE47059119}"/>
            </c:ext>
          </c:extLst>
        </c:ser>
        <c:dLbls>
          <c:showLegendKey val="0"/>
          <c:showVal val="0"/>
          <c:showCatName val="0"/>
          <c:showSerName val="0"/>
          <c:showPercent val="0"/>
          <c:showBubbleSize val="0"/>
        </c:dLbls>
        <c:gapWidth val="119"/>
        <c:overlap val="-34"/>
        <c:axId val="927403080"/>
        <c:axId val="927402720"/>
      </c:barChart>
      <c:catAx>
        <c:axId val="835899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35902216"/>
        <c:crossesAt val="0"/>
        <c:auto val="1"/>
        <c:lblAlgn val="ctr"/>
        <c:lblOffset val="100"/>
        <c:noMultiLvlLbl val="0"/>
      </c:catAx>
      <c:valAx>
        <c:axId val="835902216"/>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Acres Burned</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35899336"/>
        <c:crossesAt val="1"/>
        <c:crossBetween val="between"/>
      </c:valAx>
      <c:valAx>
        <c:axId val="92740272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27403080"/>
        <c:crosses val="max"/>
        <c:crossBetween val="between"/>
      </c:valAx>
      <c:catAx>
        <c:axId val="927403080"/>
        <c:scaling>
          <c:orientation val="minMax"/>
        </c:scaling>
        <c:delete val="1"/>
        <c:axPos val="b"/>
        <c:numFmt formatCode="General" sourceLinked="1"/>
        <c:majorTickMark val="out"/>
        <c:minorTickMark val="none"/>
        <c:tickLblPos val="nextTo"/>
        <c:crossAx val="927402720"/>
        <c:crosses val="autoZero"/>
        <c:auto val="1"/>
        <c:lblAlgn val="ctr"/>
        <c:lblOffset val="100"/>
        <c:noMultiLvlLbl val="0"/>
      </c:cat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700" b="0" i="0" u="none" strike="noStrike" kern="1200" baseline="0">
                <a:solidFill>
                  <a:schemeClr val="tx1"/>
                </a:solidFill>
                <a:latin typeface="Arial" panose="020B0604020202020204" pitchFamily="34" charset="0"/>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'ODF data'!$O$10</c:f>
          <c:strCache>
            <c:ptCount val="1"/>
            <c:pt idx="0">
              <c:v>Statewide total acres burned and total number of wildfires</c:v>
            </c:pt>
          </c:strCache>
        </c:strRef>
      </c:tx>
      <c:layout>
        <c:manualLayout>
          <c:xMode val="edge"/>
          <c:yMode val="edge"/>
          <c:x val="0.14313020816585198"/>
          <c:y val="1.1888375917781366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'ODF data'!$I$2</c:f>
              <c:strCache>
                <c:ptCount val="1"/>
                <c:pt idx="0">
                  <c:v> Statewide acres burned YTD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'ODF data'!$A$3:$A$8</c:f>
              <c:numCache>
                <c:formatCode>General</c:formatCode>
                <c:ptCount val="6"/>
                <c:pt idx="0">
                  <c:v>2020</c:v>
                </c:pt>
                <c:pt idx="1">
                  <c:v>2021</c:v>
                </c:pt>
                <c:pt idx="2">
                  <c:v>2022</c:v>
                </c:pt>
                <c:pt idx="3">
                  <c:v>2023</c:v>
                </c:pt>
                <c:pt idx="4">
                  <c:v>2024</c:v>
                </c:pt>
                <c:pt idx="5">
                  <c:v>2025</c:v>
                </c:pt>
              </c:numCache>
            </c:numRef>
          </c:cat>
          <c:val>
            <c:numRef>
              <c:f>'ODF data'!$I$3:$I$8</c:f>
              <c:numCache>
                <c:formatCode>_(* #,##0_);_(* \(#,##0\);_(* "-"??_);_(@_)</c:formatCode>
                <c:ptCount val="6"/>
                <c:pt idx="0">
                  <c:v>1221324</c:v>
                </c:pt>
                <c:pt idx="1">
                  <c:v>827596</c:v>
                </c:pt>
                <c:pt idx="2">
                  <c:v>344899</c:v>
                </c:pt>
                <c:pt idx="3">
                  <c:v>190507</c:v>
                </c:pt>
                <c:pt idx="4">
                  <c:v>1915554</c:v>
                </c:pt>
                <c:pt idx="5">
                  <c:v>340991</c:v>
                </c:pt>
              </c:numCache>
            </c:numRef>
          </c:val>
          <c:extLst>
            <c:ext xmlns:c16="http://schemas.microsoft.com/office/drawing/2014/chart" uri="{C3380CC4-5D6E-409C-BE32-E72D297353CC}">
              <c16:uniqueId val="{00000000-8C7C-440D-AE8C-A6F41D1A780C}"/>
            </c:ext>
          </c:extLst>
        </c:ser>
        <c:dLbls>
          <c:showLegendKey val="0"/>
          <c:showVal val="0"/>
          <c:showCatName val="0"/>
          <c:showSerName val="0"/>
          <c:showPercent val="0"/>
          <c:showBubbleSize val="0"/>
        </c:dLbls>
        <c:gapWidth val="219"/>
        <c:overlap val="-27"/>
        <c:axId val="1068133568"/>
        <c:axId val="1068138248"/>
      </c:barChart>
      <c:lineChart>
        <c:grouping val="standard"/>
        <c:varyColors val="0"/>
        <c:ser>
          <c:idx val="1"/>
          <c:order val="1"/>
          <c:tx>
            <c:strRef>
              <c:f>'ODF data'!$H$2</c:f>
              <c:strCache>
                <c:ptCount val="1"/>
                <c:pt idx="0">
                  <c:v> Statewide total fires YTD </c:v>
                </c:pt>
              </c:strCache>
            </c:strRef>
          </c:tx>
          <c:spPr>
            <a:ln w="28575" cap="rnd">
              <a:solidFill>
                <a:srgbClr val="00B0F0"/>
              </a:solidFill>
              <a:round/>
            </a:ln>
            <a:effectLst/>
          </c:spPr>
          <c:marker>
            <c:symbol val="none"/>
          </c:marker>
          <c:dLbls>
            <c:dLbl>
              <c:idx val="4"/>
              <c:layout>
                <c:manualLayout>
                  <c:x val="5.4230197366604387E-3"/>
                  <c:y val="-9.581908150242811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52E-46B7-97FA-537E9B01826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'ODF data'!$H$3:$H$8</c:f>
              <c:numCache>
                <c:formatCode>_(* #,##0_);_(* \(#,##0\);_(* "-"??_);_(@_)</c:formatCode>
                <c:ptCount val="6"/>
                <c:pt idx="0">
                  <c:v>2027</c:v>
                </c:pt>
                <c:pt idx="1">
                  <c:v>1858</c:v>
                </c:pt>
                <c:pt idx="2">
                  <c:v>1784</c:v>
                </c:pt>
                <c:pt idx="3">
                  <c:v>1731</c:v>
                </c:pt>
                <c:pt idx="4">
                  <c:v>2039</c:v>
                </c:pt>
                <c:pt idx="5">
                  <c:v>2944</c:v>
                </c:pt>
              </c:numCache>
            </c:numRef>
          </c:val>
          <c:smooth val="0"/>
          <c:extLst>
            <c:ext xmlns:c16="http://schemas.microsoft.com/office/drawing/2014/chart" uri="{C3380CC4-5D6E-409C-BE32-E72D297353CC}">
              <c16:uniqueId val="{00000002-8C7C-440D-AE8C-A6F41D1A780C}"/>
            </c:ext>
          </c:extLst>
        </c:ser>
        <c:ser>
          <c:idx val="2"/>
          <c:order val="2"/>
          <c:tx>
            <c:strRef>
              <c:f>'ODF data'!$J$2</c:f>
              <c:strCache>
                <c:ptCount val="1"/>
                <c:pt idx="0">
                  <c:v> Aver. fire size (acres) </c:v>
                </c:pt>
              </c:strCache>
            </c:strRef>
          </c:tx>
          <c:spPr>
            <a:ln w="28575" cap="rnd">
              <a:solidFill>
                <a:srgbClr val="C00000"/>
              </a:solidFill>
              <a:round/>
            </a:ln>
            <a:effectLst/>
          </c:spPr>
          <c:marker>
            <c:symbol val="none"/>
          </c:marker>
          <c:dLbls>
            <c:dLbl>
              <c:idx val="0"/>
              <c:layout>
                <c:manualLayout>
                  <c:x val="1.0819147164396657E-2"/>
                  <c:y val="-9.662923742031892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49F-472C-AE0C-7BF4DDB58530}"/>
                </c:ext>
              </c:extLst>
            </c:dLbl>
            <c:dLbl>
              <c:idx val="1"/>
              <c:layout>
                <c:manualLayout>
                  <c:x val="1.0819147164396657E-2"/>
                  <c:y val="-1.7715155546736567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49F-472C-AE0C-7BF4DDB58530}"/>
                </c:ext>
              </c:extLst>
            </c:dLbl>
            <c:dLbl>
              <c:idx val="2"/>
              <c:layout>
                <c:manualLayout>
                  <c:x val="7.212764776264504E-3"/>
                  <c:y val="-9.662923742031981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49F-472C-AE0C-7BF4DDB58530}"/>
                </c:ext>
              </c:extLst>
            </c:dLbl>
            <c:dLbl>
              <c:idx val="3"/>
              <c:layout>
                <c:manualLayout>
                  <c:x val="7.2127647762643722E-3"/>
                  <c:y val="4.831461871015946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49F-472C-AE0C-7BF4DDB58530}"/>
                </c:ext>
              </c:extLst>
            </c:dLbl>
            <c:dLbl>
              <c:idx val="4"/>
              <c:layout>
                <c:manualLayout>
                  <c:x val="1.0819147164396525E-2"/>
                  <c:y val="4.831461871015857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49F-472C-AE0C-7BF4DDB58530}"/>
                </c:ext>
              </c:extLst>
            </c:dLbl>
            <c:dLbl>
              <c:idx val="5"/>
              <c:layout>
                <c:manualLayout>
                  <c:x val="9.0159559703305477E-3"/>
                  <c:y val="-8.8575777733682834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49F-472C-AE0C-7BF4DDB585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'ODF data'!$J$3:$J$8</c:f>
              <c:numCache>
                <c:formatCode>_(* #,##0_);_(* \(#,##0\);_(* "-"??_);_(@_)</c:formatCode>
                <c:ptCount val="6"/>
                <c:pt idx="0">
                  <c:v>602.52787370498277</c:v>
                </c:pt>
                <c:pt idx="1">
                  <c:v>445.42303552206675</c:v>
                </c:pt>
                <c:pt idx="2">
                  <c:v>193.32903587443946</c:v>
                </c:pt>
                <c:pt idx="3">
                  <c:v>110.05603697284806</c:v>
                </c:pt>
                <c:pt idx="4">
                  <c:v>939.45757724374698</c:v>
                </c:pt>
                <c:pt idx="5">
                  <c:v>115.8257472826087</c:v>
                </c:pt>
              </c:numCache>
            </c:numRef>
          </c:val>
          <c:smooth val="0"/>
          <c:extLst>
            <c:ext xmlns:c16="http://schemas.microsoft.com/office/drawing/2014/chart" uri="{C3380CC4-5D6E-409C-BE32-E72D297353CC}">
              <c16:uniqueId val="{00000001-649F-472C-AE0C-7BF4DDB58530}"/>
            </c:ext>
          </c:extLst>
        </c:ser>
        <c:dLbls>
          <c:showLegendKey val="0"/>
          <c:showVal val="0"/>
          <c:showCatName val="0"/>
          <c:showSerName val="0"/>
          <c:showPercent val="0"/>
          <c:showBubbleSize val="0"/>
        </c:dLbls>
        <c:marker val="1"/>
        <c:smooth val="0"/>
        <c:axId val="1068132128"/>
        <c:axId val="1068129608"/>
      </c:lineChart>
      <c:catAx>
        <c:axId val="1068133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138248"/>
        <c:crosses val="autoZero"/>
        <c:auto val="1"/>
        <c:lblAlgn val="ctr"/>
        <c:lblOffset val="100"/>
        <c:noMultiLvlLbl val="0"/>
      </c:catAx>
      <c:valAx>
        <c:axId val="1068138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Acres</a:t>
                </a:r>
                <a:r>
                  <a:rPr lang="en-US" baseline="0"/>
                  <a:t> burned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133568"/>
        <c:crosses val="autoZero"/>
        <c:crossBetween val="between"/>
      </c:valAx>
      <c:valAx>
        <c:axId val="1068129608"/>
        <c:scaling>
          <c:orientation val="minMax"/>
          <c:max val="3500"/>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Fires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132128"/>
        <c:crosses val="max"/>
        <c:crossBetween val="between"/>
      </c:valAx>
      <c:catAx>
        <c:axId val="1068132128"/>
        <c:scaling>
          <c:orientation val="minMax"/>
        </c:scaling>
        <c:delete val="1"/>
        <c:axPos val="b"/>
        <c:majorTickMark val="out"/>
        <c:minorTickMark val="none"/>
        <c:tickLblPos val="nextTo"/>
        <c:crossAx val="10681296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[2026_Wildfire_Report_trend.xlsx]County chart!Report-county, fire</c:name>
    <c:fmtId val="6"/>
  </c:pivotSource>
  <c:chart>
    <c:title>
      <c:tx>
        <c:strRef>
          <c:f>'County chart'!$AF$3</c:f>
          <c:strCache>
            <c:ptCount val="1"/>
            <c:pt idx="0">
              <c:v>2026 Wildfire impact by County  - Acres burned (large fires), Structures destroyed</c:v>
            </c:pt>
          </c:strCache>
        </c:strRef>
      </c:tx>
      <c:layout>
        <c:manualLayout>
          <c:xMode val="edge"/>
          <c:yMode val="edge"/>
          <c:x val="0.1153021632727811"/>
          <c:y val="2.113908849308788E-2"/>
        </c:manualLayout>
      </c:layout>
      <c:overlay val="0"/>
      <c:spPr>
        <a:solidFill>
          <a:schemeClr val="lt1"/>
        </a:solidFill>
        <a:ln>
          <a:solidFill>
            <a:schemeClr val="accent1">
              <a:alpha val="99000"/>
            </a:schemeClr>
          </a:solidFill>
        </a:ln>
        <a:effectLst/>
      </c:spPr>
      <c:txPr>
        <a:bodyPr rot="0" spcFirstLastPara="1" vertOverflow="ellipsis" vert="horz" wrap="square" anchor="ctr" anchorCtr="1"/>
        <a:lstStyle/>
        <a:p>
          <a:pPr>
            <a:defRPr sz="1800" b="1" i="0" u="none" strike="noStrike" kern="1200" cap="none" spc="20" baseline="0">
              <a:solidFill>
                <a:schemeClr val="tx1"/>
              </a:solidFill>
              <a:latin typeface="+mn-lt"/>
              <a:ea typeface="+mn-ea"/>
              <a:cs typeface="+mn-cs"/>
            </a:defRPr>
          </a:pPr>
          <a:endParaRPr lang="en-US"/>
        </a:p>
      </c:txPr>
    </c:title>
    <c:autoTitleDeleted val="0"/>
    <c:pivotFmts>
      <c:pivotFmt>
        <c:idx val="0"/>
        <c:spPr>
          <a:solidFill>
            <a:schemeClr val="tx1">
              <a:lumMod val="65000"/>
              <a:lumOff val="35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40000"/>
              <a:lumOff val="60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20960764865272"/>
          <c:y val="3.7363581964799636E-2"/>
          <c:w val="0.84588619695935008"/>
          <c:h val="0.81504498887785637"/>
        </c:manualLayout>
      </c:layout>
      <c:barChart>
        <c:barDir val="col"/>
        <c:grouping val="clustered"/>
        <c:varyColors val="0"/>
        <c:ser>
          <c:idx val="0"/>
          <c:order val="0"/>
          <c:tx>
            <c:strRef>
              <c:f>'County chart'!$AF$3</c:f>
              <c:strCache>
                <c:ptCount val="1"/>
                <c:pt idx="0">
                  <c:v>Acres</c:v>
                </c:pt>
              </c:strCache>
            </c:strRef>
          </c:tx>
          <c:spPr>
            <a:solidFill>
              <a:schemeClr val="tx1">
                <a:lumMod val="65000"/>
                <a:lumOff val="35000"/>
              </a:schemeClr>
            </a:solidFill>
            <a:ln w="9525" cap="flat" cmpd="sng" algn="ctr">
              <a:solidFill>
                <a:schemeClr val="accent1">
                  <a:shade val="95000"/>
                </a:schemeClr>
              </a:solidFill>
              <a:round/>
            </a:ln>
            <a:effectLst/>
          </c:spPr>
          <c:invertIfNegative val="0"/>
          <c:cat>
            <c:strRef>
              <c:f>'County chart'!$AF$3</c:f>
              <c:strCache>
                <c:ptCount val="15"/>
                <c:pt idx="0">
                  <c:v>Malheur</c:v>
                </c:pt>
                <c:pt idx="1">
                  <c:v>Harney</c:v>
                </c:pt>
                <c:pt idx="2">
                  <c:v>Wheeler</c:v>
                </c:pt>
                <c:pt idx="3">
                  <c:v>Gilliam</c:v>
                </c:pt>
                <c:pt idx="4">
                  <c:v>Jefferson</c:v>
                </c:pt>
                <c:pt idx="5">
                  <c:v>Crook</c:v>
                </c:pt>
                <c:pt idx="6">
                  <c:v>Umatilla</c:v>
                </c:pt>
                <c:pt idx="7">
                  <c:v>Grant</c:v>
                </c:pt>
                <c:pt idx="8">
                  <c:v>Baker</c:v>
                </c:pt>
                <c:pt idx="9">
                  <c:v>Douglas</c:v>
                </c:pt>
                <c:pt idx="10">
                  <c:v>Jackson</c:v>
                </c:pt>
                <c:pt idx="11">
                  <c:v>Wasco</c:v>
                </c:pt>
                <c:pt idx="12">
                  <c:v>Deschutes</c:v>
                </c:pt>
                <c:pt idx="13">
                  <c:v>Wallowa</c:v>
                </c:pt>
                <c:pt idx="14">
                  <c:v>Klamath</c:v>
                </c:pt>
              </c:strCache>
            </c:strRef>
          </c:cat>
          <c:val>
            <c:numRef>
              <c:f>'County chart'!$AF$3</c:f>
              <c:numCache>
                <c:formatCode>#,##0</c:formatCode>
                <c:ptCount val="15"/>
                <c:pt idx="0">
                  <c:v>341345</c:v>
                </c:pt>
                <c:pt idx="1">
                  <c:v>273420</c:v>
                </c:pt>
                <c:pt idx="2">
                  <c:v>262735</c:v>
                </c:pt>
                <c:pt idx="3">
                  <c:v>183351</c:v>
                </c:pt>
                <c:pt idx="4">
                  <c:v>120207</c:v>
                </c:pt>
                <c:pt idx="5">
                  <c:v>48760</c:v>
                </c:pt>
                <c:pt idx="6">
                  <c:v>39957</c:v>
                </c:pt>
                <c:pt idx="7">
                  <c:v>33350</c:v>
                </c:pt>
                <c:pt idx="8">
                  <c:v>26114</c:v>
                </c:pt>
                <c:pt idx="9">
                  <c:v>16400</c:v>
                </c:pt>
                <c:pt idx="10">
                  <c:v>15639</c:v>
                </c:pt>
                <c:pt idx="11">
                  <c:v>3704</c:v>
                </c:pt>
                <c:pt idx="12">
                  <c:v>2621</c:v>
                </c:pt>
                <c:pt idx="13">
                  <c:v>740</c:v>
                </c:pt>
                <c:pt idx="14">
                  <c:v>247</c:v>
                </c:pt>
              </c:numCache>
            </c:numRef>
          </c:val>
          <c:extLst>
            <c:ext xmlns:c16="http://schemas.microsoft.com/office/drawing/2014/chart" uri="{C3380CC4-5D6E-409C-BE32-E72D297353CC}">
              <c16:uniqueId val="{00000000-20F5-47BA-A4F8-1F53F8EAD768}"/>
            </c:ext>
          </c:extLst>
        </c:ser>
        <c:dLbls>
          <c:showLegendKey val="0"/>
          <c:showVal val="0"/>
          <c:showCatName val="0"/>
          <c:showSerName val="0"/>
          <c:showPercent val="0"/>
          <c:showBubbleSize val="0"/>
        </c:dLbls>
        <c:gapWidth val="18"/>
        <c:overlap val="81"/>
        <c:axId val="835899336"/>
        <c:axId val="835902216"/>
      </c:barChart>
      <c:barChart>
        <c:barDir val="col"/>
        <c:grouping val="clustered"/>
        <c:varyColors val="0"/>
        <c:ser>
          <c:idx val="1"/>
          <c:order val="1"/>
          <c:tx>
            <c:strRef>
              <c:f>'County chart'!$AF$3</c:f>
              <c:strCache>
                <c:ptCount val="1"/>
                <c:pt idx="0">
                  <c:v>Resid.</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'County chart'!$AF$3</c:f>
              <c:strCache>
                <c:ptCount val="15"/>
                <c:pt idx="0">
                  <c:v>Malheur</c:v>
                </c:pt>
                <c:pt idx="1">
                  <c:v>Harney</c:v>
                </c:pt>
                <c:pt idx="2">
                  <c:v>Wheeler</c:v>
                </c:pt>
                <c:pt idx="3">
                  <c:v>Gilliam</c:v>
                </c:pt>
                <c:pt idx="4">
                  <c:v>Jefferson</c:v>
                </c:pt>
                <c:pt idx="5">
                  <c:v>Crook</c:v>
                </c:pt>
                <c:pt idx="6">
                  <c:v>Umatilla</c:v>
                </c:pt>
                <c:pt idx="7">
                  <c:v>Grant</c:v>
                </c:pt>
                <c:pt idx="8">
                  <c:v>Baker</c:v>
                </c:pt>
                <c:pt idx="9">
                  <c:v>Douglas</c:v>
                </c:pt>
                <c:pt idx="10">
                  <c:v>Jackson</c:v>
                </c:pt>
                <c:pt idx="11">
                  <c:v>Wasco</c:v>
                </c:pt>
                <c:pt idx="12">
                  <c:v>Deschutes</c:v>
                </c:pt>
                <c:pt idx="13">
                  <c:v>Wallowa</c:v>
                </c:pt>
                <c:pt idx="14">
                  <c:v>Klamath</c:v>
                </c:pt>
              </c:strCache>
            </c:strRef>
          </c:cat>
          <c:val>
            <c:numRef>
              <c:f>'County chart'!$AF$3</c:f>
              <c:numCache>
                <c:formatCode>General</c:formatCode>
                <c:ptCount val="15"/>
                <c:pt idx="2">
                  <c:v>3</c:v>
                </c:pt>
                <c:pt idx="3">
                  <c:v>13</c:v>
                </c:pt>
                <c:pt idx="4">
                  <c:v>2</c:v>
                </c:pt>
                <c:pt idx="6">
                  <c:v>6</c:v>
                </c:pt>
                <c:pt idx="7">
                  <c:v>1</c:v>
                </c:pt>
                <c:pt idx="10">
                  <c:v>1</c:v>
                </c:pt>
              </c:numCache>
            </c:numRef>
          </c:val>
          <c:extLst>
            <c:ext xmlns:c16="http://schemas.microsoft.com/office/drawing/2014/chart" uri="{C3380CC4-5D6E-409C-BE32-E72D297353CC}">
              <c16:uniqueId val="{00000001-20F5-47BA-A4F8-1F53F8EAD768}"/>
            </c:ext>
          </c:extLst>
        </c:ser>
        <c:ser>
          <c:idx val="2"/>
          <c:order val="2"/>
          <c:tx>
            <c:strRef>
              <c:f>'County chart'!$AF$3</c:f>
              <c:strCache>
                <c:ptCount val="1"/>
                <c:pt idx="0">
                  <c:v>Comm.</c:v>
                </c:pt>
              </c:strCache>
            </c:strRef>
          </c:tx>
          <c:spPr>
            <a:solidFill>
              <a:schemeClr val="accent3">
                <a:lumMod val="40000"/>
                <a:lumOff val="60000"/>
              </a:schemeClr>
            </a:solidFill>
            <a:ln w="9525" cap="flat" cmpd="sng" algn="ctr">
              <a:solidFill>
                <a:schemeClr val="accent3">
                  <a:shade val="95000"/>
                </a:schemeClr>
              </a:solidFill>
              <a:round/>
            </a:ln>
            <a:effectLst/>
          </c:spPr>
          <c:invertIfNegative val="0"/>
          <c:cat>
            <c:strRef>
              <c:f>'County chart'!$AF$3</c:f>
              <c:strCache>
                <c:ptCount val="15"/>
                <c:pt idx="0">
                  <c:v>Malheur</c:v>
                </c:pt>
                <c:pt idx="1">
                  <c:v>Harney</c:v>
                </c:pt>
                <c:pt idx="2">
                  <c:v>Wheeler</c:v>
                </c:pt>
                <c:pt idx="3">
                  <c:v>Gilliam</c:v>
                </c:pt>
                <c:pt idx="4">
                  <c:v>Jefferson</c:v>
                </c:pt>
                <c:pt idx="5">
                  <c:v>Crook</c:v>
                </c:pt>
                <c:pt idx="6">
                  <c:v>Umatilla</c:v>
                </c:pt>
                <c:pt idx="7">
                  <c:v>Grant</c:v>
                </c:pt>
                <c:pt idx="8">
                  <c:v>Baker</c:v>
                </c:pt>
                <c:pt idx="9">
                  <c:v>Douglas</c:v>
                </c:pt>
                <c:pt idx="10">
                  <c:v>Jackson</c:v>
                </c:pt>
                <c:pt idx="11">
                  <c:v>Wasco</c:v>
                </c:pt>
                <c:pt idx="12">
                  <c:v>Deschutes</c:v>
                </c:pt>
                <c:pt idx="13">
                  <c:v>Wallowa</c:v>
                </c:pt>
                <c:pt idx="14">
                  <c:v>Klamath</c:v>
                </c:pt>
              </c:strCache>
            </c:strRef>
          </c:cat>
          <c:val>
            <c:numRef>
              <c:f>'County chart'!$AF$3</c:f>
              <c:numCache>
                <c:formatCode>General</c:formatCode>
                <c:ptCount val="15"/>
              </c:numCache>
            </c:numRef>
          </c:val>
          <c:extLst>
            <c:ext xmlns:c16="http://schemas.microsoft.com/office/drawing/2014/chart" uri="{C3380CC4-5D6E-409C-BE32-E72D297353CC}">
              <c16:uniqueId val="{00000002-20F5-47BA-A4F8-1F53F8EAD768}"/>
            </c:ext>
          </c:extLst>
        </c:ser>
        <c:ser>
          <c:idx val="3"/>
          <c:order val="3"/>
          <c:tx>
            <c:strRef>
              <c:f>'County chart'!$AF$3</c:f>
              <c:strCache>
                <c:ptCount val="1"/>
                <c:pt idx="0">
                  <c:v>Minor</c:v>
                </c:pt>
              </c:strCache>
            </c:strRef>
          </c:tx>
          <c:spPr>
            <a:solidFill>
              <a:schemeClr val="accent4">
                <a:lumMod val="60000"/>
                <a:lumOff val="40000"/>
              </a:schemeClr>
            </a:solidFill>
            <a:ln w="9525" cap="flat" cmpd="sng" algn="ctr">
              <a:solidFill>
                <a:schemeClr val="accent4">
                  <a:shade val="95000"/>
                </a:schemeClr>
              </a:solidFill>
              <a:round/>
            </a:ln>
            <a:effectLst/>
          </c:spPr>
          <c:invertIfNegative val="0"/>
          <c:cat>
            <c:strRef>
              <c:f>'County chart'!$AF$3</c:f>
              <c:strCache>
                <c:ptCount val="15"/>
                <c:pt idx="0">
                  <c:v>Malheur</c:v>
                </c:pt>
                <c:pt idx="1">
                  <c:v>Harney</c:v>
                </c:pt>
                <c:pt idx="2">
                  <c:v>Wheeler</c:v>
                </c:pt>
                <c:pt idx="3">
                  <c:v>Gilliam</c:v>
                </c:pt>
                <c:pt idx="4">
                  <c:v>Jefferson</c:v>
                </c:pt>
                <c:pt idx="5">
                  <c:v>Crook</c:v>
                </c:pt>
                <c:pt idx="6">
                  <c:v>Umatilla</c:v>
                </c:pt>
                <c:pt idx="7">
                  <c:v>Grant</c:v>
                </c:pt>
                <c:pt idx="8">
                  <c:v>Baker</c:v>
                </c:pt>
                <c:pt idx="9">
                  <c:v>Douglas</c:v>
                </c:pt>
                <c:pt idx="10">
                  <c:v>Jackson</c:v>
                </c:pt>
                <c:pt idx="11">
                  <c:v>Wasco</c:v>
                </c:pt>
                <c:pt idx="12">
                  <c:v>Deschutes</c:v>
                </c:pt>
                <c:pt idx="13">
                  <c:v>Wallowa</c:v>
                </c:pt>
                <c:pt idx="14">
                  <c:v>Klamath</c:v>
                </c:pt>
              </c:strCache>
            </c:strRef>
          </c:cat>
          <c:val>
            <c:numRef>
              <c:f>'County chart'!$AF$3</c:f>
              <c:numCache>
                <c:formatCode>General</c:formatCode>
                <c:ptCount val="15"/>
                <c:pt idx="1">
                  <c:v>4</c:v>
                </c:pt>
                <c:pt idx="3">
                  <c:v>5</c:v>
                </c:pt>
                <c:pt idx="4">
                  <c:v>15</c:v>
                </c:pt>
                <c:pt idx="6">
                  <c:v>40</c:v>
                </c:pt>
                <c:pt idx="7">
                  <c:v>2</c:v>
                </c:pt>
                <c:pt idx="10">
                  <c:v>6</c:v>
                </c:pt>
              </c:numCache>
            </c:numRef>
          </c:val>
          <c:extLst>
            <c:ext xmlns:c16="http://schemas.microsoft.com/office/drawing/2014/chart" uri="{C3380CC4-5D6E-409C-BE32-E72D297353CC}">
              <c16:uniqueId val="{00000003-20F5-47BA-A4F8-1F53F8EAD768}"/>
            </c:ext>
          </c:extLst>
        </c:ser>
        <c:ser>
          <c:idx val="4"/>
          <c:order val="4"/>
          <c:tx>
            <c:strRef>
              <c:f>'County chart'!$AF$3</c:f>
              <c:strCache>
                <c:ptCount val="1"/>
                <c:pt idx="0">
                  <c:v>RV/home</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'County chart'!$AF$3</c:f>
              <c:strCache>
                <c:ptCount val="15"/>
                <c:pt idx="0">
                  <c:v>Malheur</c:v>
                </c:pt>
                <c:pt idx="1">
                  <c:v>Harney</c:v>
                </c:pt>
                <c:pt idx="2">
                  <c:v>Wheeler</c:v>
                </c:pt>
                <c:pt idx="3">
                  <c:v>Gilliam</c:v>
                </c:pt>
                <c:pt idx="4">
                  <c:v>Jefferson</c:v>
                </c:pt>
                <c:pt idx="5">
                  <c:v>Crook</c:v>
                </c:pt>
                <c:pt idx="6">
                  <c:v>Umatilla</c:v>
                </c:pt>
                <c:pt idx="7">
                  <c:v>Grant</c:v>
                </c:pt>
                <c:pt idx="8">
                  <c:v>Baker</c:v>
                </c:pt>
                <c:pt idx="9">
                  <c:v>Douglas</c:v>
                </c:pt>
                <c:pt idx="10">
                  <c:v>Jackson</c:v>
                </c:pt>
                <c:pt idx="11">
                  <c:v>Wasco</c:v>
                </c:pt>
                <c:pt idx="12">
                  <c:v>Deschutes</c:v>
                </c:pt>
                <c:pt idx="13">
                  <c:v>Wallowa</c:v>
                </c:pt>
                <c:pt idx="14">
                  <c:v>Klamath</c:v>
                </c:pt>
              </c:strCache>
            </c:strRef>
          </c:cat>
          <c:val>
            <c:numRef>
              <c:f>'County chart'!$AF$3</c:f>
              <c:numCache>
                <c:formatCode>General</c:formatCode>
                <c:ptCount val="15"/>
              </c:numCache>
            </c:numRef>
          </c:val>
          <c:extLst>
            <c:ext xmlns:c16="http://schemas.microsoft.com/office/drawing/2014/chart" uri="{C3380CC4-5D6E-409C-BE32-E72D297353CC}">
              <c16:uniqueId val="{00000000-87F6-4E13-BDDC-0D144CD7C91C}"/>
            </c:ext>
          </c:extLst>
        </c:ser>
        <c:dLbls>
          <c:showLegendKey val="0"/>
          <c:showVal val="0"/>
          <c:showCatName val="0"/>
          <c:showSerName val="0"/>
          <c:showPercent val="0"/>
          <c:showBubbleSize val="0"/>
        </c:dLbls>
        <c:gapWidth val="119"/>
        <c:overlap val="-34"/>
        <c:axId val="927403080"/>
        <c:axId val="927402720"/>
      </c:barChart>
      <c:catAx>
        <c:axId val="835899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35902216"/>
        <c:crossesAt val="0"/>
        <c:auto val="1"/>
        <c:lblAlgn val="ctr"/>
        <c:lblOffset val="100"/>
        <c:noMultiLvlLbl val="0"/>
      </c:catAx>
      <c:valAx>
        <c:axId val="835902216"/>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Acres Burned</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35899336"/>
        <c:crossesAt val="1"/>
        <c:crossBetween val="between"/>
      </c:valAx>
      <c:valAx>
        <c:axId val="92740272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27403080"/>
        <c:crosses val="max"/>
        <c:crossBetween val="between"/>
      </c:valAx>
      <c:catAx>
        <c:axId val="927403080"/>
        <c:scaling>
          <c:orientation val="minMax"/>
        </c:scaling>
        <c:delete val="1"/>
        <c:axPos val="b"/>
        <c:numFmt formatCode="General" sourceLinked="1"/>
        <c:majorTickMark val="out"/>
        <c:minorTickMark val="none"/>
        <c:tickLblPos val="nextTo"/>
        <c:crossAx val="927402720"/>
        <c:crosses val="autoZero"/>
        <c:auto val="1"/>
        <c:lblAlgn val="ctr"/>
        <c:lblOffset val="100"/>
        <c:noMultiLvlLbl val="0"/>
      </c:cat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700" b="0" i="0" u="none" strike="noStrike" kern="1200" baseline="0">
                <a:solidFill>
                  <a:schemeClr val="tx1"/>
                </a:solidFill>
                <a:latin typeface="Arial" panose="020B0604020202020204" pitchFamily="34" charset="0"/>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ln>
              <a:noFill/>
            </a:ln>
          </cx:spPr>
        </cx:plotSurface>
        <cx:series layoutId="regionMap" uniqueId="{9FC58998-02B3-40C5-878E-A21563927C16}">
          <cx:tx>
            <cx:txData>
              <cx:f>_xlchart.v5.2</cx:f>
              <cx:v>Homes destroyed</cx:v>
            </cx:txData>
          </cx:tx>
          <cx:spPr>
            <a:ln>
              <a:solidFill>
                <a:schemeClr val="tx1"/>
              </a:solidFill>
            </a:ln>
          </cx:spPr>
          <cx:dataLabels>
            <cx:spPr>
              <a:solidFill>
                <a:schemeClr val="lt1"/>
              </a:solidFill>
            </cx:spPr>
            <cx:txPr>
              <a:bodyPr spcFirstLastPara="1" vertOverflow="ellipsis" horzOverflow="overflow" wrap="square" lIns="0" tIns="0" rIns="0" bIns="0" anchor="ctr" anchorCtr="1"/>
              <a:lstStyle/>
              <a:p>
                <a:pPr algn="ctr" rtl="0">
                  <a:defRPr sz="800" b="1" baseline="0"/>
                </a:pPr>
                <a:endParaRPr lang="en-US" sz="800" b="1" i="0" u="none" strike="noStrike" baseline="0">
                  <a:solidFill>
                    <a:sysClr val="windowText" lastClr="000000">
                      <a:lumMod val="65000"/>
                      <a:lumOff val="35000"/>
                    </a:sysClr>
                  </a:solidFill>
                  <a:latin typeface="Aptos Narrow" panose="02110004020202020204"/>
                </a:endParaRPr>
              </a:p>
            </cx:txPr>
            <cx:visibility seriesName="0" categoryName="0" value="1"/>
            <cx:separator>
</cx:separator>
          </cx:dataLabels>
          <cx:dataId val="0"/>
          <cx:layoutPr>
            <cx:regionLabelLayout val="showAll"/>
            <cx:geography cultureLanguage="en-US" cultureRegion="US" attribution="Powered by Bing">
              <cx:geoCache provider="{E9337A44-BEBE-4D9F-B70C-5C5E7DAFC167}">
                <cx:binary>7H1Zb9y6svVfCfJ85S2K88HZ50FDD57HTC9Cx+loFiVq1q//Sp677Xg7jj9cXOMYG9hIqylSXKpi
1apF9r8v+39dpuuV/tBnaV7967L/+2NY18W//vqrugzX2arayaJLrSr1s965VNlf6ufP6HL91w+9
6qI8+MsyEfnrMlzpet1//M+/4W7BWu2ry1UdqfykWevhdF01aV09c+3JSx9WP7Iod6Oq1tFljf7+
eKTXgco/bn5u/f3xc7hep2v98cM6r6N6OB+K9d8fNxpbHz/8td3Ho/F8SGHIdfMDGhOyI6VgFuPI
vPrDHz+kKg9uLhvIMncsRKTFGZNXf7edH64yaH8zog+OavJ6uL325MCuhrX68UOvqwqe7Or/j2+w
8TQwE6e/nIW7Pi+nvqfJDwCHvz9e5FG9/vHhrF7V6+rjh6hSV4PTg6OmJ744u5qivzbh+8+/tz6A
Sdv65AHC2zP8T5c2gXwO4FV1qZ6dxd+El+5QKSRnCF+jJ7bhRTuIC4mlgDfn+q26AXYayd0UP/O+
/QLWjeYvAXWjwbuCNE1Vt7qd3SdN47dBJRZhFr3BVLItUBHfsTinklLryqbRbee30F6N6E/A3bzB
i+DdbPKOAAZ/M/nqZ0zkt+HFFqGMCnntksEyN1wyEjum4GCxCKz5oc1ejeT1sG42fwGomw3eE6QZ
LJBp+sZGy7jFwBnfrKPyMapccCJNQbZQvRnMHwC7fYeXYLvd5h3Bez5hmymV3E70GzllykzCTfaL
QArvCCwsCKW23PHdaF4P8ONbvADhx43eEcRn4Vpnqzd2y0RwREx2AzDAuOGWIVLm2CQSYuXb9+p6
vb0Zy+vh3b7BC8DdbvKOoD2AFCtX2Sq8neW3sV6KmIm4vEmDttdcy9phApFtaO/G8npwH9/iBfA+
bvSeAFZaq+5t0cUUE86J+EVEJXcoxZQKTG+7vTbdg6uh/AG4m+1fguxmi/cE60q/caAM3AWWQMqQ
R6QF3jGxxOCqyVMJ0MHVSP4A1c32L0F1s8U7QnWx0vn6eeLnN9MfvEMFB1uEWPiWcdpYZ5HcMSG3
FZRurbPXQ3k9rFvtXwDrVot3BOvBKg3Xjb71hm+xxOIdSFkZeNlrH2xux08Ta0EQ/HHgMx6mtTdj
eT2w2zd4AbLbTd4RtPtR/qZxMdlhmFET4W1ALbyDIBuytu10GsDrwdxo/QIkN77/vmC8VOn/ByQp
4ehpz2sR8LyEUFNeM1NbiSzM9DSiP4J24wYvQ3ejyf8BgJ8f4sYzT5WC01tn+IQP/t1iD7hgLJgA
e/0FwCbEwQJdmfJDD3xbj/olx3ldDntU3Lltt/FQ18/0/Cz8nyra7K/y9TMgQSr5uyU5k1qIklt+
H8KcjQAI/KopEZIEXS+l22YIw/kDG3zY+gncNj6CkuT08He9vSNQd9c/f6519bbMPiyVFrhOSqxf
2B9U4yBrwQLBS/PQAO9GczfVvzRF6xe2+PgWG1A+XWp93Og9Qby6TN4YYGsHW4wSdFO5MQHGTdO1
dgSHug3hW0TD7vVY/gDerRu8BNytJu8IWkcpKP0/YyO/6ZIhkuVMYjxZ7/T3KNQlO0gIKTi/sezb
zq9ppGk4r4d2o/ULcN34/jsCdaHUjw+nUfu2Ahi6w6GaCtjhX0CLdqgF5LDE23TD3XBeD+39I93d
4wUAP9HqHcH8dZWFUKC7taAnwt7fjqgoaJhM05L0Ztndrr1OmSrU5TAyn+QLb0Z0B9EzfuVpNcz2
DV6A8XaTdwSwq5ogXb2xfwaAiRQCUtPp74mQGRNqAb+/FSzfjOX10G7f4AXQbjd5R9DO9Sqv39Jy
yQ4GxQQU1vnT3hm0MBK4J4uxrYDqaiSvh3Wz+QtA3WzwjiC1V8nbLrhkBwpxwCGRmwV3O0YGHhjW
YskFBjf9MAm6GsnrId1s/gJINxu8I0jdNeidmyt17DNL2W+GyBM3KExxU3F7IkRGOxhRRPiWvOlu
MK9H9vEtXoDu40bvCOHPqyoEyXr9tvQFiIktLIlgN874UdnVghKP5FiQrQrO/XBeD/IT93gByk+0
ekcwO43Wb1p7tXYIsgjm5FdycbJDrEnhJrZ889VIXg/uZvMX4LrZ4B1BeqzSN5UlgkYCmGJYb2/F
4tuMFAa3zBjH1paYeBrI6wHdaP0CPDe+/47g3Ifo6TaKeYtM1pp4Jga6/utE9TERZe5AoiNhc8AW
gzwN5PVwbrR+AZwb339HcO6qal3AyvrGmBJickzELT3xhIlaDJl4Wzl8N5rXA/v4Fi9A93GjdwSx
A5vjKlW8pdEyMFppSvOWHH6CnRAgT4Si3hbFeDOW18O7fYMXgLvd5B1BOwdaMVplbwktMIuYo19v
xQJROBJUEEK2/PHNWF4P7fYNXgDtdpN3BO0ebOhY1W8qCbd2LNitgcStWOKR1aIdDnwjhb1at2/U
dbXnZiyvh3b7Bi+AdrvJO4LWBo7ibfNYskM5YoTfchXbDBSUA2D/JDctDBnuBgN1NZTXA3v9KHft
X4DrVot3BKuj33gDFlDFpmViZolf1ADMHai7IwvK79df2MT2ajx30DzDiz1d4tls/gJkNxu8J2BV
2mTfo9Xt9L5F2kN3BEMCKjy/2nsFugpkWiAe3spinZvB/AGw23d4Cbbbbd4TvCnIRmCxfdP6Hd3B
lAskbuB9SjfDYGMsRFFb9TuIVq9H8wcAP7rFSxB+1Oh/A+Jfn1Bxd+aHu6pX3tVpIQ8OqXj+6u3p
FltNn5XTXPvL5Y+/P0KhHXOw1Aeqx+lGG+voPSt76yQ2W65XVf33Rzh8xNoBKpKDTwfKGSQaUDro
1jeX8A4Q0SaHDQVQ94V9tx8/5ErXIRxpAooOLils5QMWBI6+oEBGV6q5uYQRtyDZxoyALl2gu3Nc
gIAa4MyVu5m5+feHvMmOVZTX1d8fJcQJxfXXpuFO3UtEsUlNUGoS2LACHRWXq1Mg3uHb6H/8MPST
eKiiE5oIfFya2RDYpuGHHh5iVTiJDvQiLiJW2X1TNJ/isUxbz2dDtcS+CrwU5fkyI5Xh0iGOHJ6q
XZiF80LWy7rpiG02KLStLiiWI+kLb0R4WFDODNdverrMwyL1WOvHSwL6FjcWudjVwZB4OPWThWBG
y5yuG7t5NfSZF9NyKByDcd8VSZbAfcu+Oib+IDxL5irldoZ5Hbpx24qVbgvVeCOrzwMzyfdLOubL
Qo++G2hLLAydht4w0HJZkyDx6qqIDrSm1Vyhkrk15sHPqMK5RzuRB3ZAat9lndksaz+LPV3XdWDz
Mk9ORmKE39s03y06U3l1GmfLPEOGOwaWsSiqNJ53YQ5zU0GfeED1aVFh7DEmil2S5ZVHslCZnj+W
RlHYV/eo+ihZIpnmXt+UEXGCoWg9XIWGm+gxWzJdRl4w4mxJ0izwkjEny6rmo51KeZL33FRO3Fv4
OBglLZ2Hp8hsvDyXqhh0FIQ35wDd/fM/5yqD/66Olbn/cDpG6P5f87Wacohq+0uTod996/5omsmw
7s6p2TLX67OIfmHLz178PUOHBfdO3vyUod+fZ/PAxqdV+tbGgbGEaFwIAbtrgQV7aONoR4BtUbgG
5xPBprANGwcfQ6ANtaQFZyrc2zjZgZMxrqJ7YoLQFi7dTsIGTHB20xM2DtWNDSOfbJsh2BBhgg5B
EkgJwNE8NPJKxA3Ks6o7TjIWumYTJk5CfOJyQyo7U/RoKMYvlDWWW8VNaat+yG2G09zxGS/tSGbV
rh8GP2WULw1V7g5p5hnZENpNJMb9pE0Sp67D1B6E6pd9gWdQX9O24N0ejnRsV0mTu4HiysnTZD+i
YWAbVvPVt/JPfunPqhA+SETSzgqZL4eyXbC+0U4Rc2oXuV4bZWq5IIK9EK344SfKyWhFXFqGF0PS
HURyyGaJ7L7Ct46oyjM78NtZhFjgGEnCZz62nKjBg0diw1G4r5yGsvNKaeExs+xs1Rqfhjr/FCXZ
aWWoy6hB1iwKyiD2LGzq+kCq7HLoqddXwdexbOZV5Pd2G3e1jeLqdPSzxEmH6FAz61sr5QUOhLR1
l+xSji95M1Y2Lv3GzkcRemGrTzraHAxpxWDa62PSNTDRVRMteRZ2bhNGnomb4zo3LkVrlja28top
+mFRDX4w6zpu+zz150kVun0e22F+0FRqdCrdXpiaDPYQDtjp9efQ2NNjDfAUTleZtvE5CYLzUKfn
dSW/DqRLHcILz1eFDT6PukP1DenYRYmwQ1O5Zm3OyhCbNpO13YXHKGkvg6KdhV1xGmWtw8PeLUN5
YKaNEyLzuA7zpR8PX4jZ7dY4mmV8LOwxSZZt4ZdeZZZ7oq4Wef0T1/zQVPVRnPrHg8+/V+XwAzSL
a9/0L8jAV3E5HumEn4uoO6tU/HOIA49G0ScdZiejH8DBZQmzNZefRhElNu/HzIkkWbOxz51xlHuJ
qYXdkcaNODrnRnGQ1CR2mzhaJDha9joMnNQq91k/Sieqaefkmv6MA/+8UwWyy5YkHjEjaReoMb2i
ztY99wenrOFxCj5+CSmB2xf83Mrx16ZWjZ1olcyssv4+VZQd1lYHeIxT22hHw42rwsmYOE4w3YvH
htsyN2ZB358wpRwsM+pGQhwHWTMbMCptH/RD9qjjwWlMdNTIYrfrg29VPVyUOWmPZJZf6KxbFiHK
HBawb52l5tGAO6fjau7ndWeXutiNUincLh1XEUtmfRiWtonHlTDVMayv2On81gDr7i/8Wn31UVza
Q8LWJR5T0HsxPIfL2g0SvvQpWIzl8xkKZeO0ZbXOuiH3SMSXpWkpN4jDaLfDOJ13RmV6fcoPYhYd
tIao7aoZmd2IQNmlDwMIEpLOMwVj85PKHnRH7WCsk/1KR2A5OinsGjyRP1TfG2Z9HspqqfLSdMPR
jx1kdO0ijNB3Eurok5n3MP9SIJtUvXUpa58fI1aUx6JS/rlfBskBz1iVOG2jcltxFu/lSQVw4qiw
u7yI9lNuRTPNg2ivbmGdtzjSB4Fu+bckKDTzaBYNX5BZ5gurAg8UZmH+raqw8SNP6nAPihvpMoWo
R3ppRLAr2Si1mzalEdqqK6RappWeJTgNa3uMx1E7IhH8fOShGg7KMsg8rrmAZgkNIXoYZkXa+A6E
hZFdFsOaITbCVAgIN6zosKmjyg5YhewwlccS90cQJJgOprqy+RjthQ1at02nnRzz2OFtTB1Vp2cE
VXN/jIQXtwV8kWvDiYI22OfFmDp+agq3xU1vl9bQeUnUWbZQ4aqMGLItFXmq9lunloG/L0VLwCD4
cdLQwLZkldqgmsGzRtfSxX0vXZogdhIMjTkzrUq6ozS6ecnMXR8pZpdpleylY0eczBDsmA0UO7Vo
z5qc5DbEtdxhfn7EZJy7zDC+t2HeOSrwLwqiazvkrNmr/OJkgNjHrdK2228z/bOqRzxPcrJPi3h0
ky6CW4JG00my9vuYVHq/xUHkVNUIs1gms7gbarfg+Sfqd4Ndsj73Et1diKH+UkWBnlaJC7Mk0qF5
9KMruto1kYYVLYw1OP7sU1znX/MC5s/M0sLOI4Mc1IZZHZWJ3LeGlCWeUXzxWwjeG7vJyjh2a639
0QtrM0oXOmBLI+k7dtjrAsnCKRpwJd//G49dJ16QhPw6Hrs6seuJnGvS69zEY9M2bFBTMgzby6gF
Adl9zgViSwYJFYfjBGH9JlPQdZ9zAUFjQjomr2IuAQHebc4FCgQKCZwJ56cg0A9BgPcb8Ri0exSP
cYgHoVYKXSGQhcL4HsZj2jD6mPVdcmxZEbjo7CrhUW6c6UMZ0EULHspDCRZuFPJlYbSwDIt2hlPj
DCf5uR+3ngoh91ggmnthVsyL0ihPhRkXrtD8dCiti6bzF0E45m7ip+CSVbkvsRE7Y0Z+orw7HQpj
joLxuKrMQ1gIW/C0/HsWWeWcZkXiosA4r/1mQYbCcowirz+3pCgcSwl4rcE6kW/A5wKlNhFlNmt7
TDycYMPmGDVHYM6JK2T/VUQktXFBck/GiXbixt8NayLdIdZOgySaVbkobAPWTWdsDGWng3TKtPlO
dQ5BBgrsprIudILdvpMzo+PrUrJ5Rtjc16lwsz74Ehr9jGoVOH3RY4g5/L3aMk5M5oPz9EnmdHF3
2hQqsetAOoUVHhSZdoKQ5ofKiuakIu2sRgT8N5WLnhVLIxq8IDb2QIjvpDT8imkxjyrDYSbeTYne
VbW5N0TwmchdFWQHMVEe1hyyWfAoBl6kdJhhLr0sEYeMGbMcQqQqb2c6L+cx1bOuDAevxZVldzST
dlyNu01f79UpOy8z46DojYOojQe9aik8PmkprFKQeaT+ftizHhaBzhIalh+aVEcqUBGz0VDj1K7E
aMS2EVRx6rBG0wXvB3Lc96NeIAV5bIKEtcAo84/NMhQ/JCwuqKz4UoXEcPtxhFSAZHwRtUl7QTNE
Tpoo6xaD7tPBKxLaJLYYjLiYQ+KfLODfKLFxXY9LEMAWJ/nQrkhVCzdP4t6FKekClzUs9USnx0Nu
cDV6AdfxYc15Tb/4qC5TO00QDd2yacLDPMnlLNOhWBocMm0I0Mva0yLlHaQeZmR6ipL2sDRbnDna
/FT6hZ/YCYWlxDL7JnVbmoWJLUNDJLBUUbtrA652TbP53lRZNA9okdm8tuJlOhqWm9J62DOKrlHw
HjYC4vOqpuk+JNJzOaTUMSAniiFOsY5QVAWhPQ4iRF5ZJ0AEsHqEl0omeR0voojwaJ6MZTfL9VCd
Zo0R+m4X53us0H1sFz1EgmZeOcEY7/Gu+RKJLLENTfZIj35KoXZx2M0wUBjOAK+JXag+sBWuv0gT
oqYsqKlTlT49szix26HN54msPo1FdFH46ojiOoYpaJc5nELkmRAiOT6NfsCe9yOWZ05hptpBpTl4
eIA3PCv2w1QvjVodd7r5lDfxgR/JY84h2mRM7TVwsC8NIRXBoaXtkVHPzNmsjjh4AlydK21CnpCf
4JQktp9R7lDT+lxXlNv/XdCuFzTI+p9Z0G6OKXxiTZuqsvdrmgTxBaIMOIPpCLcHa5rcIRj0VHAu
CZR7gdG7X9PYDuw5kAxOx4WNQfRquXuwpsEJNLDdb1onryjG31jTpsXxAY84UQycImAq4BReoBGF
gKrjwyUtjjimY5iVxyViCEJ3X8btSO0e7KHJjMh31WQkEMJ3s6E3RDQPO6HjBb+yqEGbGdCOV5ZG
SwFWVzbmkX9liWFZUifv6ZyLiKf7URRKcO7lZL/JZMrZZNRsMm+DgKHXk8mLoPoeQLagdhH4A3Hl
GYCkBS/RJE2bwqLIc1tf+RFaT+k/WDVJ4+4wvvI35ZXvsXBXe4GYPJJPCrHUQSNnenJYyZXv8n0f
/Fg2Bkd8iDK8XyV+sLDKqEJLyKwKu5VGFpROInxizfIiK5FrWHkzeiCIhUCxZiPSR1YaHwaoBpJU
RI15XKFxzGwrYSUYo4mazBZkiGubRDhwgjYTHqFB+6Wqy/oS0ziN3Ur7rWVrnWLDaYtMYDttErdL
WtY5ScCRjVkJGRqJLBLMFW+FuEhTo67AM0QysEMoVxyFo9l+ho1JbbMcgApWdlGUDB2WnJf1UspW
zwJGosTzB3TwX4u/tngI6X5t8XfHVj5h8tDw1uSnGj4cxQjHusHJ5rB3E7zBXekAtipAqQlRbsFm
bSgS3Js8lA4ExsAbwh5uE9wFMP63Jk93TFBFc8kIAbPH8rdKB1Nl4GHlANgOCrQlHEcHsj/Cpj0R
Dy2+SIYSxb4qT2K9xOJbl1qeTg/1WLkPpuYJ+hLJyXfc9wS9gJfCJgb1L2gewLtM4fSDGoXJR9GF
eMhP0vTUkAMNL/2gofu0s5JPlZ/IAyZZ9CViHQvmrUbWQQ55v9d3RfCFD1KCqTd5tMhNnqRO33CN
7FGUdeYyc9BerHSyl7VVFuwL0w+AiVHpChxdcNYaclyqBGwlatNyt+4l9sYqbE7JROcHFhQ9yoni
HyayX020f690tiynUkADNYFhKg6IqUxQXlUMmql4QKcyQnhdUJhqC/FUZigMHfxUWcfAnKEI0Uzl
iKKDtGCcShQ81MAdTmWLcipgDEjnSxU3+b6QzbmR6aKBAULJA6gAqH5kqebf/DgcWq9g1UGUjmN4
qnBb1k6p+G4aIMPOwto/Nccmb86MvisTO9LhnlXVP40c24bR/kyqeIGL8IvfjS7R8d4AcbQ/ZPMs
bCmwm1UJ5Gp4YiSBqxs0Jyib466YqQ6tIKbqbJ/k/oKXBpszxRI37elpKzoa2zmu3DDkB7LL9hvg
zGa5Wc4TZS3DoRsulFXbgWpTuwiiU93Wrih902H9IBw/4We1zxCwm8apKilUVzJqzEjPDacbCuKN
uGoPA0r3NdUYSinpMuZ4GQR0Vho5MBIQpOOOnxWwFtpdZCw7queyhve1AEaoNGO7R9ESJ3Gxl5Q1
AgbRD+yBUNfKIRUYm7Y4J2VWxQ4BZtnmeXeYB3hGGXA/Y1xqm2DhVMial0a6MLL2Bw3IwsSJrXPZ
21Dl8aJG9Oco8L+RWvoOKyLlVSmWP1SqIezuPhlD4CILOHJgavxFwibuHYBpRlTPgWNYNzAWUfe7
dRl/QyM/U7GVzDsza9zUymzaScMj7GvNZOm17fi9HKOhBlj7+jjXTeHGKBydpPWdKA+PSBV1toGS
b7iuDo1MrkpGR5cGwyzVwUXMlA/sv38W5b4Dryu8Nyk5U/D6DayM1s8bN/ipZ00bSuMPTRuWRSMI
ZaBOdP851WcoO2sK78+62PJThkGhaqqhC+qvwvE0gOShaK7XMahY/aLE8uRjMNibS2GLLsRnm4+B
aWYYAijPE279ZBYQemrxmoe472Aq4z5wgSmODaAjQ3WSoHM/+JKgWQCW+HwfECY+i8VWH6THUOkR
Rn7SIxeFLt3jp6Fw+szt5/jrn3W1FS0CXyYVCWG+DGQPu+04k3SXn2SNRz5Hn5/v6uk37H7mtrqS
YR7yzISuCnXe0os+/qzz3Vd0QQjDIKKdTnycVsoH4Ix9XPlCADgce7Fv2UDLQE1l7/lOphrd9iI4
RdhwXCicLGlaW+gURKDQYFidWFXmJfmu7D7F5qr2IcFMz5/v6qkpgyO0OJr2m1tYTNcfPI+SndXH
aChOEpwDJe2QmoIj+v58J088j4BsxSImBZIUfuRhs5O44L2RoaI8SUNhA4Vm07JzGutTS04S/x9C
iM1Q5SqAgL6A9WMUg4nS6c1/8ECDpaWfTH0Zge9k5X6JgRyvLnH7D1a6mQQ9DlS2Ji7wJSxWsN6c
6Fm+bOZm4hXKhdWnJoe/PXkbEdHWG8fKWjRdBC91gHfl5+QgMWYxWshu/nw3aJOovH2gO+OZdjM/
nDih8YDjLlIn+Cg7HcZdKGfNyZHpLwdux//Q2RMgwTPd9UW2Xoh2JEnU9NCXLF3SuSo+ZM2cIe8f
HunpYPK+m63lgIdW2PsgozlpvHxJrHkN1MkSH6DdIHcKByKMwrkx3Rvl0vG1lV6rbh4KHB7qHd6n
cIICRr/OcrZ+6eleOjE1u81x4CRc2AoGJ4bB+QeSggd9kOOYO0TCggpnI2N6nf7cU/XwooAXhLQI
TgK0QAN1l+NMElrGJmpdgLpp2hL4G7QGbByFN/ze7V5JJxiG0cHZKrAnGJRSmxbAmlYVEW3K4yFj
6SxqmGbr3k+GyBuhQD8GwG2yNo7piuA+/9SyWpmHIrfkflhTtGDMT8xTZOkQL3SoPBPJn1DLPBuH
gHZ21gx8HpQDSmZ+pvLTgA1hd1k15VkWi7Sc51WYcmWzMDntQaKQg1SBTpqFKkiFV4OMIZ/0DEr5
Tln1g0dLC+Jk0DxAiRbUD7KdyTTJ7EiZRzEIJMJJKRFVzQEB6YRV5MSVIKYARuBHDOKKWBrIVSC3
QAWmNp0UGD1IMeo2W8aTNkNk/k8Jag05qTZAvTH4/s8M5BydYSlHTwoPa9J6iHbYoynXtmzJDAiY
HtRJoAwBGVni+PUw7uuyDe0eBCSQOe4KEJRAPXUdTgoTOWlN6KQ6CSwEOdukRCGTJqUHcUoKIhU2
qVXiSbcyTgqWeNKy4CIFwULYXqrWmnFfIRs0brvU1F97BdKS0vqhQsNLoHY9JP3MyJt1Ibp53Ggv
TPEeyftdIGMOQmoAaWqYrlBj6dEw2x+UwnaGQMbGu3aNgn5pJjIjC1rkSWo3+cRXSTFGFIqFXzRp
gh+G0YCYrU1KE+gqv8vj7xkkHK2dmhVhS0EjK752Zf91K1P4/Gu3cve7AU+QJ9Dw1rFYILyCLaZQ
t5t4zyvh1R15Anv84RQ0DmSCAGkmrNL3foVb06HcVLDpt+KmIOueOyHYAu0inwRUV61+y69M4dq9
X7nWXSIMP4EEu2/gLMXtjCGgQ03z0A9PeGnCC2XGF2DiUKeI2gsu/O99qYxFZIEWsE7C2aCBDzZt
PIDaB2oT0q93y6QfRg/EH6w57cAuAigkplwEx7GBkNMMBgZ11/CpNzBys6II7bow523rp4uWRMf5
kHzv6gqYhwQUSqUY0CLO+gMB0bIdcaHtPE2XoFzI3IbI1GngrXbNyLgIm+wcqXqPWJYbp2zlN+oY
j6x18yzcDVVC7IG2pgM/L7IcW5AAQHaeQa0pJuxoLMHXSauCKp9RXxLaR3NeQZkhLcJTVLNhXpVd
fxL0DXNyZbUe6zAoT9tAH4X1oBNwnUPsglS0PuMDpq0tgPE8ayDcqh2DWD0U/Ct2AYQlcCqoQea+
CMsUxFpd+DmyoEhUYcs6qOquP68yqCJWeR6ddWMc1gvZ1MnuwDXbp8CGxhCsyToED2iSQ0MY9bEV
D/Js6KLhstJj+DkfS3ogZaU/p1AU3c3LEgpvLcbNQVdU3Ry0rSBatSb9aq4qKOySTuwCfctdOulc
RxWnnpy0r0DJG67RGMNimJSxaNLIih5EdTQziS2baglq8vMcZbvAAEeOFYOONJnUtmMBsig5KXBz
opLWs4xc5HbB1AJEdOTyyrT+62MwxO7P+JjNo+PvQ5ep2a2HQWxHACM5neMPh+tB8HIfuoDKADZe
AZcE8k4Iah8qu+H0CfiDswy4IPBbLQ9Vnwh+xxK8zkTf3tzwd1zMtOHggYuB0AV2/sHWPjjLBBhk
0H5uRbpGHlpATdHhKPRplbikt5KhPuZink6K1U+891v/oqzlqDkUTilIp77LLkpm2hDVMi6jZLeK
hO+0IiM2htRq1gR5PqlrBq9r+8gZy3zcDXsouqOG4r2izSvXhOKNx1PWHXERghDP1N0SUT87KCuW
U9tQfr0MxmA456DZWhgDhtr82I/BeuxAww0eDpWJY1TE8sa4ZyAqa9WyzfOsBKfQZh5L+HDWNZbh
iLQaPN764ZGKJVbA60KVBdSvZF6DcsB3EjUW36LCh9ILqPsCW1uqP5Fj3zbu6Ne+ZxYZySDeMLho
PAWc214GonCvmQrlfWFyF9jv5KfIysoD3XW1hHQLHiwYc245YToObs+zbG1UQMgqk5PF/2PvzJor
tfEo/omYYge9Anf1dr0vL1RvBgECCYGE+PRzcNJp+8ZxV3deM1WTqZqOWwYt/JffOdIjV2fSGaPt
NI1yU7CQbEXBi5UbgSjS3COZpNYFGwqxqlg37jga6KvIjkr0WOdvxsz46wWrdhiyu6Q9Mc8TIYBQ
qYq+gKMLWBLWzVUbcE2u8EVpZvB1rTgrZ5AWt5iOCuXVooz3Eac07lIaS0+uNHVI2joUaPm28L1u
KziP0M0u1GTd/XdS/NHKQeXin0+K+09vrsb8cVIse/7VSYHqEHY8sV9aNd8DEXBKBCLNMMK6XHIc
7NDvkchL4xbBCOQhDv6VBWH6EYnYCBtg5ooGDu57gjbkV44JsmQwbyIRD/rgRUmCXAoX0bx0dl8V
R7oIfUWnMfEF9ftu1QRxtWO5bx/8UfhJy4ceFEaYJ26Vm50Zqq8G1RMAoMFhDIc+UzpmiKsD/7Jv
5VVt52gNSN6uVQz0IZ/xCSaCJCH2TVq0YsrAW8ukE3W0hQ2TnVZtFd6UuSoSGcxmSiok7m7i+uWc
+B2jiT1XqZnxj0I0Zxat+mvTBfNX9J6aTHMxbecy9NIgACJlx5wkNADgQwde7ePebID10QRHzh2R
gcnAmlJ0faOvukPFXpQzAJwZmI3FABIrwA61a060qtdcx3eyM7dj0LZp41jownZ1AMw7PKGKNHvm
N3bq2Gw7yPi8ohwNi9z5Kou63AVsPHOjiWa96bYoopdAQEYOrLo6eKjJJ3OJ9ggf4k9RSwHCos/R
8N4Gpc4B3pYNP9N+pdHODYezeUD0VMVetQIgTHe5mPwru3fDjEvbXTkBW4hOP76pWFmccwtQqafa
fW6LIfGaAn+540VJ6Eo3BZIIPgaY58Xssmfl6m0oBZhErssEoqXnCQxkMpH+YUKklXBbTqnXtdEq
HqLxUFHrm5MHKyobEDIypqnglpWBNg1Sry3xkhW7H6qWrVxg8lvexCgadmVtp0EZxClqlnw/68HO
rLnb12Xcr+2aj5mvbJ6YgT+prn0wOoLQhzZo3MjQByoQAKpx/MdBTOdmrB1z4eARLJEMnTAbUpH4
i+LKufa1VGU6aNvwfVh2YrhqK6uonsKXhjwWqn1wLGGP12h/o5z0QiKRFyhpwZPoC6nEFmgJDBCA
MnBMSkl+2XvOvKuhpwDuIsN6KxUI4g1hQtXJ9MJEDQse5S+gVLkgU+ECT5Fq9DMtjZXZC1olpEzm
BbZyX7ArXXtbe0Gx9AJloUzoH0w/B9v8hdnqX/itgMVuk7QvXBdKJUxeoBIL3itXQrKHuPTjekr+
O7VfTm0P5cV/PrX/vObj7xnk8mPfT22031FGwv1bvotLE2H2+CO+wy0iAEGRVLr+C4uD0Ov7wb30
2F80vq6DsvYb5Z4PST5c05eAbHHbAMLzCwf3Ukv+cWwHyy2d8GmHrscN/RBx3vLnr45tKYWSMogZ
9AR3c/VYAVrDkfDH8vjHvpazJMOvhonRaIiQZ0Q+YINFPBQeBZG1w3jA/LG69IYOWMmoyz2I+eui
JtF4aQf5kMliEtuet/aCrxXB5dz3BFKDGOGNBUp8FVduuWO2Gq7ieTztPFHViVJ+CwEB7lrac26l
pSTVSWj1obVDp+6ubuoaxCHl63ISN9QuCUmHahjZpqvrduOMgH3wxQr6FWd1O12PcwlAfQ6gvyjy
BQ+Y8FssvUrRA9M3dVKQ5q4FsxgU+RfftDvlSERd1sYNHoUxpwIoZszKi1aZsyAE7gKKxwZHw4iV
1LZ5CLy+38d1802x6tHrpHvqzMy+x4FwX1t5/STVNUXJCS0FN20h/6H2SJPcy7dGlauW5dlgNc9l
JcYUKr11DwxV9fw8mvR9N85PVfwczx4O7WE4jwYU7No8Pjhd9y3g9vnErB14nTtqOddW7Z3F07zI
Ai54a/aiCk4H3BI7N5DFcDFsejffq8Dbgan6Jmb3sgzkCjqb1A+iC4JyWK15BgAaOHvl+hlF2Qql
SYL2hAOAdgTS6rGeJDPUL6lrVeiT9/OU2nH8PDsdSZV0TNbozj3Ynfjqaw2acbDyHZX2GaLoKivR
H0fRge0tYTGx6iZnNyk3K3UjVtPgqnUrySWprKTgc4/63rzvS4OkAgvHyvNwndtc3Y12DrWN05+H
ajiLJBClsfIOVtl7K9ifO2MaVl2+k71TrpCI3ALmRmuqTkNMVRgMK6W7k3y4gbjuotfToSuigwj7
O2L3a6koqpL1HVYY4CuFjGBIfddCZWBe12W0R4PtQSsnqbXeNspbA8BOFKQKds+3YGD3LUHCHue/
3ALHDiMeDAlhSIktjd7e2408krnAwi/YZTlscvJAxNptn14dboc/ToXXKt93NvGbIZbWy6uzgree
oiy3mss6WDv2l9y592c//Y0xQMY7HryOI3c5SF+PAda4ESLk7JKY8wKF5QkSqjn4l4Mgxn49CFAV
WRRRyy5HaDVMtCL4IObeTxpR774tEJNI7uG1gXP+7SChP3mWCEN26ZcQyBQ7RfE/PPv117VwXR5E
3O4Cd70dxGeAnlDxZpeRSttCJwS9Qs1/cnwv7/zHN+Ll8EZZ4scgS7/y1bxHtFIRR6J6yeNtRG4G
fx0156O3e3mU/2pEy6R8GEP8dXPZj7Rv+Zm/Agi4K6HUCYclmAZD1YQo4Xvmt6B9kJPYqCLAIxqu
ED8CCHhLY+0tNvAoX4Pgw6R+z/wQdZClrYXPNH4y/rXeFqpBb5bH0ttyYCTj4hpKmAmAKzha6HU7
t6KUnBxy39F7KOpZl+Rjsw0JMinfUhCCVUaMnxS1opOBxs7n0a3tyy4n6qrufTeNlbhzabmDQAwF
EiRFhVe1ie86z/082lkUtfVWybDfDI11MQZTuQqshqJz4z8oM7lJw7yvtaxPp1YjR3QDFHC8w6gV
zURurqrE8fFRK4Cyt0GVvmhlSNCSDZv8Nm1DSVZERW4CIc2dq/B5J/b4rKFsXTtDZ53qhltLWau8
cInaIaO9lZ3zPLLuEd4KDZSeFTTKfdtlrmFXTAe73IGngJS9zHrt32pbmsz1+zCNW2jgSmldCKtr
M6v0vkkIwBKoU/HZ9eRnJ0QGOAkNVQ5O4SxndA0JDt86odgytOK2JpcPeYFky2qCm0jbE2rg/tnU
otNM53VTxGQ7cgnlm8Xu495ZI13ayVnt+ZDb+D/9rZiHR+GWX0s1nVtRGUBPI/iQFuGjVm0FyWDe
6dSCJPjT6De9uu8EvoagNjOAil+1rdcUStQMKmkrySuvy8LeeypUP2Y1dKLJqAI7AeNxYkHClrpS
ntUCD4pkxc7yGd/T2IGPAbKflDFIGKgrz8JAXXeq5Ink3aawuw0j7Z228HqneJ2jKA39SJ1I44aJ
ZB3EzBhKupldRJApTpexKSaIlYerELld5rfBXur8TBqDTLjtKbqII8RGL3+DmhLZ1G2S5+P1IhLN
I3yWIU9otqLWD1HrX8UKqsV5br72pdobLs9mVaL0hiSXdiqzZ30ZxtSDHkiqVLfQ4nUy3FHd1knX
o3YfhQrzrMbVWLkXuqpXIhQKHGZxL8n4gLLljbT9vWbB3hV+kRpvajLThlBaBSes1Vu81UwUEC3X
npeNoD0TGoY3QEm/uuHwyYktxFJsTnLK3JUMG8Q6Dfvi0aHqL4NYNhmW8Znl2jvhN4iLW9fLFLoX
VqTapHWrC9pWN8ACq3QQLkoQg6BpgzSftW6LNgt5tCX6K8pCzl3M/bcyiAqUJ6citaf6yp8gB7Ec
yBF7aCi7uoewq42gH41MMlgsSozbyTRqJwvynjFPxgYirHrIqyRv9VdS9e3pUIYa2xBBYuPzPlUt
pNMDAvqkcnuWEFo1WeS2zcUYIhGPtQGd2jqZsPFVIyXaGtbQdJuwbc2FKXSXjkR/iqkJUlH7NLVc
/rmUc4mjpxOZnrChsR54Eo4RQ6XExbedqrSsBi/JY+vMwWZfg/83iTPnYETddsPoaG14nie0Bovv
GDeAPm2RqzAagz1tKAQ38y4ggDmnobcSu7RVMnX0qSC+2dmy+9Rbaocr1NiXXvo3dsPyVe+Dxred
udnDDGQdRlbw0GCznJI6v6zn3NoaEh16FzUYJn0ojONHVJmHk7qVztrRpj/HsgMAXHbNupDaRm3I
P4HimWQ2JP8r1H/GZAqcPWVRAUEAitq2gt2C01jfUMra6rr/qgSZweCjfgu5xNloWYjY6xEC/UHu
4iXtaZ0q7XrvIWDz2Sxq5CYGIUoUDmk3uWQToCWXGtv5HAAc1XE5rZpKKPAB0ZAYL/riM/d6iIND
0EOP38aIwQ2YRV00JXwIpJ/MUY+3ZIZtvGj3ggJlHCrFJ79kGzJ5KYpOd4UpzqtotpetcCoqjyZj
NO/oqK3MiPamnVqz7jqVem6P6ko3NZtOqkessu0YRWdSluuqoWE6tG6c+qPlpJ70PpPCAZ/Khr0f
dU0SxWzEPDRe6po530EBr7ICGQFUgX6/sfKoSJpWFLteOLctWmFZiRZBIvUUJMNEv0LOt/dFBY8F
l+0jo8RK1JSuaqljHJ9+eYW/IMK/Tj9VBf0iPSz9ue0+D3N0A0W4hgiD9xBA9vuZOEk+xMiktJ3G
JnrSZtyMXn/aeC7EYJVLzqVkmoIKVu0ZzA/SKQjJWcPJrreb4DyY+xMaVV9cZ2qSrvZUJhSB+BCa
bIjLBkjn4hKab+w/S7k3cO6dUt6ZdQkbG8xE8dDQ5l5Uoj7hVblXUyFT1U8o0zHrvJqiadPji5GX
RiSQWYPVzd2Nys8bo3FeBWc4Sc9ZAAMKr+KQduX5Plq6m7HVzPuaDg+UW5jz+DC60kOvkgSpS70q
QU3zM0ipOXEjZQONLlYFvsgbGgUiGa3ayvqQXOQdey617LZAoXVKfCrBbQ3n3WS5Gz02d1KU2wYS
Orw0yZOmt59Y3Mwr06I9o/piTqIepzEcDmHc4KPKbBXXtjDfanjYALM/c7ErU9jd4IgWRCa9g384
rDyreF3sSKNPB7gkrPPOy1Binj/9F9O+1MVcIHz/HNP+uJXr76Wx5SdfRbbwewaa5bgvXUwEvX9F
tuhiuqBGYXmD+z/d5RqjH6UxFKvgkoP6F0RpUfgqsoUHbYCL5xCJouD2yz2NhRp7lfiAroDYDVdQ
QiqylOfQCH2b+DhtqcraMuEB/+XmTPpdfGO/eDI0L/4MDE4NSLfg2VC/+DfkL14OHAqPjDMqyKoz
Ir9Gs7DU0ENi35shRARbCebsoqiB0wpEpgfApk5CPSm+VSxSBx5oJlNoq+YzZWu9yTvUr5NIU50j
YjGoyPczByBcwI9kYSCsGDSEARbByHg3OWOSFyzxYnoSA58wrEc4vRAVDGjFLByVEcAWFNBF4TsZ
bFROCsAYM6CM3KttBLFBk5qF2Ji9alcuDEf0QnMA6+AL39EtpIffgoRigD9GQCDjQoPwYt7kkpWJ
XkiREMjIsLAjqDc5ab3wJPkY9BnCKxiutGIVQz5gWmIjnJrWZhygVGVNs3Yb/zQM7M+BcA7WwK6R
UEDbHslTX85zFsPGBKGNf9J5XZS2vrmcy5ZupMTTKTp12xyIXRLZ8ks/FJt4Cq+NmE4sq3eyiNKz
rsa02K4V4u9Q+ABac6rCkmfasG7j9gA4JZMjMnXnpnfmzw5S3myCTmPLHZ3FL3YbXl6QjC8eHP8d
E38cE4AZ/vmYSCFRNO+cEPihv04I739oXLqoUiOP/aN/+dcJgStkUe6CIRZEq6iDIy39fkIAzIKG
1UPPEw6of/RKv+e+Cxyx2OQtxaWlrP7nHbE/9Bkf2d69LfEsxXMP8Cj+4zk4H3AWvT0fVEFt5L4R
OfTRriZZTJ/y8GeigMW289UhtFRf8CS4IgrFMFjrIXV9O0jjcdgkjLV9yGfx3Ef5WTzeFLWWiZzt
dVxV1yIaH8BoOIjtpwxWERszqpPamWFjAolm4hUo26gSgUGhyJzGs39pj9xPLC3XQVx8lsqKVoMq
0Z5cJDsEGVM6WVOXKBv7bSLNVl+NlkzJNK9YDNw9EmdNP2/NIK9EOKnMJROEui3y/1yO69owg9+E
DdumC3GWmEFkYWPuTTPG6eDzLz1q3lYZ8lTo4MRE+lBUY7Oae3mhBTKK2lXd4tjAEl5jVD13QdJV
0W5g1h6V4VvGwylV1XhoZ/Mw+qO7Kiagl+0A7Mw/VZbo0xrAW0pnyVJ3cHBeiuCk7gy0SpPLU8Po
CZNCrHHph4HcPcLv6LAqhdcCgldfXcZudatL2sNwDNiZrq8kzxEHFwI94DbcmRYvye9g+cJ8WJMR
B69raWBm0gR7e/JPqOhphmbqVwGSVzTOfSh7a2eP3onbKsR4FHYXJDgNOxjvQQ+pMyThYL9EEO7b
3rqGYA1RStm0aChLugrd/LwqxcYW1j7KHZCqc5vMrricm6mGo0VCePwwWurarmk2jPwxqkPMZAwC
r2m8/ejBugocsZvWEo+kp/DKbixIsYKnzgLZ60OGVo/+1itBhvhw0kkAwFAIhdEHmhrwuT4Lk7pp
GmR6zuccTQ1SW5uqcWRC6XTW+KReS9LO981gFfAFgRNX6OwbWm2YKhHwjiPcM7izQw30pPLmAxqo
PPPnaheU7Tnx8o3t9SYp0EwonGJnGb5RvA1SvxR7IeI93IKuTc7jNTwGMtfp9bZHUWZVxuVpZZtx
R4qCJHXXTVd20dwC+0ksyR5DzVDOaVFOQaP3a90I+H+1tkzsohencWUeaQm/hq7kwxpkS1q3VYnE
SWQybvvdbNwR6HCNejkL17DVFKeTrS6klz/0Vb0loa5XfRXcTJ7zpQnGPcKU60KNaBtos51HfB1b
BoI5kAz5YwjnMq/X+1rm3QpNOC8VQT8lw+j6J15c8cSvnueAdZ/dBl9Gg3LBltXjc6xDFSfhUNdP
PrxE0qiLUW9gxt7qCnSwb0/tNvZh88bR3MsM+uCsITtS5Z9eWCGkaqZZd+gGwJWiBWNQS2sdG0oT
CR+MRLnzae5NSDC9c1QpbsOJl8ihqNA7FvZGJXpwTgvH6Q9WRG8GNqFgQODaAQCSneDAPakCblIV
DBet6+6moryCpGkPtvS6NFax6juU8jTAw0bo0yqKz/3BzZCmXuhp2gFcW7DweicjdJ+8eVPQwUqC
sKngJiUPyiNVYneuh/mgHmL8Sm0NLQFwuOPB78wOPToNSTwqB85Q31Pf2XcM2NoFWk5JWfTuZ6sK
q4uoinmR9iiYtInoXXcDs7KziLRbKvlDQNRpwe1Vq+PLqnWDzeSQzwLuTn3O1KYZ4HTns+6pqcvb
pvfvh8aAMIW5C59974qVPqxRpnxez9DZbgqHqm1Hu/6RW/lDWYs0qM3nwg3wy0ApiBydG7EhGqrO
Cgt1jipsQb2Fyc22wOckEVG+9/D0qFqWIZxCGrWGo8muidvLaIDl4IBKCcB9x6CbJ1ZtiRQ0Jt8A
TXzWqNog0xtXodTkrFURMuygQCUtpsNmaPUzr5sHOoDwKCqTQLeJ5D8CJMrpldXEz4xWWxkNdKd9
+txY0e0SUnEyrTv4/1FerCcyXzoeds44ld/GPs5QHLgshjHchhatz2iBdoAinnlSrpN0c36iYPdX
ispfmVknlRi2fRzcFsK3AQHzb6Fubn09nYxl41xadDqtBwcIhwOPBpQ+dvlkdoWkm4YWl6CMio1T
F80KNgYTrBi8SiVljEIo6H1kuPBaadoQVafW3Xe1DVO3MF+xwr/rYLRAJrNWKKlF0bc4J5CqygdG
ulUgOdiWeQTTy2AcFPopcsmNH+KALYW34Zw91fawt/CFnblBQZVNaESih2Y6V6bcK5Aew1tnkmvb
iKt5Gu5nr+0Saw6fRddf9pytUXk9OBRChcI/GYW9sct47RpgeaU+aBHuu3JeYRvt595Dpybc+AXW
fO/PcJOrHwx00Ckakyg0edMX3anb0kwoBdDh69ABZ5qgaeA5fAc9dzdItfWt8KCrAP3iah3bSwF5
hFeRTxFIN259XsbOSa3by0C59wCY8ZWd124eoxZrXVLHSnMR4GNmuS6Mdd2tjVpA3hsXn0a1gvlm
5gXdcxsBBPSDvlqNEnm/6lBLI0U8Aags9y4+/6rv4BEkUejqghXY4i2qc5uWYrlyNcMQwsbulWkt
DOx4niPGr3lQUdDe1Eq5n/fZhAZtSFAjQ06yDRdvoNyPZzh5tDhfUf3DKdQVsLOxd5PbF3JroxRJ
1S93tlwPl1bgP7jqDYanR60LgbqSY1fCO7T6PhQoXRKAVN8GWvxknAVveNtBezvOUVezjbU9dSP3
Dk1xFbm3Mb94FTfjS7P4Mb/uzL779weQG3gOfF3c4xjRNZDHRJ72kGb5sDP6Qn+md3sb6f4RhMJB
4q8Bll/gVQsQdaAuaM3oHZzoKgJQJ4cTzTcfP8TPxjiaDMcvJDI84x3gNwggcNzUrAOZ0K//3TBH
cxFrMjaCKO8wEHBY9i23U9vf/s4YmAiyiDPC8Chmn0SP7S7RhVKFD5x2546XEX/+eIz35/zHGEdT
gtwEDl8GY5RQG7D4tO3oT1bt+xPyY4SjCYml4TVKEhjBuefxjSyfuun03z3E0WTQubThuIAhxHyj
w6+D9Vtr6scjHGVoPe8tEskAj4CjMXDO3fjZxF8/fobldzze3LjAF3B87PqxHR21x/E5nPDR7fwD
MfezH2FN7fjw81f13my8HuaoGDXmRWcLF8OExQOJ1lX8AK/Mj59keRsfPMmxQ4pfKRinKgxB5YHS
IQnpbdg9tHov5eHjkd59GMdGcBwtgve/+cV3Uw0Dtt4/qO7RgVUhySzxk/3xsyGOpp7OrIgVFf4h
Vp+6GDZyfAdPhfTj5/j7JlwuY4BFDgyGIZI4/oA0InKqjjj+wSmaTMBcF1nixyP8/TGWEeDyCNMu
VENfyLpXJ29tof8cRzSAqdNTCx5XRpt+jP/lIEfbkGk1Dz3uKz6oGLBvuEMkmtr26jeeJFhgc4Rw
4ACPDsU674ERT21w8MqTeNzSYRc6t/9uiKMzcQxGzmXUBAe7v4pBBoafS7H+d0Ms8/VqPoQ/tLQI
u+DQy5tQ77v8dhTXHw/x9wMFr+jVizqaDd/i0L+OGMIW66HW2STPYy1gPHPz8TjvLq1X4xztkJAi
ysXFAsFhtr9U+b3NtzR6/HiIdx8FyAW844B/wkzq7duaGqkqV3LMeXQrzaMX3njRyah/Fl+99ySL
Lz3aCATLNDx6EuZ3wo2ZHRyglCm9z+GIVuXvbMTXYxwd827tC6cFBnPopykpmNnCfxw54+/sktfD
HB3zhsLeEpWS4ND1qF+Qm749D8jq41k5amz8Gc69inuP9onSfaG4zbxDXW/ZHYr89YrdwojRPOpg
BXekOUX14uMx3zkpcd678DWBHwigpaOVUDvwn1ow0UMco6rXFqniv74z34xwtG2CISpjt43DA0yS
U4esY+i7KP/lyA5NoVePcbTSSNPD3nvyw0OLhJM/zeLU/fU4OHQcNP6XOx0AZftHCy1saCTCjkYH
oPopMvg5Rxs5/o3neD3I0TKrBmjlVTiHB1h98/CyiDayuvx4xt/ZlHgO3FmD92Uvxmtv9z7kdZD2
tWF4YPS6JNdOff6br+rHEEfrmOilnIabGLCOr0FjpR3Z/Nbhggq/j+Nl4dfxEX77HGVe+U2jgQCr
cNuGFy0519FPqvzLqnkbeC3FP5ho2lDTAIU+mo05nk2ZCw4gpEJVoYcpMy6giD7nZKfF5uNZeedE
fj3Ui47r1ffLLwarg5V4dGikA+xgT6zzOjgb6s8fD/Pe5L96ohdo8NUwlkMmFcxddOCQRrmUZ1Zw
Ezi/seNfD+K+nRkEZBDQeHiWXNzK8hNhsG1LP36O944tKGnRfllEtqCr3w5Rt7QVDqnjg1Rk43nV
fhTzb2zFiOBWFwSRrucca/iDGX7UXSzig9Wdhc25UDdx8AeH8I8CjHdn49UQRy9qhjQhDzmGsMs+
AY+UOHrV6J+4l/1skKN9giQIqKfdxweXbpna2eKi0T/ZJ+8NAZEjQYcfHCyJjva7rx3Wd/CwOgSQ
jfVVCIkaLKTbn8z5z0ZZ/vz12g3nxokDjOKGD8F4AsdVPn759WWF8x3YNnIHHClHnxE7KIa+LEh8
qJZuy2DDuiH7eIT39jkk5XhNPiznsX6PHsKXdVhpQ4AXrKrh0sGFJDS8bfxfTuQW1dCPYY4+Vvhr
y4lCA3kIyk2df7OaE3u6+vhJ3jsccY07Prs+3hcS7LdPIueCTTbg9wMa/ajoBmmh79vywRgIMf40
Q/mljfJ6rKPHodSpwEa55BBbp31xOlmn1viTWt27E/PqcY7OejVXRWzhpR4sMBfxHevPFARXrPud
+f8xzIsn16tFzHzwUxHAmoOo9pW88emdsZ5g9Zl8PDnv7hVcIroQMsjpjmUnRSUbrkB8HQTdG71Z
ZIv+T86Vv9mH2W4IY7fFjBbX4AVoh79dAE5oRqZLtNnjKI0/5WqHi1ISOPqIC+j05U9O43emx8VX
eFloYJMw6NvBcE8Tw2VBeKCRfynmJsnLA4OMmNSbj1/cMs1Hn/w34xwdMsAbcYHQjHGipkrFtK9K
3JTEvLQOnwzQ2Xk8E8Mf3n//KSyWSfpnzOT0U/3t75TJ8jPfKRO4h0E2D0dE6CWgYl+M/f6iTBz8
EdQTsACz4VG8FPe+Uybe/3CZTohLD3GEw+THwU+9pkzgaQxy7DcuV3yxx/uxVBYHDgj3F4shHOUE
v83RUmlsMZhW1+Uh8qZhYA/zZJR7FVtcdWcOsOCBdcCrR+6YiKeNJSsg4vU45Luyx/1dl55dwVkU
mjs6qKue484Nmg+QNSQBmfijR5tOXtOctjhPTew9BqDV0miGUSXEd0OEAxCGNeFa8BCBEMDaoDoh
E3LhMskbQtccNNt8Edq1rh+k0dBnDJBvoTvnqCpKJQmH02JU1E/GLpTdE1rErrzsfZJbJ2YaRuys
bibufS1JTss/Dqf/FryPI/CfF/x1+a1nn95RFS0/9n3Nu7hs8E+28sjWyvmfDZ4J8jviw6wO6qC/
Vjw8wZdFuBRYcN6/0RRBrxzjVgwbXt5//tEviJJRiXhzOi7kpY8Ib9lwC/5E7KPvcM6sbrAizxzM
1O9wa80l8JUog/O0Dexp+GIPstnwyH+SM72wuVVkBM3sLIj6s9Yxn+xOr3Pd7/wYZDAdELwb6Cj8
voFMlPKVKXBfDAG/UQ0jrrdTrM5GPu3GljgZrCfOuqZts9gqt3qw6I6BS0tEiFvHioXu8Xic1r4P
DwIGswjpPo8S5ZJcjNfEKp4gZRrQ5wch3jmQj7Rq6+KaHdxpA8Ix7/Zho65FUXgJfNdP6in/SsD1
4P646ZOq9covuzPtWAcfLNLKVwCsCx+PZoj8bDyxMARTNmo4U4Ta2Whw1yt7Alxt03wblvDU5Fyl
nZkuR4Yq7ljGN3ETnvozQn5tkzswDFsbKBSNxwC/DD/NS6hlISrSiTHORY8/hsvCzVTgOrkWV52x
CSLikUGhs9gDugXEL53r7+2cXqCipzI8zyNe/Z3oB1ymWIX4P6C4wi1ELW5JK57cEk1eBjdMz4FC
SfF5B2zlkuI6VahEalxFBBGugeA3cwXfF4BqHBS/E9sOryDkWTEPd5mwCVxWjusXhOkeRdHDNtum
FLfxwMZrwu9EqQspCCZGFWGYdsp5rvWgtg4fr6sGbw+Xk8gQcW8scC6qIJ/SyatYYuNmOmJIkTqx
fzpbQ1rT5oYF/BRX7OzqHEyVKGFVGxqsvM7+ZGwlNzGjF6CHRJZb0cHFZULJaGx4ttfVV13nXlpE
oV6VDnssXfT2g8bJT3FPhMqqrv1E/8/emSzXbaRb913+ORxAop8COB17UqQocoKgKBF9j0T39P/K
o2tburZvhOceVEVF2RSpQyTya/ZeW6MrnfPNjFR+HS6cl0xBxrvs1iqTZy3z5lt74THoZy2PZhz0
IUlqt1wtMU4n44jG0VRKe3OHPvWlmuY5XBdgKG7ORxAb842oXSJqDeTFOnrgoHasE2wyJ8Q9nR+M
zLiqE35tpWgD2cdQg+L1mPEQRt266NHkll+QMbYB3MnbvMKjMRfuEBqI/Px4HiJzqy+mLHuEuKGD
VWEmac1ttTMN82PMMamvPUFwPK99MOrfNCcZQz3Rnmq8GrA54veuqU7ECl6UpPGFBb6Yw5JaQ+S3
JsRxe3ufTWeIOpuBsOMNnzHYy8scjnngTPjLirqIQ21ah0M+j06oGxoOt2WEUuf1cicGsw9nHGvF
gh3KziVAtGoIxER8XJeI+NklIgCApc6RCm1QMFUwS3N8dZKJHqLciubkNP0pyYyvugoITFRUoOUg
gu48An0d8Wwj/kvAPBcgX4CpICpMQApcdevA0wEsICj5feJw51WkIgpHFVbYSxVbqAIMM5IMZxIN
52zTCWsyy4OGkumiVcGHzaZ8goDz+rX9DphAhgYpidTsMLF0++SrAMWGJ0ZprvB29eb3SpIpUGnl
S03uIlY1jfAB5GQumYxFubytKT+AY+T7idTGbiXzqyXHUVjtHMxbfSDQk4hHWR/WyXzteE5DSHOn
VCueHDlOt14xw37izA7NRWVut7oKkBSliWfDZFjAzGjfMVfdxtQmwBiy5oxMkhzKTAVS6hmvsiF/
TWbiKpH2EeBqdqit+OmMbvxaxCnhlok6zpb+0mT2Y0ZrjfJp+7LqPJOrCsccjfz7uJJhbJmxF/Tn
CE2a8IDEmcd8ER+dr89hZkoUPSRvGn2ZhJiFTiOZnAT65QjO2+vUNR4nUjsBx3jBuvmXiCLqMCXZ
c+qnKlxV2Oc0u597Ff+pVfG3jjzQ0dZgeSvRWv5RxOMns/cfM/JDrTJ+88kTpWr83nfrt4Wc0W3m
oZNLtJE9OlO+JAa6+Tt3HI5Aii65IXZsgiAscj5JLQWaSj3Fk6kjKNENzHXZcTX3YtG/DCSdou9/
WPWrlgBUTwNgVIWdRn7a2j/Mct633hJ4yOrHctiVfH/gRRbinzoajPrSbFcCBeRwmcV6GQ5ksZZL
/ZiTzRo3KbYqbd9StJKD0z5uPXIub1ueZEpcwFJ4R18lv1oOAagqCxZq21GodFj8OV0wEBiri/lu
RFnoqCRZW2XKmjw3FJf9HcsctPMEzyIzva9UEq1QmbSO0jwai/PeEVcrcKEGve4+dQTZgre9WVWy
LQ/nA8kKJMgtDo5N4m9nYnBXae0gGr0bpt6P15o/dv+hTf+fcdbVK37wP9d/F2/vBBn/Tf2nvuyP
+k/8BvDYMynmzkgx5PN/9Dy4yhESoWpnOfiDLfh7z4OyXnEZVKw0mqlfeGKCjCj2Oj4dOnoL/Dn/
Bkvj/9qGq56HOtLn+5hCGDgA/lcBCJ2yndZyk3d952Xxl2ExzfFL6+YQOVxfIxx001IikhiuHRz8
i2U4l0M+feoN9gHHZdJ2szCI5jWaYrCIbU1qY9vpMFmPMe5s5OtoBe3RXBH/JoTellm3gCzxE27s
dh2OYDSTXYbk7Li4cD6Whv9vGoE96XNcZIepSdrdMjWwmKBNRXYu4qOtIfDziV/6plfra+FrgtPv
a98cTHA7APbFQdDhdy5nC4Zad8xSO46M2ZXHeWvtSCs1eE71+riNcjjOybRhcWzdAGxYvttkDjmt
nIpdWU28KuLOey3ge+5H9JxuBFSZFPs2WY8eyX3Udnp5XHjHDymmXahsaBSH5GsyWWJhITYftVgx
B2WZgqSKjTtbX782duNh/za+MlAtw37A6Spx2RHBWn+4egmZx6A9bHLk4t6Ci9KQ/AYWiNSh3ixt
iBHSkYS/qRh6rbFspIF1tQ4vbiW5NWurjHpdo6j1HKG9aO6A73AkpTCqycxaDxr+1PTHlO2/1k/B
hP/56Id90xR/HXaoL/r94J9R6QhKQAVy+j21mfnj4Bu/MWXF0s9o+i+8UZxwYEqFQUaczRziz2EH
cxAm8SAq1Mjs3Ev+i9bv70JNdUftQlzlvmPI/+v8jdRignVtp7nrMZAy9xMiD7HBzbuK1F/9MCZm
Wh+0Df8dcW5GaeyaMqVt2wqtPWWLrKy7zurNbUeaMyVD1YSJ3/v4Yro+DnLpwF1fra0kKUSRtCtd
UbVrUxG2Xd0v8q9bT95cmLAeR3+sgNzO/AVwa27v3MWwcmKZavzo4AJHApdLf+hw/NuyjKN49vr7
Mq+LNZCmjOXONpc0ylajtQ85UTvdvs9b4OhxUn5O3UZzqSMU1rRbJvzfZWrO3yTIZoBCftF1RxfX
iRtNreeHhrPobVSDrnNpLdssPiRzu62vcVZMy44AzlWcAD5jJ9ymZEey1Euq4e8px9m54yu3/6aI
Py5VwWLhn0/WoX+rx785WXzRHycLXC/EIrWioClTYLY/TpY6dBjOEMKQUsAsj+Hj71cqocA+cBdO
EPpa6kluut/HiCY+Nmb01MqerSLY7H9zpZrno/PLHNHkwnct1BeC0aTp81L4ea/V09GTs6WVd0Of
owCBfe2R6Vel+koMqNkvjXbYAF2E9jYBuAcDiRFpzMz1Q7rmd0lz2Rzl6nX+hWV93aANWKfmzJEV
efEggM2wsy4+7GW2fDgpPX5v/Gc4PqryJHuSzzwr383knGKVsCM7ye+q0elDYgVp98EXhlkzXM6b
7dB/rdipZjr3dZBYyev8G04OSR8CayWzSRYsUieif1IQDv+b32Ties3p/UBmuKjU6+5osDTYFVPz
jgOhDSU0zhgQ5Upsy7rCOZnXJpxX52ke4SFUGNc9/EHhKkr4trjRQkNONSxtmYWtmMvQ8/oplIl/
Z7S0WR7T4NAqxnY3r94crSlzkrXNv2FkpyGdnasZaO5Vxs9TyOVpTUqseukCk9x+IALhizW2DQwz
7WPbvGt3rr7Hbc3SBPh2ls4fTuJExFved0Ox1/OcUQvjWpXUHIPX6Ee6hbi5a4sWcoPHyKHT8Vd1
2dFz0qPUS2YnihfMjMUheT0RfF4DUZmbBYPSn+o3K8YXRgDUjxFMMhJuPuBtVpr9o7XIcK5SP0j4
tnPuf1NAFb1LXvWZuYcsjVtrXT/W0aXfEZQZnXJRqVZvyJu7AcZM2Fn5nlLug5s929VJ7ocx3UZQ
TeIZ5JZOqm0y7pxpzg9Nhx8lbphbELZ3K0RHxw9Mphiz29hYVuQuGYkTsvdCYbPh7Yi0K6p6Rd+R
XRSCusn3aNwnLghpvRtb8zHWPflqWvVulBV02HkkC3qFAe+npCjb5Sme6k9pzYIdmBBs9mr4OtCJ
mJi0Irk0l83cHKQkNwp8jQ3hZNcwy6sb63JemCAO+hzN9vY26xmfEh8wH3oc29/ngt+AixHoNLa0
rZuD/yYzvTuyNO9XG+5MrMmTVXpbCNf+WM3VhWdvIPe7j7R37w0WgYBvtptubT/rBtCJuElEZJF2
rdKpHz0afWvzsIxp5vMwXa8xoKFRfDCYPyF2kzDyKyAQuISkjtGw2Bp+AYzQkoRG3qrJn0/9u2JA
z2VV+VE2g43HEY9DuYB6yYwsPdqFI3YF3Gejm9wj580Pm5ld5JCvT2vKh9+0uhPo2CubtMFBbjuv
s6l/rLoKo8u0iSeJvyQVwX4wcAgKG+KNU/Forrr5Kswi22eu8zo0WjD34x298H0sgZBIFfnr6OJZ
jDpUQRUHPJALbGl6IMgJtlNBYDBIfwhxjESJEnZUqHClkYZV15ceVkDGje7dBgBxIYc4OfvZ+5Mk
n9gip1h0BBaThtAzXuT3RJaxyJNvhVSY4D5D92BPJ8fkjYev/VZLSaojEXlW0cgUD6S8rvanuGns
MFYBylYxf+lUpHKnc6gsFbNskbeshpIWL8aEq9txIVF6Mx5cEpoHBmCdimx2W5XerP2Irx3rJp3x
htFwDR/kNWBhtCeCx1UJXYi9PQ/Age1zyEui8l6GafCvcmut9Bsah/qzfY6GwSRCD0OfXsPGLPaa
p+qaTNah7ucz79FWECKTTIV1R6ZkulyQCyO/nK+8/6pq1V/+891/fOvr7+vfXP581U+XP0IIViqQ
ToG0qW3g72U1lz/+bbUNxI6J65y64M/LHxM54G5A3Ejl+N9/Xv7KqU737WEs9yjT/x3m1VJ3+y93
v8USxYZC6yhYG/TrX+9+w4flnPBD3Bp9Wlnf0J9o6cSN42xM8P3eM3apArs3PyDviwK+O6O0CPj1
ugoQvCWdi/kHHt4oyoQXhNZj/40bAPIpDgus2pXufB9+1AtNmuL/agpQNKdaPYZETEBKCyiCYhaP
Vp/hHIV7kXDC1boxG40Xxy0YGKkatho+GcTEv6Q/1pSDWlkum9ZND+QZeWqVWQ3GeN+fd5yYxNl3
jj+Wn1DC2IS2m3PpxQyKWaELTW9O/x2C81RJpVb98yGIvg/vqRy/D39zDn7dpUOcNAmgQK+hhJ9/
ngPxY0SEks5wVa/Iw/7nOYAcqAvk0z8wD/yBfxbBNIICNSwrdpW/8y+aS3FWb/xyDNCK0t4qoaXj
CLrZX49BW7jdPHdGdVcsRdqFjMZ4BOVCC5WHYHmDVfVLLX6Vu9IcrWCkmTKh72p5Xq1BCqRNnPD7
0Hal5xZskEQBHppzaybObdqsOjbwcL4bDedGbjo3dZXq7/pzq6ef277s3AJqNIOTU3Pt11SA3X6u
09I7jc0cJQ0u6VDaA2uXzR41aQQGfCP5Ijp3P5fbRwkqLxnqQw86r1YMvcwYPzk+bAZF15vOnD1f
5gcf9F5twuDT67yOpN5dx4rP1xC1MU4Q+4qUfNmkJgE28+1XX3H9iPnSgrSC9ceqBNCw981GnxDV
4AB7LW1Og2fiXl/fpNadjLFzdnlGmtXIqhC4Fu2vkEcmCI9d01wsc3+dsgAoevtkF9NRXbGr1Z3q
zDnFthGiaBhICIMcNdZyrzXa575fi9CMh5smGYCzYj0z0+lLU5MbKwDv+8aUkMe7vplDc9cMFHxS
7Uqy6t1PyDZyZokzvmBFMYxfHKvoQ8+ShB2vQ3KyBuuhYqMQNBPFqqgbXmjpMam9DEyOvGHM+Nkt
/WujMm6XtH4Z5/ZqjOvPudt3Ef/l7TIYifvZi9+9elrCzs3CRtg32tB2bAznF1lsD0vHx+K4PUZX
Wvm1W7Aekb+7JtaT0Xh7rB2X67jdWxjy/Xy8y0sEWdXYf/XadtfhuQ1qC0rQYjYBvYUdujiywnh1
e2ze5mHcCmquuHlEXft13rJu723zt3quLj29+p5LAnqTAjOwa62fEX+JN/BcN7WAmlDU7a3RLKSr
zf1Trw8vMBIvl6l+wfNJIYnIJfDZY6Rdf1GYFb+mupyJ7OxhXVuEtWXepZiX7yDOT3HuwtPTihew
CluAY/i+zUs9mKFRsBOzqNxGOi2z354rwM3wFz4I5ox6DdezGddtoOfTrWXXO6uvbjyzkLArCzOy
0vhx86nyGBJ+ne16n+sUo5sQD0ID0St5+R/imTyIwZ8e09wlo8hKTxohjDe+KvlWgrphFlLMW6zJ
7B5ijz+kVej0Tc0xj/nXp08YOOx1F1MikbSwrQT4ZoB/B5fRaRU2maVFbEGsi8UUMXg/LUanF/Zu
u1iv5uJc+ehivH2r18Z9U3nGvocfsozBf1fL+WpRMZz/fLVcN33fzH+9V9RX/VFf+b+hCUEdj2r2
f1C3v9dXSFnQBbhUXaAeXBD7f94rNhQxm65HR0mC01vNQX+/V9TcxTLp1Q2QYWom829uFrhB/6u+
Yu7DnMZBUoNJEyjVrxfLymKA6LN4uCM+vRT7UheU99a51PeHyRs+zLR0dnFvXhM7joABpHm/7123
G0/lVHrGzTrFDDbASy7yxMZ4evZp9mi5M9jltpFMw64lZNF7Ym4JHwFxFqObMnGNoFkblyW4LKKc
AaLJLTVlYJqdFPSPPxffrG1cwFzOrR1sWVJ+WavRfk26NBv3BEF09rFqp+JxaJtkiRj3W3s+4/h+
dMaxhfmzggTN04T0ZhOu4r6zNr86+lk5TpFhbJ+aodHlSdgZWMAk5V2z90x4aBfZYC1wBzFoBLSf
7T0EA/x4iRULYzdsXvMAXUWHktO7BwYy9hyYxFkWbF0YlZBveU66tM5t0X8H7MdGEAXVPx+wq7f6
7ySQfM3vx4ucQ/oQSiNACDAEfp5dqpQKHmsd/JTwfj1eRFH46B+JMkRLgW7yl7INwSJuFkcHRn+m
9P2Lwg3e1y/nSznWHGoGVhY2fYz3l9klWX61aPJO3FlMxpvASJKuibKsDjdgteaxmd5Ly2na+6yq
bZtUhsaRl7gqpmhN3DKYVhvJRzymISTKPSu2iyLpIey46d6J9S+sui6E3zxbtfvhuegsZb7LSo4j
48dLFwBRUNrVveb5T3PlXJUZ6YmZO3yVeEFOkwM9d7Y+tZ7xXJTOaxOjwXG2+cbNNckERST7Ultk
kHv50Z7ka7NqT1BRilO3tXFgeMs1R/XDaljC6zGRCY0+PPl6uhvwGlKcWVPQljZg105m+zzDDDpb
pBok+TvbilfCkmrOoTNHo7r4LHUFVjNhYzG3YpJxPZbqovQn7zhyc8baVO8lrJxD5Uk40rb1UE8Z
wgBuXMJgv+rqCibm7GlUlzLKbhna3NN8sDt08beWusDR05hhxZ3OC+SDDczJNY1nxhgekzCu/6ZS
o0bR6ChAl/tSFQka1UKsxzAMqR+qVv8eU0/4mraXqsCQzFPAkMjpWNrtRUwV4khUflVNZcRQ5sWp
xOVAxRJb49PSizrKqWVQ2czHpNpu3K4z3+rc+JyqwmdatxZMYPudWdul123fmqLt9luXvJdUTYMq
n2zqKF8VVCyEmSd2kI82VW71K9DYVLPhabW7OJFfzTXh386mO5tazZHGvU3ttkz+fqOWs7xRVQ/b
m6Z4RCJJB3i1KyK+7WGd15fcGPhlLO5NT404WMRfLFSNmczSfZ2v3q5QJaWktpTUmCu1pqDm9Kg9
vTF5ppS8mZsiP01Up9IiG1KVq/GKpq+ZnQdn1ZMTc3uKWlis4WxPXzyA4uhbJlKAKIGhI76Lc1Gc
tu8WVfK86m+xKps7KM9Bo/tHi4raGc1nSz0FvS1vBlV0J4j5RCIl2HEG4qowBztOYeScHJLrhGsR
HTcdSU0+ZVT0K5V9xm+MicNjlc3HmOnwWS5YqGZAqLZAABq26BM8QG9MpJpT7NnN9LzldvYmpim0
zD7xkiDhl3sGked8j10CnLwFUt4V/UsCtBxEGU1KJi/qDGxxqe+NrXjmsI5Bm/JXGUGfj1MTtrC+
rRYBkmtHRey/urF41BQsfYOaXit8Orkix60DqO5DVm8VYt3vwBkLB05YB3+dcSyYcRbZQc8z2itI
eyn9W19h200FcF90UO6gtZ8mk1l8mnv7HgUCgb5HoJInE/y7rzjwFqh5RFErW3+zfBnk+iFS88kE
Ho8Km5zBqoQnr8jySWMAngU2byrqfOlUn+MJDj0yaX8nKDSB00GpP49MhSLXDyDs23Q6+MFDD9de
LF0WxfA/utnaow/3gxIGfgULv6dyCAro+IafZggfAeYvtX+bN1t/8BRM3+QUkkzI/HJL6kD4iR6a
sPdNwF3+1H0uxCbCVuH5JRq9e6mQ/TkplJdm4gEaFlbsX60JaTdoCOjoprIJRDrOF6MC6GqQdFMt
7/YxbN26pe8S0HYHhd1ldcQqRKF4ad6qUIfOW0LpLXLjewbHsFT4XgT1l5NBzc6CCrCxgvwyLIKq
kM1Nr+8Q6IsyrPx2x1jtPs/95SKVzWY9m1V1O+nl0l04Q3vR1zYxZLRf13Pl2fKe2dGnOYkl6CLy
h3yVvtI3hhalXfLYJ/W3ljycLJ0+9342kDXGYrhHyzd7xclsFZh65XXBpgzVLktnAMV2Ive6WTs7
z4gJUBQ1AUFbEvWtX0Zx/C13fbhl7rpCc6ujEfCYA/k7t4mbJuX2Ok/aCx+FaNF61yDMPoF6epiA
byCl4nU5a04ZJXN9J/gVVhxPdJ31NLw5xXZoPVDhlf5eMzCMhmVygxklNVNrS8DV6+v2o1iHZ3Px
32fWY8EkveZNF6t7LNt1e8sIp3Oh5a0n0nJ5RtPS2hm6BmyNYJdgg1F0DQasvraXhEDI5JaPF5Gw
A6bQN69qY75ddPtqmnSyMpcrIQ2417171an/kVgloULrbWcN19nSPaYNexfPPKJPPnmkhbRWA58q
92+HpN3LRbP0yJhsaNNJavSBHFlhoBquyh1sqPGDuU1/x++m/aAwKS+XdSgXflwiLMWayRw92Zqe
lH2mijIBUJsHUbNYSYgBnUqqDW9usm75p6lJ5X0MVTJsk24xEd+A1g0NSzOBxhdYbdxhWk6mMNLk
Une3Mjn+VGPd/Rgr/UxlOk+Tfp42UcZgGiVPyGTAy1CMWdjPC9eMVkb9sfl9y0rxE+TOA4PMx1MW
pHvzpryUbdB98W63XbevIjaPkf7wX7X7Y1L5f1a7USOT8u3v5pS/FrxIUAHQeMhNgMVSuv7RT1LW
MuIzldP/f6WqsJG3bDAFCsVK7Al/3u/tpEAFQ/HsC7pQ11P/6F/UuxCef6l3bZ3ht0rwdS2sx2r4
yabh50dnXPpyNNZS3HkcV8NdxlDEbK4XNMZHx2guZ5PM6UYvL1JdXsnOyHcdwWZjm8JbdGW7q/P8
gQsyDZpqNL7Wk3/M0UsfvcU6iky2X/oCHVyWSXkVl0ZxQTbbt1qWQzRtRsZyTim+kH6NSgPG8ioN
3K4pQ5zjX2ulFHOQjDH0FMSED+kxVnqycoOEiM54CR1GLIynxEev9GfAVam8UaQNktWiyJr1yLcG
dBdDuoh6OYu9dpazKWGbqTRu61ntpnRvGdECwaK0cCYUkSMEskfX5RrnXWlHaQMcsnTdOOqF1R2d
pc52laBytPHqrS5M2UXp7/iPAPi+vnpKm+colZ6l9HogbsxoVhq+Wan5PL+ssgPMoArCHd+rEhL2
4WwtR3HWAipVYF2xcKVPXkn8PMsGsaisIVVvmUZr43fyFcWAfTA7A3uDucSsoMdll8/FafLZe7Ko
vMktf93pDmID3UXf4JSUurqHk8RzWQBbBhrhrdX2upzvRW49d0n2rVjsi25r+nDAn47gv72Aifve
eBgcSINB/4xZJVcaAk3E93G5HYgRd3dNh9Ghn+Z9JeMNQbpbhPR2JTUXUWSaw6rfo/w1FoJU1HZ7
c9jMOxoJGHJxjq6Tf9Jbf4Q+gbZXOugazvvPdMztfYvMN62+iVZmkWUwW5ALA+esidEiA9aNKsua
7ozKDpFTRrqTsOMvqVzswktCc53zKAFNGcQOW/Y4NuIDmW0QNx0U7ZzIyDE7eZVB/9xnmvW6YucY
XFLOZ2oqJ8EJYvfXnSwe9M15l3Nxvaz5LZrxJ7t2HhiDPNVLeh276cOiMSu/zM/NIMt0GkOzftfP
rWJJ3AJcsxYVPr57Wsnzm5+0IW6BAWfccoq5G8T5lujPN0Z3vj00dZHM6krxzrfLcL5pGMcMx2Ti
+nEATs6B++NWUhcU9OsxJ/Yndt/ZlRAxtjhlBR6Yaw3da49OjatuUZfedL7/LIRrQZrW3IrkKnND
9tyVCeBUHxl4gHD7xqjXk5jEUXVbObdslvTXjGhum6S4RtnDfcwFbZ7v43G6mrmpaduvGm7upBZX
QJeTncaNnRvazejEV5a67Fd17TctS4DW1vXAUEVBm8RdoLV2tZ5yaoZW5NubZ3VoBFRBYce1e1Fq
adSNwOVJhtrNQ3zw09Z8cBGFoDihzZj7+qn0CuiUxKrwHoOXusYG6Ndhs5mdDlEs40vRUWDl5Z03
ODvSfoEEAVeQTKk+tpkAmi1un9pYycK3YjXyj1T9BbbVEFvk8mGhdR/noUd/N8B9H5d8LD75bqW0
pud2kMXkMFu7YUTEFGmxEVrahgSpSfXPTsnYrapgBFk5+qBBcgZ3IvGvLK3x0rDnz0Xrb36Rs+Ef
6AkqhvI184C5lNYXM/8Qit27mBrb/5ZoIRviRpgrxi/D9otOUX+tAYJOpUjAq9LHZ5vFew/jNxFE
SVcfyzrfoqzxvEDzkshZXT/ASLmEteuj1wFyQOHnTISU9GipKJvauUbPMNIlWtuH73IJpAsDRlS0
TBsam02Jp03NvXoJV2DU/xtL/4/k7/8cS4cN4Zxfs7e/DqbFT4NptpoMuSgVIE+5Pzj0fxQS5m8M
pS2mVQyglTrgz8G08xtbeFTyDIwtS+VZ/FlJ4LJE8m54f37Vv6gk7F8LCZyUrP0RHSgRgetQSCih
/U8cACSn/rZuU3Hft2heiomBwtJu0IC1WbuO+2oj37M3HV78o5KT+ct9m1TFVY004D7zJ7Yvdqb5
V+M81q8K4lQEvVsTLNRwmt5zrvM7zx3eJ/yaOR6XJLFJcnIxm3TbxASn6wFglgW8ZhNjFKK9tU/3
7TCnqNNaxLOR7w+EZ07LQHWBAasiTWsdHqpySPt9rNFhZUWMNkZ4+oOjJSIUBtvJk9AkP0iu1fqz
HidF2G7euDP8uindwGRUshN1Ndy5BWF0gVshGMtsVFbsAvuKGGS8Tz8QBf/pYlRs4D+PlQOc9f1f
T4f6ot/nyobzmypjmQo5NhPkn+fKhvebzfqFA+BjG2FK/OfpUG5inZEzI1+18v+jyKYwZ9rMCwwg
BAgxFAT/5micw0R/7s9sxsmGzlaI1RDnU0lvfzkbfuX2Y+2kd7XXleTdesTkip67tk8c/6TlHzzu
1dEy0460LlgjsmXxDgiou5lXY+d0VQ4ufkt37Sy+11tC3qBJXHE9zpI5J9m1pBbdLa3pR4ab97vV
oKRMSty66yKHQ29I90hy73RtgXJmD81jOrtU0sIhzS7R+mT+MrkkhT2Oc5buJhukulsx201EW37M
re6iOS/MI8YRkPDqOvVLRykqrbycqHAWr3rufNyZfjvW5LHl/rHf6vjUOdadTIUkALiP91pueIHh
G9+T2HP2xKmNj/bUjCG+2S2apvkzDGigAnq+d9c23XmLP+DtmF9FzeS0dMdmr7ngKhZdjlGScfuv
m0vyLrG8wbJW19bQf/E3P6YoIOht6gUfCn+/y37Ij7E/VJf66FQ7R0loYYFLUp6b7sKaxyIy89gN
8sHpgrSzjIMLr//g1V3OVth6SIzhsmJCtcs8Rq9NYtohG+vk0il456Sr/lSQR98TMhEIS/IWmuSM
B4cJy6Dlz6Nb2IGoUA9nTnVljRSdzAECu9zuYkyoMORcFMPoo9sUdhXDFCK1hP/E2/VTaVofhVnU
p9ROzSDXXWx7lsMwCmR9VG2xuGw2MhTiTGARJDFBmS9ram5EpBVJ0njN28t5WBn0SC1cG1L+cOsW
jEDr8pFO6gVFpB+CHrrNmuRp8tPvjtTW/WzjV+8yJ93x+c2HVJl/S8oqb3CvsonWR2fXJvMJkSyg
omGUz16ufWH4YBFGL/KIeUd8YqXYR7FVPsaocA6ijNfLiQWFQZZBWJjWdTX173CRqyD1x0cyfeww
1/KHXBTpPe3lbumT72XdP0Lmvi5yEtbQd+ZRa+T19dCkxilORR2MXtyeJqyGyBs1PtYyi/z0HDev
TSp7vpz9abnFeZhTfFZO69C40NR2eCD6N4Yo132lXcvSeWx7ecnL5MIS/F1ncyDOoUsZwsXDfqi7
gzfMxHdIDODpAXz8Ta/Fu1Tb9vMqjpokFHpwotpuqWOr604jyyhrDzMJFJXVXzhEMOaDxtSfuEk7
fRkcI9Qy7dJNFsTI7akZvKM04P3bgzXticQ4pKld33T0QP6YX6MCx8zeFMFcrQ9pbOGymtyB59+/
Nyfvcm2ZM6E6SMJMW/YkKH4RNlYPKe1D7ztoGNzvBnEWHesVketPU8Vf3+qZ3i/912JFOdR4TZBP
/RB6msXTiyZqv+REl9qrHxUyvmhtrQt7xPc7vOEli5PppU+zIiJEonydF9Pa2Qj29onPPxQEx+BM
56NEKw7pv21Das/x2V5bRMOxPIpEe0SwC/4glt1BaC7JS8RbDst6s6QLry7tYBfygcjuj1R38eGs
zZUOoZIuZatBdCvugP7k9+6DN8dNNC5b95BU7cG2qp0nn4lV3CFfxZrqf5q8aT9uWEDXxT4Bt/dQ
yLi8TxL7aKoU89Ruoq1iL45KmJfGXY9q2GmtV0PJiB32arYSFsdzOUXeRoSKjeq4VPLjhJBIQlRR
c09ok+Paeq2VWLmwvOtayZcXJWT2nOmJ9PmSGSPBLULJnXV9enKUADorXVI3lCg6xp8ejEoovdS4
dXO003EKXA5y5U7TtJdWyavBJzThiOI68wFlKgm2ocTYTWufvI3anEY82xAtKeW2i4SbteSjedZ0
Y3iKiEDnp23qzz3C79Rm3z229r3T1R8+0nChFReuqx2azdxCnO4nJRUIBuTknenc0UvTdAyOh6MX
zXlS6JiiKvM7IE/sCN6RnT63yPLW09AjH8McgYAdrdOLc1a0K8EXEvemqQ8jknfVoERsJ9jZDF/Z
CqCHbo3mWvTlpxLBPIbn3cQJDVulpRdKVa8jr7fXihoMwb2wjHei+nIeUe80CD+qlTTfIKwkW9i/
KtV+qvT7hlLy+0rTnyPuVxIzg3dYMIuMLHluK6KDAdEoT8Ck3AGJyWaixDDA2wHngPIQEASYMff/
/+ydyXbcxrZt/+X14QEE6sbrJBJZkEyWEkW5g0GREopAXQNff2ekLJmy5fuG2k+n4Y4PJZpMBGKv
vdZcAnC33LUqZwAk8dYZu9PSwX5wVRZh7kklWHxMe2IK60RegaXfn5SMX4wEGWLaxkaVbLCsPrCJ
OrQq86B1pB9chaLI0bdMlYxIIvm8qKwEeY9d3KM52MQollVSfEiwoliye5egRRwnh/MP3eU30Kgs
RheXRCD8ExO9hheMTBjrRJ2/tlYxDkxSNrEOHr0v+souV31GNCv7DBvzVBEEqXB+7FyiIdpk33cx
v21BtCIjPNKs7QbziHk1EisBTYUOs8avjmp4G1X2pKpLpCsqAQKhkikCSGU3lJSmTtyn64GWV6GS
LJaPAD2rdIvnjl2QE3iJhzrbjkRgRMXnORJjvGHRHfiqCkruppXCGenkL9goFx5SEjWJytasKmUz
F5ZxKgneRF1F9JMoDiZi+poV5GSgvgZBiPIjo7aDbiUWUas0T5XqznbRG1qAS5I+xaAeLdKjxBBu
jYGNfUz1iaxl2Kuk0G8V/Kvng1nvvy/nF5+/fPlM5+zPcuB84bcLuuIAuQZxbXZEXKxVMu37+Gr8
wd0coyzkZjLYytL+t18X2o+yp3MZ/yvP9k0It/6g8p7/8U+icPjef+WOzt/yLyGcXCneKu796OvI
9T/e0Yduzf0Cqs2tb4hkO56jlfIcs6RWp70rYMNF2+IcxOQN0c03tl1BrkIwIafJHcVhkV7qBYCR
ukR31EVdIYHH87Gsl8+l4fdHnOy8s5OCB2xtQv6rt76WlWyI4uvKXi7i3LwkihRW3rRv4/nzKucd
YRtu8vEORfF1qaKdo7cf+SlemGvHnc8wd0YyQhfCotIAI14+LW1tcAeM83lyrrvYOeZrnRDSjip/
peN3SLmkjbhoBvZ5fl2FQDGuzHXsbrCwHB2fEFXn9E/8WeaR2qp00/jRYfSo+mjcV3QfM0xWm0Q4
h0EzPJHgvs/w3Ed+/rGnjDaUUf6EfRFCLmO5OT6Ytvaxdez7XECdqfSx5mLuX3l+d+tHmbeder6/
Vr3TinGn28BOfOICPKHZjvpJ1lY9UNqU9tqoU8fUymkLGftyrlMQEj5yWl5k5qYHgLFJI4xjc+3Q
hl1eDhk0EjGU77M5e2lVh3UUaUZIwp2+mEQj59o/d777yknzrmgkp7AxU6QZu+/IEWwHdzh0pnk5
U5o9q/ZsQ/VoT7p50WLarDvnXesPT10cPS4zl4QRj11RIIBSkWSOzbI1ab8mFccfW1LcHUd8n6j/
Y2CrVu+Vem9yhbiF9OGgq+LvmVwbReC81V692BmDUYp7R/RPNEvnh4K47sanRtynTrxDsiU21M0b
quD4pkUf+Kp9vFU95OC1Tuo1tNjUg89Ulbuqs5wS47uVEvOMMnOXUvNuzl88k3dSr/rOC1A2SZ25
w8flq/F7qJIOi60xYdKYyViNZ5d4snDE7n8fleejUp1d/31UBvlzz7vqJ0oGX/b9oETM41aJn0Wd
akqV+H5OWn+AjuBVSKxBmec4wr6dkw4GOUQPKiK+91d+OyeR+cjYIw/yRc55AfkrWsYPp6TFSEi2
6GzQ84nMkzL+8ZS06hFPumN1d4PkeWBr8OzgKXnzM/nJOtv4F4jTJ4ZERIOgkqdKLz11Vr/REn1b
ZuOMp/OO1E9L0K00jOTeWIaTnyULzeB2SrV1OaQsJbj6w8bAyd8b+gfzLNdFUNimo6tUPEfpeZlS
9kQxYIuVc9ruXPLCm5GKK9rzNAYe5ignY+/f5MUXYxY8ZVRQGnfDMuMq5Sg0MblEuFQCu5lcZAKG
tnw74cELyr5gqK4A13xuIt9NtkmS101Q1Yt2HeWJdSzbtbulYiHmBhXVh9VurvRm2URkMk/sa5yw
1nByYMrPdnU+TMGQQzSaoAjl+Xoa+C8+ZKZXPUo9O7WaboQ1AvGHDhQPuAEx+TdrggjSjYu7W+Xq
V9Txykd7cI2dNoDC9otE7jFYMKlqablzeXNsusJChyFzeIzb2Qg1yT0b8i2d68O6bPTVuzZEpWhe
0c3U8at1RivULPNgsroJ8mHZ52Vy5Y7Z42IagZMb1yNksKRCc2CsrAJ3EGzg7F2fJFMI466nUNg4
1H16hR1nDPWeNWo1zE1gqa83Eomkw7AwjXa7o0kxCxPfDwfpbjORgYrv2ApWsU/BPS7G4SFP+uhe
xoZGX9f/C42uPrl/a3TYPdVnjgAC/k/aoC21cn/7mdMSK23KpOvueosKRG7Xy6UU7u8Fx18Ljv9V
v92neZ4+F/8+98RbBdf/Qxl4bUKK9lfN9e+DT//DIfJI7sP+aob4duzZf+CAYB2i1hh/uYn/PvZ0
B5iB4o/gvzc4LH/h2INY9MPH4wyKhKJtcIhylBLp4ht/+/Hw29WN9LKbbqeyktOLiNbyXqsXQ+6s
uWWFuuI1n9rEMkJ5tqAL5UbXQKpumFOp1rPTO//sWIdkbLY7zBI42Stkl+FoO8ZDHaXDuKWmD9f7
cnbAw0stthSMpuYu1uoY6JcXRZ+j2YYdVBPDP6Vu6lFsnTYkEXsqs2nOXdvkNl7Y0obNZMu7yHfK
jW5BzAY4lK2ByJb8UVbcfjJ6xTeMd/LGUyy7aOnZ83JRqnBLGnx/qDnzEPaKgbcqGl7KXS2IzoQ8
xcqzFTUvVfw8zYOkZ6Nm0iYeb6CVdVuU3hdPcfdYvnSoL7D4pKLyRaK9WBx5RNx4WRPFNwPgtw5e
R+79NVdkP1LWM6Fwz98IsH9VMxahhr8CosAIuBw4oAASWFttt52z+jQqfmCqSIICpKCWwBZcq+qp
VrRBPF0xXaDRcohKP+yiBa7eIC50IIWRohXmiltYADBcFclwMWAaGopuWLjksxTvkOg934XWTkEL
DNFVVERShVzgFCixMqKt4603sW86Qadoio7iKsYZhEWINo9and4koBcpKv+o0H387JVXETpjKeRz
ZkcDkiW+vFQxHFNgjpPDgD8NNhl8SDACTMY+0qF3+pp7qzXce6nCu3HGqtvHYn62AUbWihyZKYak
Z/XHIaPAbkrHgFB5HLjcO5PlCRbul0HBKF2FpQR7622GeDxIO7nBU/GgWzlGGmP5MsXqZ6Ewgwmc
y1UBL9Wl1lqiJEh9yJggLz76BNHJ9GXA4SDsmZAz5WzdCxOhahqz0ICt6XSCO70H401pHY3HgF7q
093qzEe3y4BjYMU0FKxzhNqpp7xmyfWl2xyi54JIGuBHeRzGAo8uPEv+Pa2v1oWhcKCl8gir2N8w
0B49xVpF0M27TaGIKthoY6w3zcid31eg0aGqrpy0tSl4Ni8VbHTStEdTwUldKKWFY78TjcrmzeNd
pkCmNkRT3fAOerTgiaR4mj5J8D8Kf9rl2OBNgKgsIz5NjhNvTQVLtYbGC0f4qSYc1TUdQ9caniMF
WIUz9Er4Gngrg4kNgxU7OAmArIXuPYQ1lNbSSA6Zwra6IwDXZMr+xM7z0Cu0q76sX3QD0TOD+pqY
4F+1iT9q4hczOKa7GRUk1oUWaxFH2Lao2L0CyfYQZcXYym2qILN1ur7APYSqmnuY6RWKFqb+awKb
FhYkQRtotVyudvzin4kP4mHBsyA7/tM6M75pIN16XZ5D2G9eUp20XqZwuGiqdzN83GiXDIbYdU3x
UnRJ7labnKB0s2+/NVP93nMq5vZ/zwen5zb9qY7ydjwgQGNSOQ+z+My/4199nw9Mlv06CsZXo6Fa
M/79ohTs/5Xdj/e1wv+83XU6uBMVoUv/RfIPJoQf3pLnPx77qQ21z+SVy6rzx7ekrAYxRlKRIRaF
++1Joaqp3HFIBKs5HSsMjFls1QFAuQaBur6Uaq4vTBRWtIR9wfO25wEpLhNkgCQp+u2qlAGrVW4V
tAIG6mOk1AOpNbcTckLVd3zalcLQITVYSA5UwT+o8vEIKULO2dOgtAmQox8lYkWBaJF6T3oCVidF
zHApTA+LNHp1Z5scLZlfjZk6dTLr6JXTU+ohDy+Ahty8tonsAhWo6HoMZF9+HJL6kZRsG/LnglCe
jX7rlOlrbWX1+lxNHdBRzG+ZaNAuxQwQxV51OMJd6DfKBAeMZ8o6rHnGPctXQnPueBASx1Lr40iP
62LdJoDLYaJk+kYr612Tmj3Nt5La+rwYdqweC7xBJQTY0W8PuJaLQ+dMBT3v83YkApPKhP/r6JPs
kR2Ym6QM5nn4KFkltDY7J7dtP0S995JLIntz3tzOkRyDqc+eGz85ra3+DgecfawFDqPa0p9NczwK
c7pJPCYNMWYTAVi7CUyHuwRSyGu/eA8ODTbs6jjE7Ma98AeyfQs6U+EtHBNFVIQ0X+B1lxfdMJM1
qdddYxfh6CZ3XOv30WqS06137Sy2MpMfMt++xMsG4Ib9SJg7DlcV3d1PRbQT3hDKwjzaEQulqbrU
FVjUGNN715oDtN3rwV/3BZ3vZVp8KGdt3/P2dnQcXX6+E6N/NQI1KV2XHZe1cV0WQiZ6iRG9iwDd
TNjz0ZT024JG5sx6qbNkO03+0V4ECozJzaK+jowPfsXdpfdZuGPhrPPryPUoV+7ri4SOeiGMR0fE
W9Hk8IbraM8mZl8LfC4MrddEre7jYTr0znIztNW66acMA8ucv1qFRTwSQHMBmtWs75oed6ObX8RF
czB146hZ1WOqFw/r1N4XEJ6mZXisG53vX34EdHupCpohNW37qL8GpxN6WrYpy1uy01qhh1GxnCxt
Bk1e7/xVoJx59lVVIs0t9FNbif5p9vJD5o7vo2L9vCYIefN8Mw0iJl4VBwhSQTTYrI3lsXaqG765
vd5NR+nIEzH8Q9Xox84U4WJVe7dNjrOj7TTdv7Rclg7jsMePeEvec5842SmtcejXiFNGH4K8JBsl
bW6uTI5iBK5lFwevsR2ESqhCjhebB9FzUcE4mQasl5Hjhg7K3YKr0MuG7K6b5ZNWOThio/7Ja7gO
4BGUFyTWjbDXCmvvLrZiJ00FpNvsk9P1yXvdjMEWrRbbncm4k1F6inOLY8kor8x0vrFSfi6NObVB
OmhPYHGYZtdV35Uk3sLMnrBapPlNptclUJ1U7O1qSQOzYT9udL690Sz3oc6XamehZrIT6vj+VvfC
kOllYTdQEVpz2zfmu2Gd2y1mXsnaHLYZi+J5z75yozUdsZJCPxW50DY5A7rabT24YqCQRET11hBT
rzSF4bCadbwdO0jAY73UJF/B+BZxexW3dXLwfC0P/RHfbNYkuJus9DrJJ5bFLLHghXvrNmpyb592
w8mrOxAsTX1oenbQdgLrD5pndWj1lOm/s7iJiknDfZjdlrF/l6MVHVMIESDj3UuiEMa2nfRpE/np
iQIGC/NlYuyKtLmLdBq7KVeHA9XIj1bjXWuj1V0MyVLuorm4LQBKuAL1EVE0LPKifi/IocBGd9bt
vHYQ3q0h3Zh2J/mOicProvhiZ+vVnPDMEaFU9/B0N7ruSY/Gw+TOH0U153sh2pk5ZAqKuVx2zlS/
4/ekbXt3PdaAnTeIvFeDZ196nVMF2hxfs859nDkBYkfuUweQWcx80cmoDKelJ2rTEp4pOkxlsR8f
+4VSpbX0lh03sevOs2/jznpY+ugFD2vPyDfBU/NLtBUdqEFlfconC9FoFv5e4qckF2IAb23khaHp
p8q2nyojC+SktWHi9Uc3AzhdlBk47nk65SUvDpcE1aZy+9fUMQ92lHzpdKMkUGMU4ZLFybZvzQtO
Fcj3IGvCqlj9rb84l3GM4bYYh3yXZgap52lpr7OyM3ZGGmNe1qOP/GovG6oCw9l3bzNeRwdPRncg
Cdqrxeidp8ohcF2SXm0s+jhWZrqw6ax3DfGqF3jSx7WrnjXPWgDZp3/KyRw3U99qG9o34g3ZqaNd
5SwTitTbuwOznCLzHRPZMNqVlKHPBqvoWJR7fY02DR5cPgWu2AlipXHWm4hX6OKLzRA90A7feQaL
hJnwWlH3zbb33OQiEvWnGlMRdwABUWtcn+d4qgKbrvibqM+rvZewpcHKNAYzzpKtOy3b3hkTBMIy
v/HSLCfgg3EIxA9BRVp5qF4g9Dijr21qlEg4Dnp5FUXLq+wxBEYtvQW4F6LNWCJGzUK9CLQC2tjq
8s3HJbUI7MK3ZrJcITHmB3PWb9ZZ3sMRjYMYgkRQtcPnQSP0vna8a1iCfcxLUVI7VV7MIzzAJHVt
6PgVS8ye1gCR3azxyshk6FercFlXWFynskIc7Y51MJf2rUj7rL0z2Hv81uq/rjWxyf73Xfwyfy6e
++TfmpXJl33X6vU/PBc/Lrq7ZXswtN5cxhX3Ggon92rU9x/E+q+FPp4OZ0Iohpf4+zJuAIsghwMt
l9nZtHE4/oJq5f7rOg5D13FYqepwGKiW/AcsYkCuzkVWZbfZvLp9UMYLqyxQWr744DjJuBJDVf04
6bkrZzz35lSVg2e2a+f+av1arTPa56IdVOYbh0Yg+WSUZbXe+KqUJ5otVdCTqbKenGrD9rLGKdf2
mPiAlG1KJnlc/OmOH2F1vSQ6LFBsXycS/jbIS7Pw3pUqxt43cBFF1owfSClVCYeH9WWlu2FbGaZ2
hX3Xv4ls7c5K6EZQpRlcs2SHpz1ziIWs8kU0jKq+CnnYTdvQ2+C6TWAsnbmTXbncV1hybnTp1Vcm
CpWKQrYHYRdsAiJbv6+WJH8QEe98flkyiNJ2um5Kv+HGGJFjbRi2C2M4lCoIY7Vy/mQuFd0NItV2
LaWN+6Ips4OEFIlC1nn9zXpO6CzntE4y5LH1IfG8ipE84iRF4XFynR1e1Het+c5hFm+0kzZEvZGG
v5/brzs25tr/fm7Zsb1IHt2fxPIMvvD7k2sgKXMHt3T7PEfzaHwfo8UfaCK45onZfgXMvxmj4do5
KoB3RoS98QtD3eMpo5dOCILi/q88tszL/xqjWUV4tHGR8zNMHM0/jtEgg4woglp/ay42xS9csBgi
y/NEmTNCrM96DrYIZ+D7rkVc6nDw6uvyPoXTFTpAZ0mglo+SG8t2aOSu0yjvmcw4DXTZtVeg3T/N
tUdOi5pQInP+soXGctVBxdhn8YC1aZyu1nipGSHgXLgALggMca+u40d3QhFd9PTF9oF8uRFVLrPm
BiPIbFysy4NT0VGTa3R42LVhBQuRv0vNgKKfduJCkyUX2xqDYVwb+s6ShnNnzbO/JXHIRYVuSVCc
rObygSQ8My0uWWazwY+jqyqyAeNWGFNTx6DJK3nO00lsWrGgm5qoxijtHns0+PxZPMZXnqtm9LHu
NtqaekBt+/00lw9aAW8zczXMvbaOyD0Yn81CXrZyZLAsRj1IkBJ9qd3G42Rs+p43cyLS6yGCHpDW
5NucxPhMRSF3mXyA8Suje5+Cq0NSjIzctfjklSb4hxGFtO1x7S1FtZ+chE3coq1BJqajQYQfs25q
bUdGoLafje2CQ7YzvYeOWcrTuxfUY3szpXN16DtpEUcu031mTnc1mWkKra1Lv+sXGMXDujWF211p
loHLqnjIG/PWtXXI+tYVYa985wj2l5o/79bS1zcetF18zaG+cnHQBrsFrEEATIcF5AIxuXesYV7R
PkV/YS0d9mJSm3J26MGSyQ5XVXacmkpjEos+Oen43miwUvd69t7knr0hgWW95GN5MLXSI2E91MNj
WqfM6xmUAhyORMYDQ4uS0BnPwCLpmbeG3jjHJofpiHHPa/Z8qJ0N74jyMDPI4qFO3CzszpPhuHZh
z6zYyGrXp+mpY4bkGb2NmCmroX+KmDH7FX8MM+cyAatjBi2ZRaHYHzJm086djzU/X98vwBPI4zCb
N8OAVC6SYFTDbc2UWxZ+4DP1mkv/fmIKttU0zFQMIK5mdrGvknWVxEQJy6VUMDBJs3RlyYkD45bP
1AY/KKuG/noaki2mys3KND4xlfvlGs5M6VFf77S+vk+Y3t20fRRM80QGDyvTPd/clv3QnbUgmyW4
0lEBmClfOyULRBajUIdSkKAY2CK/91AQfJsXZYOmQBY0IguaP6Yu3hZUB99IgqTOyf4zGw1jdr1A
IGjRKWomWd/44FD17qNiWKgZVuwdK9QNrXrJ0TqcaLkdlfhhNyIoUUMMFuMAM8OOJ5HAV9BqE4F6
1BNb7poVY6faiShfKypLgYICYGTfoL6MyxLoqDHrWZZBn8lL2pXQayICoCP6TRR5e6kEHV9JO7YS
eTBtXmaoPuVkbrlgo08QdkMVGlCHFosRVslFLbqRQD9K1/XYKEEpV9LSjMbkKbGJ/I17oSsBihzo
bWJFDzh5XzPfYQBXYhVlgRO1TghYBkqWQNGqULaqs8SlxK4F1QvH0GlEBaOCAzkMXUwqgcxHKXNQ
zBolnbGE3E5oaY0iuilxrVcyW3IW3JTyhgLXKikuVqJcouS5SQl1mZLshNUNzMTIeLUS9Nyu2ZVK
4ouV2KcxtLFl4PdtKClwLOfDosRBmr7uVyUXKqeTh34YgZbh2MGkqs1/VXf/Vt9VaO2/bw4fn4uE
RfW/b/zqy77fG7gcwPXEIPi1tObtvcEkggScjUvKVyn97bWB7hveBJRq6mdG1febAwkknDm6q58X
279w2T9T9f82MJwDeOSb2Akokj9hp3+aZrzMMdg1p3c0e0VknqWjbapq0k9thnEGPUmm/ryH2E/k
s3Xw4tuixTRnv6sjHjjRdZcCZSqukahstCpbiVaNkq+YVx+EErSgnTpoDCINLCV3IeCULJGLG6mk
sEqJYjjT9Z2pee+qPHu2ff+5iO02nGQTZpr7J5HfZpOjspWLeWdHxBl0v7BDW0lxc5R/Ap+Dn1/J
dIMS7DqM1qGz8rBLh21C3E1PLT7KTYvS5yrJT6zRTEobGdBXguASI79xx3bw2iEXWu2QHTCvITyf
3zHd5JUx3MvEuq1m+szgr2h3lMitm3ylYoAjKMbeaBZHoElp6JVtccxAuW+nBeNK7o+JFQg/LzkK
eRc2k16F2tpodb3p16rBy+I78UNhps8uSUEs0p0p46s6Q2KcIVy62oeiBB45tIY4NXNtc9ZOVfbU
RtLHm42WY2/iaXZ21K6YhHl/jwJfR3huzv/9QF9U3ec6SX+KpOMLvz/S1FCRRRJc4FmqwdR4Mwoo
xx2NEjaeD+H8EKwljUuwyXX5J/DhHxAdaognPchFUD93V/0S8VG4ylry94Nt65aythgO2VrT5ugx
1LTwxg3n6eRmJyfVb9HABsWkr+J2l6RT87yuhALTDPrGusImvWfcXD7ZWqktpNyM7KUHqc0VCofx
n925F4n3z5YUCV1JS2UAO4uJmtChdO5TklZCt5I3G3Wgzwae+ZrmCpYVEVIpdUxuGXfbEnyHMH15
gcF1uBoJPGzMFMpHl5uHkS30gT67Q61III1igmRJcg/0AuWNI+u6BRwCLy7D+txdwc6FgApbxAYy
sijayDlobg89uqgzHVnNmNy5pwMlntWdZYxcds4h9DOeJFLJdG8RXyDZ3VCV0wYF/IKeEHun0uzF
gJa3VtY07RqVdndV7t21EmoyUQ2kysRrKh3vryVFk93iPCRVf+En6wswvHd22srQtNID3KSnSR9v
okpvkNI1e6cZ8tZk3Rd4AiYx9JKtbGP0ior3cOKVPRtLDjV9/CinpLmiR4gLcN5QllM1r34OlwTT
DmNLlH3MIq7kVvpe9t50n0i+LQ2d4+gX8RVYD/aVsPYPZg54PwMARmH5Q2o5F/GMDaMuAfY21d4q
tYNGwlpiW9/Yvb83yvy6KtJjuhCSkuZ6O/XQd2vjKKqmCPh8owKn2T6t9Qu6w16Lno2OHJ3lQ2H5
EujffKIrnElIavuoaXZ1u37SMzJQS5QytOQgqlO8zb2F6m3ZCuiVsK7QE/MA5YyTVRsxMbJRxf0d
D9Y91oGWT4BNjsdEyZac0K6H66NMTITWof64ynQrnP6h8PsHkjYlWLEtw+Jdlk8YnSMDRod2ms0i
tEV03U5FGjZJXm6ase+QoP2HiPXQBeQvMF+OO23TiAY1qqWuvJ6SCKMcr2VmX9pdqx0BHX+oZzB4
ZvrqVFO6XWnY7WgrJV26bD381PQ3yPkScJRPJquK2Jg5xznG1QhTjvzpJO+9KgrGhP8kgkDvR2u8
w7IEwcbCE0O5Tk4uVC7B4AIkm4v0MpoFkZWK2zwu/UujN+xNsnYFMyDPHr4XeNG6cxWX/WkyvVNv
DSJc8+lpyIbbvHZmdi3Ze2JblxYFnpNDjhTGPS2sFeWi3dQxszUIzRqLoApeTrh4wy3QzcvV4uFt
Cv0DXXRcVrGQ2PnyYYGOvJ1TeGaJHnUHoDhLgNjNJbRybw1/zgL+xpFdTX8v2/Ww4q2isOfFYxxM
/SlwXJfKF0bOSZsrlGp+WC5zPrnFiJhDabuhUUfPdLjudJGzS12tuwl6RJBllICIuPYg/KDx6cuY
Bo7TXwLe3HdckGORGUHtDmAF44eWe4OWTSzihneNG50Gp/xiOXP7+0X41X+pehj++0WI6fonZW3q
a968AxU/lT4JE+0LZMSbdyDXWkEpFJT9bwSJv10luovYBaXKdonYK+7EN/ul9Qf3XQsFjSspEht9
9r9wt/2H+1L5SrAp8pYFsuxjZv9nTTeORIPpuczgDlVM655GGu5U2DGYRt2tbe2aWy2ZFp/T3GEO
vKCjNbA681NWWPHOYFcIo4bxixx7UIg53fQ2K9dU09Zt0bN8j7ylft+mcOIHoztp7CNHtZiMJ1aU
NrvKnJ2lb1L/oKk1Zsk+U5iOvkM3t7Yau05NMydewaw/2R9eOqCFA6lWo1mq3UV1fqvFphaidDVb
sy7NYIXgcshXTu2mMrNTLJqDrxavi5xOg9V5RBRZyhYJt0pEDurIgWxdl112bxtpQYg6L8JELXZL
Nry9WvW6eGCA47D+1dUiWFcr4bq3ehahWbMde7u5ofLooVArZHpw/DYkWayumZPROLv66/XTmGr5
2A6Hopn4Mfq1JmdsNAv3d30Q2bGUstzPEMuLfd2Yy++yt7+M0f/ryEk09ic6teL7vXkwCcVxlVRK
9D/CIMyaMLKZKtUjy+7n22Op9kvEJlzGUNTj87/69lhCj0NONj3mV1ucITK/8Fiq9dEPF1MeRf5q
kz+Iv87jGf/hYgqvzTIJQyOX6vshek1neU2l28bs2qMfv7w5sDifcE+UbxmHxj+uwWcys6Gu3EQH
LUB6ZwDNm2twPs2kstfUucWoeT2J9QpTAp0VifrUS9i5oit13mQaTciDQfPiGYORmPGnPPePTTlu
K1pztt0Ivs3U5/JQeaDbaA8lrFqRQq34Hqk/XuSf7uSMlJT605fGW+IDRw5ZrsWoPlmRayE1Quyk
nAdUk4g8nzHuqTtjnFgtgXSKzOhKrw2/CKueP5V1AfAnFwyU1YpHa9DtLIw1I+h7BYsibWIBnokd
khsLGa3hzJYSvck0aNsw2kNoWPCnylg3V+weWhzqZ0JVc6ZV5e5cv9chWNEB1eJ7wRKSW6v2KTHz
yAsIXKx4FyKXEd5LCOUjwpegR9eCy8pgMf+aZrspnIllt99jvDLdGr41e3fcvYYYT0PvPE6m/rgO
VLVOrnbIl+GGxtgb+q7uRtQtaWZ/DqRWSOpkm3rJcc/UB4yB5EsAlDn5MXHw1vm2Mvpl0HONbGPo
8QeDiotJlMdoBo1Ze6GW9OHgcu9ePf/UgZ7W8nZXSyoeRPZIEy+MViTGvedQy1By720rG+9uCpZK
57Hh9uEkj7VbTiLQEyRNbCG7Qkt3NoUVYEerjWtU93Md7aj6/QTbVdsQhOQGP9C6qzeD9yi6CfVz
nfXjkjQOPRhkOW/iuBWfWrvdlAVlADcY+y+47X4YfAwCQ0prRcyQohvTbZNTipsCfj3oeWqG/DLN
zWD68LjM5tZycg7ZBIxvZa771u1urFkebR347zjPRwfiltmLbep613O8XDHYHTVY0cfes+OwsfQH
nrwLI4WPURrHVow3kJC5vM3sbCmgu6wdr9p3xcxSQ8TvCAi1t5zrV7nTLiNXxGU60mUeOwEohfdJ
ZV6fH8nfMqHBQfffl6nN57L/mUlXfdWbU1sHHkQ02SCRxeXph+sU8zwLb0hEKu3Mv/p2bnNnEjA/
8ef+Zcd9e51CF7DJxsAQckwVT/mFc9tQN70fTm5lAyYvyMgnIO6T5/vx5MZV1oy5XEFggDOGF7la
H1LFOJ58726AKteNuskq7YxCbs5YZMw/a1i0+p+ejSmugDjEBJMe5iF/pIYR79vUX9daeYbkTAH7
oOqAlv2ltLSbCJlsy0ddEXaiZU+WLxTjih9Rt3G01fknE788/jjfDkZks9ADG5Da8YU+jk+dNawX
ns/qvXOtKCjJTpAFm66Nxj6NyXwc5AenPHv7+kBLFkU0FLuoKm5AoEvq67Y5QYLM0Dke55gQwZpe
tFkjL+e+/KC78ROhtJFbGA6uuZiDeBLvJh1bj915ZM6W/tl263XTshLZ19Ict2IljpK52Yuztpej
nOzrovaPi+34p9JdCe/a5UnG5pSC6ouja9t3igBF44r1j6LB/7lGJE203gt13wAJ2F9w/LaHUuO8
5M94V7rNJ8/HWyTj9EWm+XMkpMubIEvvO+InYS1JDpSj0YRTphUXMVfLvm0vhjl97Sf8y2kJ9aMq
rWrbNcZ7FofKzuzGm7Gz2j3taT5bTl6E5rJGR8PIOfPjwdSuIY9zkfbPl+ohtoARQbtfLtOyoGMq
hv/oso3JckmmmQKd97bWOtox7/Tssqq1gE0klW2jVaYXk2lj0JDNdJXrY3/v46aifUnSnRyVfag5
E6ySEs/l3TiYeEFIuTf4F6N+m6/YODWvQHaGqk3BKHzt/x8PK06Ysk/75fj6f/+PsPD5/28H1U37
mUvVT77k2ykFM404EnQFwVClTpU3p5T1h83xhasBmwFD3JvbJVFj+H583fetxfehTwmfik7IhZSg
3K/aIM6Zurf3S1vZl1yuevR+YBcSqqvjzY1PdsMqp8FPbzPJ9OUHHGpzw6dGOjd+VFvWHe00bbev
cr0E4heximdxPuIFldFYTf/D3Jk0t40kUfivdPQdCuxLxHQfJGq1pLZku+2eC4KW2ABILCQ2Avj1
8xVB2uJieilNBHCTRBWBRFVWVubL95r7hWEDFXRAnJ6iFzgrjcfQjZW4+Wi5tTJTz+wZacJ5DVE9
0Dp1+baMF+pzos4FhNUp0ghZJi0ExqRXWkaWL0Mw1K0vM88MEDNeTG8SduV/DZKg2Sm8EO5nhQLK
WQNW+cZBA4riS9CdwRgTP1rQFl0GXUZpz4vVv2YzKABYCLBzwemeU/rs4jkdS51hKh8cVfnsNnY4
SixRU4a9+R6oFkk9zpe3DRjHa6e2qv8up6SMTMhzkRGAWe4xd9xZOCqyhgJu1fneaK7TwnROGxEy
AG7V4XOKRQwSQQ3DNwt/dhHUUXBWBkv7MzDV8gNVjXB6bxFajEDgO39FsB1Qio4amP1ju7XOSieE
vsb3GgqdhVpG7TvHKssUkvt5+8mHagh/7oF8aBs/eEcruu+dFhlIlrOW27+ObD980y2b5hPdS5p1
aZuEW0Fq1OeeDUbrTNWmiXbhlHZIpjky5h9bQlrk0RdTGKqcOrlRiO4zlERctEISv3P/cmdLaCwA
OzAlaBihmdtpwqIbTa0CuDCEx+0/ZdUu7Lc8iU6sPkMIdeTFIRlVlZaPQs3t00SZhv86OUy0YRDN
rorIrC6WAezA1iKqRuBNnIdFZxJopsh+jOjLyx5mkBTftJnpn6rJQntQLG+JR07sG990WnTrcst+
Xs7py2o4kt2z35OgDduMTuxT+JzR81qkCvqxgTpt79S0Intxo8/MJUcFz0rBtJ1jCBMWtzpM52/N
2QI1iy6NNHAgRtSScw3dyIbIHgzyLfXpFBLtMCWdA6uuxskJbjis91CxPVMT0GrnXTJPiagdBX3h
v+O8dlAtywoVMWnP9k9zNSSbZzSNU4zoVSiym2nm01Njz4PwOSHFSA4zdtiCKLInCkV/EEZnvttk
94XiRrd1WoZvbD9djpFesNm1imV13s45U5E7bUN4eVDTofc8ttXwqp3GenbFQTcGWaNBMUtUHyjl
lZonjkDUR2+jptW6s3BRh1PYOf2Ele27jn9qzIlfR5AxcdSgi76ub7suqhYjnb70M1h2K9CwdVIL
IiQlJ6JQUi94a6NjX9C8WSXOXQON1T01QPUynznVKAyMAHQC/Pw1YKC5O4oVJ7pXOADWF7VP3z6b
t2oDOY/d5Sc9KrLL0msWwY2pFo9dU067B69SnpTOS1lTip01MOlNW+u+zIwCkZAFTUsXQdVmn6Bd
UdFMoDvoPRrctNWb/jxPkXE0UWT2lLSk+uHW7Ttz4TXZNTm4cgGWPdbty1gNAQs5U9+4pvE+/3ep
mB+synZpS7CK7h0kIfX8ajkLtew699sG5JOivTGKQr2D21R/MNMl6xEE2TQ5nwZ4M0voHsxaOl8R
oXFvpgpVlZFLQre5bTTQGY5RpB0cBfns0nX94hyYsq+cRbwryr9zsvd6ZxoP9Dur9YVRQX9gs7e/
yWyaaw04AL1zJZonIfJ6jfZ+3pnRiPBR5z3PkFL/nC+c6XiqlsoHI4/rfwpYBPPzPDNN1hrqXTQM
dxwTNVspr/MgMGkxraYFXI3okLzhA2Z1qilzBSo23Z5DY0fnbRLeoGxoQbDdQugzp02xjc161FQ2
wkuFTWhh2Tn9s/S11Fck243s3C+TZSAojJPKvMvSeQW7WerH77U2MP6ul91HkylMKxVtJLwbKtEg
nZbOg21F2igofeDieri4drzUUc/TrtTPY8XygXE3y+YRukDzPobJHdXE3Em0uyW4o7uu7Owp+NHM
+LQom09B01CZKm1I20Za5MfuGV3NVDIA6DTVHTSe2j2U08Uj5T14+CjcN8GD1tR+rtMQGpOYuEoM
p3TQZzEVP/BvwN8v4eB3Z9rF/yVSuoueoM9G8fw/4sD4BKdFHgVhuTqWfP3pcpLdj5NJsfuhrf8p
/lz9OZhko3E53voBElPCnYdqkrePk6KKGX99PhUf3fsrI3Ez64HeZlFavs9+7UPHB1qHYe/b+eSP
38fPCRjgqCjz6KkUOfUvIVqfAtxDnaxubPVMR8eBLIae3We+wbQQilDBdgCZ6K/ff4sznGL/ZwWw
+Am5cY0ACH4Yrj4ufGGpb9ni+GNuTH7MpkcfYdcUJnHk1sn6V0wBPwc6FbazelKVmsO2KfQTqDwI
QQUDNd81QCPsphd+xQioH9HKArXF6uJRt4ygOSeQrIGityDkHvJ8ANksPR9ooED8RpxIVteuKVyA
Go5QJSfJMcz50N/YziL7Sf/AYRCha8iqV9feojBO6PEGTS5KC8M0ArcsPRNMpEXgZ1kbgUfdWhQw
EFKwMAHv9wtwgJ6B3UPSCKjNirqr4EA/uBzYKaAOE0UbTvvDnAm7SY1fcY90TqmwRrJpiguzbs8E
ymAuWdGhzoM9loifNwHzQJT/TPOAK2BurFrSVrYZhEN4GTQdymv9yPPzjr8GTOhnkYSCz+sbuwK+
wCLzTcQ00FVgyAcJ5gmPb1EC3nOERIvsFAAeB/rw69BNbkekecpC9QQ4trh2XQCiECqtmxAODNUP
GvKxEehVuFhoTV1vBrzvbT9onFBoYL/QwKVzDXYx9DcmMx9YDFTWkPKAJ3N17ZpCO9FwisD6+z14
eMGB6DuWDA5oSRYdhRDZ9TbYmw9wC7kqTctmP/cGaAT5CEk/AZYGATUkSIdnAhES0iCAQYa6HPTX
mAkmxIlC9rG3AU5w2zOYJ6aQvkFtaqB7hLErqfUjMYLYBb4GCbp40ZYJuqq/dvcIFLdcMvT09Ax1
OayDeBnHaJxANkwsxBH54HLQPDYRD8qwwUYLgudM0jESLrp098P93l+7EZPIp5hg6laotEGemkRx
VNIIkKna8McJlazVtWsEsRw0dSUZN1CfsD7QySyHlaqATTJlnV7cNQJxI709GkJ6Q/UJ5mvMBMhH
qOND9r26dh0jPgHQG05jHaMOME6Qz6npQjkRjoh1Sl0Ex9tbJIIWJgge3epjkuEZQYg5S/sEQYyN
YtC34gTCZsFwg/scqk+QP0bRH0hhxUPBu98h98JmIkaofFgNzJFB7g5CkVByJvTZBMsETn4wTtDF
YVMkHsEVimuoptD7iSq5RwAZMRAP+MZ8gBUKO8Eus/7AQGfFnujmz4fQQFYd8c5NmnLEtbdTOBQe
aHlH336gRlif8mTmA+k0x/bQgVgfJPZ2ClNsJR7CuOvkw1BN8RrVWZqo2RB46atrzxTaiWjdwFpD
zT3q8pGD8ITIytp9LX7lCrcjB40ajCW0BAY6EdY5UZk1YSFiQyu9uz5L7DkGDhO2aChE736oRuhn
qIwRANE69O47m5mw6x0pxlGmd4C39hmd4YWQApMrGTiAXYH75NtYBUoxmivUyUWXwiCjJ0v+REU5
DgJAnWa83i/uVeVUYkzK80iLbKKrQZpiT9/q50MGoUjvqQj6rTfDA9G0INagMPETW8QPrJwv2DC4
U+PnFSosmiBU9QVa9t0PbMBS+wO8wHz15cutjwqYWD94j4cSP/+5jRpbwZRe/HUDW1p91fr/18+4
/+1bX7Z5sM0vr6JJPs6fhGqxgNKt71SA8v74/Ziu+urThwFuXxzC0bF5mu3ugx4Nt2qTkh38eySP
rzD+EaE26dHRjE4+R+OXVe/eOCKL93UW7EMLf8jyR5qKpe8c4OoBJgFxppK/7SrP2804osFlbRJc
pfTYo0nxFFblpNiM9WJ8gjD58bMqiA9RjgoZMenRj8tnyb7Ty3yclpu7fGEXvK/0nV+N83Ry6KWS
mZIfPMuef3uM6km+GezF3XOUkf6CG5hkD+vavsYy/Z5urux7/R77lez4xwmyZUe/Hc8mm1f49bUa
r7FYb8cHGcFeY6XeRulTFm/13PVeTCTgpOcjox8a+jUW6t04DifVgYUkimvSN35U10h2ptxleZ4t
N3f5da6IOoj8ndNykGbJONyM9WJ8Dq7S4x9h5pG1y7twkifjAxNGQAKlb/w9jUjj5GA0IKS9pcf/
APm++IrNUC/s/hoL9UN6UGhLAM+kb/3jOI6z5aE7f42V+nFcPGWbu3xhlddYp4wNXWJwMG4XrRvy
pgknk/jQfi2O2NKjHydwPb6eDh2uvjSP7B+5Np0xh/5t+0gpPvEUT8b5n/8DAAD//w==</cx:binary>
              </cx:geoCache>
            </cx:geography>
          </cx:layoutPr>
          <cx:valueColors>
            <cx:minColor>
              <a:schemeClr val="bg1"/>
            </cx:minColor>
            <cx:midColor>
              <a:srgbClr val="FF9900"/>
            </cx:midColor>
            <cx:maxColor>
              <a:srgbClr val="C00000"/>
            </cx:maxColor>
          </cx:valueColors>
          <cx:valueColorPositions count="3">
            <cx:minPosition>
              <cx:percent val="0"/>
            </cx:minPosition>
            <cx:maxPosition>
              <cx:percent val="100"/>
            </cx:maxPosition>
          </cx:valueColorPositions>
        </cx:series>
      </cx:plotAreaRegion>
    </cx:plotArea>
    <cx:legend pos="r" align="ctr" overlay="0"/>
  </cx:chart>
  <cx:spPr>
    <a:ln>
      <a:solidFill>
        <a:schemeClr val="tx1"/>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data id="1"/>
  </cx:chartData>
  <cx:chart>
    <cx:title pos="t" align="ctr" overlay="0">
      <cx:tx>
        <cx:txData>
          <cx:v/>
        </cx:txData>
      </cx:tx>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plotSurface>
          <cx:spPr>
            <a:ln>
              <a:noFill/>
            </a:ln>
          </cx:spPr>
        </cx:plotSurface>
        <cx:series layoutId="regionMap" uniqueId="{AB4D4B16-60F3-4AFB-A28B-7A5FCD63B7B5}" formatIdx="0">
          <cx:tx>
            <cx:txData>
              <cx:f>_xlchart.v5.6</cx:f>
              <cx:v>Acres burned</cx:v>
            </cx:txData>
          </cx:tx>
          <cx:spPr>
            <a:ln>
              <a:solidFill>
                <a:schemeClr val="tx1"/>
              </a:solidFill>
            </a:ln>
          </cx:spPr>
          <cx:dataLabels>
            <cx:spPr>
              <a:solidFill>
                <a:schemeClr val="bg1"/>
              </a:solidFill>
            </cx:spPr>
            <cx:txPr>
              <a:bodyPr spcFirstLastPara="1" vertOverflow="ellipsis" horzOverflow="overflow" wrap="square" lIns="0" tIns="0" rIns="0" bIns="0" anchor="ctr" anchorCtr="1"/>
              <a:lstStyle/>
              <a:p>
                <a:pPr algn="ctr" rtl="0">
                  <a:defRPr>
                    <a:solidFill>
                      <a:schemeClr val="tx1"/>
                    </a:solidFill>
                  </a:defRPr>
                </a:pPr>
                <a:endParaRPr lang="en-US" sz="850" b="0" i="0" u="none" strike="noStrike" baseline="0">
                  <a:solidFill>
                    <a:schemeClr val="tx1"/>
                  </a:solidFill>
                  <a:latin typeface="Aptos Narrow" panose="02110004020202020204"/>
                </a:endParaRPr>
              </a:p>
            </cx:txPr>
            <cx:visibility seriesName="0" categoryName="1" value="1"/>
            <cx:separator>
</cx:separator>
            <cx:dataLabel idx="27">
              <cx:spPr>
                <a:solidFill>
                  <a:schemeClr val="bg1"/>
                </a:solidFill>
              </cx:spPr>
              <cx:txPr>
                <a:bodyPr spcFirstLastPara="1" vertOverflow="ellipsis" horzOverflow="overflow" wrap="square" lIns="0" tIns="0" rIns="0" bIns="0" anchor="ctr" anchorCtr="1"/>
                <a:lstStyle/>
                <a:p>
                  <a:pPr algn="ctr" rtl="0">
                    <a:defRPr sz="660" spc="0" baseline="0">
                      <a:solidFill>
                        <a:schemeClr val="tx1"/>
                      </a:solidFill>
                    </a:defRPr>
                  </a:pPr>
                  <a:r>
                    <a:rPr lang="en-US" sz="660" b="0" i="0" u="none" strike="noStrike" spc="0" baseline="0">
                      <a:solidFill>
                        <a:schemeClr val="tx1"/>
                      </a:solidFill>
                      <a:latin typeface="Aptos Narrow" panose="02110004020202020204"/>
                    </a:rPr>
                    <a:t> -   </a:t>
                  </a:r>
                </a:p>
              </cx:txPr>
              <cx:visibility seriesName="0" categoryName="0" value="1"/>
              <cx:separator>
</cx:separator>
            </cx:dataLabel>
          </cx:dataLabels>
          <cx:dataId val="0"/>
          <cx:layoutPr>
            <cx:regionLabelLayout val="none"/>
            <cx:geography viewedRegionType="dataOnly" cultureLanguage="en-US" cultureRegion="US" attribution="Powered by Bing">
              <cx:geoCache provider="{E9337A44-BEBE-4D9F-B70C-5C5E7DAFC167}">
                <cx:binary>7H1Zb9y6svVfCfJ85S2K88HZ50FDD57HTC9Cx+loFiVq1q//Sp677Xg7jj9cXOMYG9hIqylSXKpi
1apF9r8v+39dpuuV/tBnaV7967L/+2NY18W//vqrugzX2arayaJLrSr1s965VNlf6ufP6HL91w+9
6qI8+MsyEfnrMlzpet1//M+/4W7BWu2ry1UdqfykWevhdF01aV09c+3JSx9WP7Iod6Oq1tFljf7+
eKTXgco/bn5u/f3xc7hep2v98cM6r6N6OB+K9d8fNxpbHz/8td3Ho/F8SGHIdfMDGhOyI6VgFuPI
vPrDHz+kKg9uLhvIMncsRKTFGZNXf7edH64yaH8zog+OavJ6uL325MCuhrX68UOvqwqe7Or/j2+w
8TQwE6e/nIW7Pi+nvqfJDwCHvz9e5FG9/vHhrF7V6+rjh6hSV4PTg6OmJ744u5qivzbh+8+/tz6A
Sdv65AHC2zP8T5c2gXwO4FV1qZ6dxd+El+5QKSRnCF+jJ7bhRTuIC4mlgDfn+q26AXYayd0UP/O+
/QLWjeYvAXWjwbuCNE1Vt7qd3SdN47dBJRZhFr3BVLItUBHfsTinklLryqbRbee30F6N6E/A3bzB
i+DdbPKOAAZ/M/nqZ0zkt+HFFqGMCnntksEyN1wyEjum4GCxCKz5oc1ejeT1sG42fwGomw3eE6QZ
LJBp+sZGy7jFwBnfrKPyMapccCJNQbZQvRnMHwC7fYeXYLvd5h3Bez5hmymV3E70GzllykzCTfaL
QArvCCwsCKW23PHdaF4P8ONbvADhx43eEcRn4Vpnqzd2y0RwREx2AzDAuOGWIVLm2CQSYuXb9+p6
vb0Zy+vh3b7BC8DdbvKOoD2AFCtX2Sq8neW3sV6KmIm4vEmDttdcy9phApFtaO/G8npwH9/iBfA+
bvSeAFZaq+5t0cUUE86J+EVEJXcoxZQKTG+7vTbdg6uh/AG4m+1fguxmi/cE60q/caAM3AWWQMqQ
R6QF3jGxxOCqyVMJ0MHVSP4A1c32L0F1s8U7QnWx0vn6eeLnN9MfvEMFB1uEWPiWcdpYZ5HcMSG3
FZRurbPXQ3k9rFvtXwDrVot3BOvBKg3Xjb71hm+xxOIdSFkZeNlrH2xux08Ta0EQ/HHgMx6mtTdj
eT2w2zd4AbLbTd4RtPtR/qZxMdlhmFET4W1ALbyDIBuytu10GsDrwdxo/QIkN77/vmC8VOn/ByQp
4ehpz2sR8LyEUFNeM1NbiSzM9DSiP4J24wYvQ3ejyf8BgJ8f4sYzT5WC01tn+IQP/t1iD7hgLJgA
e/0FwCbEwQJdmfJDD3xbj/olx3ldDntU3Lltt/FQ18/0/Cz8nyra7K/y9TMgQSr5uyU5k1qIklt+
H8KcjQAI/KopEZIEXS+l22YIw/kDG3zY+gncNj6CkuT08He9vSNQd9c/f6519bbMPiyVFrhOSqxf
2B9U4yBrwQLBS/PQAO9GczfVvzRF6xe2+PgWG1A+XWp93Og9Qby6TN4YYGsHW4wSdFO5MQHGTdO1
dgSHug3hW0TD7vVY/gDerRu8BNytJu8IWkcpKP0/YyO/6ZIhkuVMYjxZ7/T3KNQlO0gIKTi/sezb
zq9ppGk4r4d2o/ULcN34/jsCdaHUjw+nUfu2Ahi6w6GaCtjhX0CLdqgF5LDE23TD3XBeD+39I93d
4wUAP9HqHcH8dZWFUKC7taAnwt7fjqgoaJhM05L0Ztndrr1OmSrU5TAyn+QLb0Z0B9EzfuVpNcz2
DV6A8XaTdwSwq5ogXb2xfwaAiRQCUtPp74mQGRNqAb+/FSzfjOX10G7f4AXQbjd5R9DO9Sqv39Jy
yQ4GxQQU1vnT3hm0MBK4J4uxrYDqaiSvh3Wz+QtA3WzwjiC1V8nbLrhkBwpxwCGRmwV3O0YGHhjW
YskFBjf9MAm6GsnrId1s/gJINxu8I0jdNeidmyt17DNL2W+GyBM3KExxU3F7IkRGOxhRRPiWvOlu
MK9H9vEtXoDu40bvCOHPqyoEyXr9tvQFiIktLIlgN874UdnVghKP5FiQrQrO/XBeD/IT93gByk+0
ekcwO43Wb1p7tXYIsgjm5FdycbJDrEnhJrZ889VIXg/uZvMX4LrZ4B1BeqzSN5UlgkYCmGJYb2/F
4tuMFAa3zBjH1paYeBrI6wHdaP0CPDe+/47g3Ifo6TaKeYtM1pp4Jga6/utE9TERZe5AoiNhc8AW
gzwN5PVwbrR+AZwb339HcO6qal3AyvrGmBJickzELT3xhIlaDJl4Wzl8N5rXA/v4Fi9A93GjdwSx
A5vjKlW8pdEyMFppSvOWHH6CnRAgT4Si3hbFeDOW18O7fYMXgLvd5B1BOwdaMVplbwktMIuYo19v
xQJROBJUEEK2/PHNWF4P7fYNXgDtdpN3BO0ebOhY1W8qCbd2LNitgcStWOKR1aIdDnwjhb1at2/U
dbXnZiyvh3b7Bi+AdrvJO4LWBo7ibfNYskM5YoTfchXbDBSUA2D/JDctDBnuBgN1NZTXA3v9KHft
X4DrVot3BKuj33gDFlDFpmViZolf1ADMHai7IwvK79df2MT2ajx30DzDiz1d4tls/gJkNxu8J2BV
2mTfo9Xt9L5F2kN3BEMCKjy/2nsFugpkWiAe3spinZvB/AGw23d4Cbbbbd4TvCnIRmCxfdP6Hd3B
lAskbuB9SjfDYGMsRFFb9TuIVq9H8wcAP7rFSxB+1Oh/A+Jfn1Bxd+aHu6pX3tVpIQ8OqXj+6u3p
FltNn5XTXPvL5Y+/P0KhHXOw1Aeqx+lGG+voPSt76yQ2W65XVf33Rzh8xNoBKpKDTwfKGSQaUDro
1jeX8A4Q0SaHDQVQ94V9tx8/5ErXIRxpAooOLils5QMWBI6+oEBGV6q5uYQRtyDZxoyALl2gu3Nc
gIAa4MyVu5m5+feHvMmOVZTX1d8fJcQJxfXXpuFO3UtEsUlNUGoS2LACHRWXq1Mg3uHb6H/8MPST
eKiiE5oIfFya2RDYpuGHHh5iVTiJDvQiLiJW2X1TNJ/isUxbz2dDtcS+CrwU5fkyI5Xh0iGOHJ6q
XZiF80LWy7rpiG02KLStLiiWI+kLb0R4WFDODNdverrMwyL1WOvHSwL6FjcWudjVwZB4OPWThWBG
y5yuG7t5NfSZF9NyKByDcd8VSZbAfcu+Oib+IDxL5irldoZ5Hbpx24qVbgvVeCOrzwMzyfdLOubL
Qo++G2hLLAydht4w0HJZkyDx6qqIDrSm1Vyhkrk15sHPqMK5RzuRB3ZAat9lndksaz+LPV3XdWDz
Mk9ORmKE39s03y06U3l1GmfLPEOGOwaWsSiqNJ53YQ5zU0GfeED1aVFh7DEmil2S5ZVHslCZnj+W
RlHYV/eo+ihZIpnmXt+UEXGCoWg9XIWGm+gxWzJdRl4w4mxJ0izwkjEny6rmo51KeZL33FRO3Fv4
OBglLZ2Hp8hsvDyXqhh0FIQ35wDd/fM/5yqD/66Olbn/cDpG6P5f87Wacohq+0uTod996/5omsmw
7s6p2TLX67OIfmHLz178PUOHBfdO3vyUod+fZ/PAxqdV+tbGgbGEaFwIAbtrgQV7aONoR4BtUbgG
5xPBprANGwcfQ6ANtaQFZyrc2zjZgZMxrqJ7YoLQFi7dTsIGTHB20xM2DtWNDSOfbJsh2BBhgg5B
EkgJwNE8NPJKxA3Ks6o7TjIWumYTJk5CfOJyQyo7U/RoKMYvlDWWW8VNaat+yG2G09zxGS/tSGbV
rh8GP2WULw1V7g5p5hnZENpNJMb9pE0Sp67D1B6E6pd9gWdQX9O24N0ejnRsV0mTu4HiysnTZD+i
YWAbVvPVt/JPfunPqhA+SETSzgqZL4eyXbC+0U4Rc2oXuV4bZWq5IIK9EK344SfKyWhFXFqGF0PS
HURyyGaJ7L7Ct46oyjM78NtZhFjgGEnCZz62nKjBg0diw1G4r5yGsvNKaeExs+xs1Rqfhjr/FCXZ
aWWoy6hB1iwKyiD2LGzq+kCq7HLoqddXwdexbOZV5Pd2G3e1jeLqdPSzxEmH6FAz61sr5QUOhLR1
l+xSji95M1Y2Lv3GzkcRemGrTzraHAxpxWDa62PSNTDRVRMteRZ2bhNGnomb4zo3LkVrlja28top
+mFRDX4w6zpu+zz150kVun0e22F+0FRqdCrdXpiaDPYQDtjp9efQ2NNjDfAUTleZtvE5CYLzUKfn
dSW/DqRLHcILz1eFDT6PukP1DenYRYmwQ1O5Zm3OyhCbNpO13YXHKGkvg6KdhV1xGmWtw8PeLUN5
YKaNEyLzuA7zpR8PX4jZ7dY4mmV8LOwxSZZt4ZdeZZZ7oq4Wef0T1/zQVPVRnPrHg8+/V+XwAzSL
a9/0L8jAV3E5HumEn4uoO6tU/HOIA49G0ScdZiejH8DBZQmzNZefRhElNu/HzIkkWbOxz51xlHuJ
qYXdkcaNODrnRnGQ1CR2mzhaJDha9joMnNQq91k/Sieqaefkmv6MA/+8UwWyy5YkHjEjaReoMb2i
ztY99wenrOFxCj5+CSmB2xf83Mrx16ZWjZ1olcyssv4+VZQd1lYHeIxT22hHw42rwsmYOE4w3YvH
htsyN2ZB358wpRwsM+pGQhwHWTMbMCptH/RD9qjjwWlMdNTIYrfrg29VPVyUOWmPZJZf6KxbFiHK
HBawb52l5tGAO6fjau7ndWeXutiNUincLh1XEUtmfRiWtonHlTDVMayv2On81gDr7i/8Wn31UVza
Q8LWJR5T0HsxPIfL2g0SvvQpWIzl8xkKZeO0ZbXOuiH3SMSXpWkpN4jDaLfDOJ13RmV6fcoPYhYd
tIao7aoZmd2IQNmlDwMIEpLOMwVj85PKHnRH7WCsk/1KR2A5OinsGjyRP1TfG2Z9HspqqfLSdMPR
jx1kdO0ijNB3Eurok5n3MP9SIJtUvXUpa58fI1aUx6JS/rlfBskBz1iVOG2jcltxFu/lSQVw4qiw
u7yI9lNuRTPNg2ivbmGdtzjSB4Fu+bckKDTzaBYNX5BZ5gurAg8UZmH+raqw8SNP6nAPihvpMoWo
R3ppRLAr2Si1mzalEdqqK6RappWeJTgNa3uMx1E7IhH8fOShGg7KMsg8rrmAZgkNIXoYZkXa+A6E
hZFdFsOaITbCVAgIN6zosKmjyg5YhewwlccS90cQJJgOprqy+RjthQ1at02nnRzz2OFtTB1Vp2cE
VXN/jIQXtwV8kWvDiYI22OfFmDp+agq3xU1vl9bQeUnUWbZQ4aqMGLItFXmq9lunloG/L0VLwCD4
cdLQwLZkldqgmsGzRtfSxX0vXZogdhIMjTkzrUq6ozS6ecnMXR8pZpdpleylY0eczBDsmA0UO7Vo
z5qc5DbEtdxhfn7EZJy7zDC+t2HeOSrwLwqiazvkrNmr/OJkgNjHrdK2228z/bOqRzxPcrJPi3h0
ky6CW4JG00my9vuYVHq/xUHkVNUIs1gms7gbarfg+Sfqd4Ndsj73Et1diKH+UkWBnlaJC7Mk0qF5
9KMruto1kYYVLYw1OP7sU1znX/MC5s/M0sLOI4Mc1IZZHZWJ3LeGlCWeUXzxWwjeG7vJyjh2a639
0QtrM0oXOmBLI+k7dtjrAsnCKRpwJd//G49dJ16QhPw6Hrs6seuJnGvS69zEY9M2bFBTMgzby6gF
Adl9zgViSwYJFYfjBGH9JlPQdZ9zAUFjQjomr2IuAQHebc4FCgQKCZwJ56cg0A9BgPcb8Ri0exSP
cYgHoVYKXSGQhcL4HsZj2jD6mPVdcmxZEbjo7CrhUW6c6UMZ0EULHspDCRZuFPJlYbSwDIt2hlPj
DCf5uR+3ngoh91ggmnthVsyL0ihPhRkXrtD8dCiti6bzF0E45m7ip+CSVbkvsRE7Y0Z+orw7HQpj
joLxuKrMQ1gIW/C0/HsWWeWcZkXiosA4r/1mQYbCcowirz+3pCgcSwl4rcE6kW/A5wKlNhFlNmt7
TDycYMPmGDVHYM6JK2T/VUQktXFBck/GiXbixt8NayLdIdZOgySaVbkobAPWTWdsDGWng3TKtPlO
dQ5BBgrsprIudILdvpMzo+PrUrJ5Rtjc16lwsz74Ehr9jGoVOH3RY4g5/L3aMk5M5oPz9EnmdHF3
2hQqsetAOoUVHhSZdoKQ5ofKiuakIu2sRgT8N5WLnhVLIxq8IDb2QIjvpDT8imkxjyrDYSbeTYne
VbW5N0TwmchdFWQHMVEe1hyyWfAoBl6kdJhhLr0sEYeMGbMcQqQqb2c6L+cx1bOuDAevxZVldzST
dlyNu01f79UpOy8z46DojYOojQe9aik8PmkprFKQeaT+ftizHhaBzhIalh+aVEcqUBGz0VDj1K7E
aMS2EVRx6rBG0wXvB3Lc96NeIAV5bIKEtcAo84/NMhQ/JCwuqKz4UoXEcPtxhFSAZHwRtUl7QTNE
Tpoo6xaD7tPBKxLaJLYYjLiYQ+KfLODfKLFxXY9LEMAWJ/nQrkhVCzdP4t6FKekClzUs9USnx0Nu
cDV6AdfxYc15Tb/4qC5TO00QDd2yacLDPMnlLNOhWBocMm0I0Mva0yLlHaQeZmR6ipL2sDRbnDna
/FT6hZ/YCYWlxDL7JnVbmoWJLUNDJLBUUbtrA652TbP53lRZNA9okdm8tuJlOhqWm9J62DOKrlHw
HjYC4vOqpuk+JNJzOaTUMSAniiFOsY5QVAWhPQ4iRF5ZJ0AEsHqEl0omeR0voojwaJ6MZTfL9VCd
Zo0R+m4X53us0H1sFz1EgmZeOcEY7/Gu+RKJLLENTfZIj35KoXZx2M0wUBjOAK+JXag+sBWuv0gT
oqYsqKlTlT49szix26HN54msPo1FdFH46ojiOoYpaJc5nELkmRAiOT6NfsCe9yOWZ05hptpBpTl4
eIA3PCv2w1QvjVodd7r5lDfxgR/JY84h2mRM7TVwsC8NIRXBoaXtkVHPzNmsjjh4AlydK21CnpCf
4JQktp9R7lDT+lxXlNv/XdCuFzTI+p9Z0G6OKXxiTZuqsvdrmgTxBaIMOIPpCLcHa5rcIRj0VHAu
CZR7gdG7X9PYDuw5kAxOx4WNQfRquXuwpsEJNLDdb1onryjG31jTpsXxAY84UQycImAq4BReoBGF
gKrjwyUtjjimY5iVxyViCEJ3X8btSO0e7KHJjMh31WQkEMJ3s6E3RDQPO6HjBb+yqEGbGdCOV5ZG
SwFWVzbmkX9liWFZUifv6ZyLiKf7URRKcO7lZL/JZMrZZNRsMm+DgKHXk8mLoPoeQLagdhH4A3Hl
GYCkBS/RJE2bwqLIc1tf+RFaT+k/WDVJ4+4wvvI35ZXvsXBXe4GYPJJPCrHUQSNnenJYyZXv8n0f
/Fg2Bkd8iDK8XyV+sLDKqEJLyKwKu5VGFpROInxizfIiK5FrWHkzeiCIhUCxZiPSR1YaHwaoBpJU
RI15XKFxzGwrYSUYo4mazBZkiGubRDhwgjYTHqFB+6Wqy/oS0ziN3Ur7rWVrnWLDaYtMYDttErdL
WtY5ScCRjVkJGRqJLBLMFW+FuEhTo67AM0QysEMoVxyFo9l+ho1JbbMcgApWdlGUDB2WnJf1UspW
zwJGosTzB3TwX4u/tngI6X5t8XfHVj5h8tDw1uSnGj4cxQjHusHJ5rB3E7zBXekAtipAqQlRbsFm
bSgS3Js8lA4ExsAbwh5uE9wFMP63Jk93TFBFc8kIAbPH8rdKB1Nl4GHlANgOCrQlHEcHsj/Cpj0R
Dy2+SIYSxb4qT2K9xOJbl1qeTg/1WLkPpuYJ+hLJyXfc9wS9gJfCJgb1L2gewLtM4fSDGoXJR9GF
eMhP0vTUkAMNL/2gofu0s5JPlZ/IAyZZ9CViHQvmrUbWQQ55v9d3RfCFD1KCqTd5tMhNnqRO33CN
7FGUdeYyc9BerHSyl7VVFuwL0w+AiVHpChxdcNYaclyqBGwlatNyt+4l9sYqbE7JROcHFhQ9yoni
HyayX020f690tiynUkADNYFhKg6IqUxQXlUMmql4QKcyQnhdUJhqC/FUZigMHfxUWcfAnKEI0Uzl
iKKDtGCcShQ81MAdTmWLcipgDEjnSxU3+b6QzbmR6aKBAULJA6gAqH5kqebf/DgcWq9g1UGUjmN4
qnBb1k6p+G4aIMPOwto/Nccmb86MvisTO9LhnlXVP40c24bR/kyqeIGL8IvfjS7R8d4AcbQ/ZPMs
bCmwm1UJ5Gp4YiSBqxs0Jyib466YqQ6tIKbqbJ/k/oKXBpszxRI37elpKzoa2zmu3DDkB7LL9hvg
zGa5Wc4TZS3DoRsulFXbgWpTuwiiU93Wrih902H9IBw/4We1zxCwm8apKilUVzJqzEjPDacbCuKN
uGoPA0r3NdUYSinpMuZ4GQR0Vho5MBIQpOOOnxWwFtpdZCw7queyhve1AEaoNGO7R9ESJ3Gxl5Q1
AgbRD+yBUNfKIRUYm7Y4J2VWxQ4BZtnmeXeYB3hGGXA/Y1xqm2DhVMial0a6MLL2Bw3IwsSJrXPZ
21Dl8aJG9Oco8L+RWvoOKyLlVSmWP1SqIezuPhlD4CILOHJgavxFwibuHYBpRlTPgWNYNzAWUfe7
dRl/QyM/U7GVzDsza9zUymzaScMj7GvNZOm17fi9HKOhBlj7+jjXTeHGKBydpPWdKA+PSBV1toGS
b7iuDo1MrkpGR5cGwyzVwUXMlA/sv38W5b4Dryu8Nyk5U/D6DayM1s8bN/ipZ00bSuMPTRuWRSMI
ZaBOdP851WcoO2sK78+62PJThkGhaqqhC+qvwvE0gOShaK7XMahY/aLE8uRjMNibS2GLLsRnm4+B
aWYYAijPE279ZBYQemrxmoe472Aq4z5wgSmODaAjQ3WSoHM/+JKgWQCW+HwfECY+i8VWH6THUOkR
Rn7SIxeFLt3jp6Fw+szt5/jrn3W1FS0CXyYVCWG+DGQPu+04k3SXn2SNRz5Hn5/v6uk37H7mtrqS
YR7yzISuCnXe0os+/qzz3Vd0QQjDIKKdTnycVsoH4Ix9XPlCADgce7Fv2UDLQE1l7/lOphrd9iI4
RdhwXCicLGlaW+gURKDQYFidWFXmJfmu7D7F5qr2IcFMz5/v6qkpgyO0OJr2m1tYTNcfPI+SndXH
aChOEpwDJe2QmoIj+v58J088j4BsxSImBZIUfuRhs5O44L2RoaI8SUNhA4Vm07JzGutTS04S/x9C
iM1Q5SqAgL6A9WMUg4nS6c1/8ECDpaWfTH0Zge9k5X6JgRyvLnH7D1a6mQQ9DlS2Ji7wJSxWsN6c
6Fm+bOZm4hXKhdWnJoe/PXkbEdHWG8fKWjRdBC91gHfl5+QgMWYxWshu/nw3aJOovH2gO+OZdjM/
nDih8YDjLlIn+Cg7HcZdKGfNyZHpLwdux//Q2RMgwTPd9UW2Xoh2JEnU9NCXLF3SuSo+ZM2cIe8f
HunpYPK+m63lgIdW2PsgozlpvHxJrHkN1MkSH6DdIHcKByKMwrkx3Rvl0vG1lV6rbh4KHB7qHd6n
cIICRr/OcrZ+6eleOjE1u81x4CRc2AoGJ4bB+QeSggd9kOOYO0TCggpnI2N6nf7cU/XwooAXhLQI
TgK0QAN1l+NMElrGJmpdgLpp2hL4G7QGbByFN/ze7V5JJxiG0cHZKrAnGJRSmxbAmlYVEW3K4yFj
6SxqmGbr3k+GyBuhQD8GwG2yNo7piuA+/9SyWpmHIrfkflhTtGDMT8xTZOkQL3SoPBPJn1DLPBuH
gHZ21gx8HpQDSmZ+pvLTgA1hd1k15VkWi7Sc51WYcmWzMDntQaKQg1SBTpqFKkiFV4OMIZ/0DEr5
Tln1g0dLC+Jk0DxAiRbUD7KdyTTJ7EiZRzEIJMJJKRFVzQEB6YRV5MSVIKYARuBHDOKKWBrIVSC3
QAWmNp0UGD1IMeo2W8aTNkNk/k8Jag05qTZAvTH4/s8M5BydYSlHTwoPa9J6iHbYoynXtmzJDAiY
HtRJoAwBGVni+PUw7uuyDe0eBCSQOe4KEJRAPXUdTgoTOWlN6KQ6CSwEOdukRCGTJqUHcUoKIhU2
qVXiSbcyTgqWeNKy4CIFwULYXqrWmnFfIRs0brvU1F97BdKS0vqhQsNLoHY9JP3MyJt1Ibp53Ggv
TPEeyftdIGMOQmoAaWqYrlBj6dEw2x+UwnaGQMbGu3aNgn5pJjIjC1rkSWo3+cRXSTFGFIqFXzRp
gh+G0YCYrU1KE+gqv8vj7xkkHK2dmhVhS0EjK752Zf91K1P4/Gu3cve7AU+QJ9Dw1rFYILyCLaZQ
t5t4zyvh1R15Anv84RQ0DmSCAGkmrNL3foVb06HcVLDpt+KmIOueOyHYAu0inwRUV61+y69M4dq9
X7nWXSIMP4EEu2/gLMXtjCGgQ03z0A9PeGnCC2XGF2DiUKeI2gsu/O99qYxFZIEWsE7C2aCBDzZt
PIDaB2oT0q93y6QfRg/EH6w57cAuAigkplwEx7GBkNMMBgZ11/CpNzBys6II7bow523rp4uWRMf5
kHzv6gqYhwQUSqUY0CLO+gMB0bIdcaHtPE2XoFzI3IbI1GngrXbNyLgIm+wcqXqPWJYbp2zlN+oY
j6x18yzcDVVC7IG2pgM/L7IcW5AAQHaeQa0pJuxoLMHXSauCKp9RXxLaR3NeQZkhLcJTVLNhXpVd
fxL0DXNyZbUe6zAoT9tAH4X1oBNwnUPsglS0PuMDpq0tgPE8ayDcqh2DWD0U/Ct2AYQlcCqoQea+
CMsUxFpd+DmyoEhUYcs6qOquP68yqCJWeR6ddWMc1gvZ1MnuwDXbp8CGxhCsyToED2iSQ0MY9bEV
D/Js6KLhstJj+DkfS3ogZaU/p1AU3c3LEgpvLcbNQVdU3Ry0rSBatSb9aq4qKOySTuwCfctdOulc
RxWnnpy0r0DJG67RGMNimJSxaNLIih5EdTQziS2baglq8vMcZbvAAEeOFYOONJnUtmMBsig5KXBz
opLWs4xc5HbB1AJEdOTyyrT+62MwxO7P+JjNo+PvQ5ep2a2HQWxHACM5neMPh+tB8HIfuoDKADZe
AZcE8k4Iah8qu+H0CfiDswy4IPBbLQ9Vnwh+xxK8zkTf3tzwd1zMtOHggYuB0AV2/sHWPjjLBBhk
0H5uRbpGHlpATdHhKPRplbikt5KhPuZink6K1U+891v/oqzlqDkUTilIp77LLkpm2hDVMi6jZLeK
hO+0IiM2htRq1gR5PqlrBq9r+8gZy3zcDXsouqOG4r2izSvXhOKNx1PWHXERghDP1N0SUT87KCuW
U9tQfr0MxmA456DZWhgDhtr82I/BeuxAww0eDpWJY1TE8sa4ZyAqa9WyzfOsBKfQZh5L+HDWNZbh
iLQaPN764ZGKJVbA60KVBdSvZF6DcsB3EjUW36LCh9ILqPsCW1uqP5Fj3zbu6Ne+ZxYZySDeMLho
PAWc214GonCvmQrlfWFyF9jv5KfIysoD3XW1hHQLHiwYc245YToObs+zbG1UQMgqk5PF/2PvzJor
tfEo/omYYge9Anf1dr0vL1RvBgECCYGE+PRzcNJp+8ZxV3deM1WTqZqOWwYt/JffOdIjV2fSGaPt
NI1yU7CQbEXBi5UbgSjS3COZpNYFGwqxqlg37jga6KvIjkr0WOdvxsz46wWrdhiyu6Q9Mc8TIYBQ
qYq+gKMLWBLWzVUbcE2u8EVpZvB1rTgrZ5AWt5iOCuXVooz3Eac07lIaS0+uNHVI2joUaPm28L1u
KziP0M0u1GTd/XdS/NHKQeXin0+K+09vrsb8cVIse/7VSYHqEHY8sV9aNd8DEXBKBCLNMMK6XHIc
7NDvkchL4xbBCOQhDv6VBWH6EYnYCBtg5ooGDu57gjbkV44JsmQwbyIRD/rgRUmCXAoX0bx0dl8V
R7oIfUWnMfEF9ftu1QRxtWO5bx/8UfhJy4ceFEaYJ26Vm50Zqq8G1RMAoMFhDIc+UzpmiKsD/7Jv
5VVt52gNSN6uVQz0IZ/xCSaCJCH2TVq0YsrAW8ukE3W0hQ2TnVZtFd6UuSoSGcxmSiok7m7i+uWc
+B2jiT1XqZnxj0I0Zxat+mvTBfNX9J6aTHMxbecy9NIgACJlx5wkNADgQwde7ePebID10QRHzh2R
gcnAmlJ0faOvukPFXpQzAJwZmI3FABIrwA61a060qtdcx3eyM7dj0LZp41jownZ1AMw7PKGKNHvm
N3bq2Gw7yPi8ohwNi9z5Kou63AVsPHOjiWa96bYoopdAQEYOrLo6eKjJJ3OJ9ggf4k9RSwHCos/R
8N4Gpc4B3pYNP9N+pdHODYezeUD0VMVetQIgTHe5mPwru3fDjEvbXTkBW4hOP76pWFmccwtQqafa
fW6LIfGaAn+540VJ6Eo3BZIIPgaY58Xssmfl6m0oBZhErssEoqXnCQxkMpH+YUKklXBbTqnXtdEq
HqLxUFHrm5MHKyobEDIypqnglpWBNg1Sry3xkhW7H6qWrVxg8lvexCgadmVtp0EZxClqlnw/68HO
rLnb12Xcr+2aj5mvbJ6YgT+prn0wOoLQhzZo3MjQByoQAKpx/MdBTOdmrB1z4eARLJEMnTAbUpH4
i+LKufa1VGU6aNvwfVh2YrhqK6uonsKXhjwWqn1wLGGP12h/o5z0QiKRFyhpwZPoC6nEFmgJDBCA
MnBMSkl+2XvOvKuhpwDuIsN6KxUI4g1hQtXJ9MJEDQse5S+gVLkgU+ECT5Fq9DMtjZXZC1olpEzm
BbZyX7ArXXtbe0Gx9AJloUzoH0w/B9v8hdnqX/itgMVuk7QvXBdKJUxeoBIL3itXQrKHuPTjekr+
O7VfTm0P5cV/PrX/vObj7xnk8mPfT22031FGwv1bvotLE2H2+CO+wy0iAEGRVLr+C4uD0Ov7wb30
2F80vq6DsvYb5Z4PST5c05eAbHHbAMLzCwf3Ukv+cWwHyy2d8GmHrscN/RBx3vLnr45tKYWSMogZ
9AR3c/VYAVrDkfDH8vjHvpazJMOvhonRaIiQZ0Q+YINFPBQeBZG1w3jA/LG69IYOWMmoyz2I+eui
JtF4aQf5kMliEtuet/aCrxXB5dz3BFKDGOGNBUp8FVduuWO2Gq7ieTztPFHViVJ+CwEB7lrac26l
pSTVSWj1obVDp+6ubuoaxCHl63ISN9QuCUmHahjZpqvrduOMgH3wxQr6FWd1O12PcwlAfQ6gvyjy
BQ+Y8FssvUrRA9M3dVKQ5q4FsxgU+RfftDvlSERd1sYNHoUxpwIoZszKi1aZsyAE7gKKxwZHw4iV
1LZ5CLy+38d1802x6tHrpHvqzMy+x4FwX1t5/STVNUXJCS0FN20h/6H2SJPcy7dGlauW5dlgNc9l
JcYUKr11DwxV9fw8mvR9N85PVfwczx4O7WE4jwYU7No8Pjhd9y3g9vnErB14nTtqOddW7Z3F07zI
Ai54a/aiCk4H3BI7N5DFcDFsejffq8Dbgan6Jmb3sgzkCjqb1A+iC4JyWK15BgAaOHvl+hlF2Qql
SYL2hAOAdgTS6rGeJDPUL6lrVeiT9/OU2nH8PDsdSZV0TNbozj3Ynfjqaw2acbDyHZX2GaLoKivR
H0fRge0tYTGx6iZnNyk3K3UjVtPgqnUrySWprKTgc4/63rzvS4OkAgvHyvNwndtc3Y12DrWN05+H
ajiLJBClsfIOVtl7K9ifO2MaVl2+k71TrpCI3ALmRmuqTkNMVRgMK6W7k3y4gbjuotfToSuigwj7
O2L3a6koqpL1HVYY4CuFjGBIfddCZWBe12W0R4PtQSsnqbXeNspbA8BOFKQKds+3YGD3LUHCHue/
3ALHDiMeDAlhSIktjd7e2408krnAwi/YZTlscvJAxNptn14dboc/ToXXKt93NvGbIZbWy6uzgree
oiy3mss6WDv2l9y592c//Y0xQMY7HryOI3c5SF+PAda4ESLk7JKY8wKF5QkSqjn4l4Mgxn49CFAV
WRRRyy5HaDVMtCL4IObeTxpR774tEJNI7uG1gXP+7SChP3mWCEN26ZcQyBQ7RfE/PPv117VwXR5E
3O4Cd70dxGeAnlDxZpeRSttCJwS9Qs1/cnwv7/zHN+Ll8EZZ4scgS7/y1bxHtFIRR6J6yeNtRG4G
fx0156O3e3mU/2pEy6R8GEP8dXPZj7Rv+Zm/Agi4K6HUCYclmAZD1YQo4Xvmt6B9kJPYqCLAIxqu
ED8CCHhLY+0tNvAoX4Pgw6R+z/wQdZClrYXPNH4y/rXeFqpBb5bH0ttyYCTj4hpKmAmAKzha6HU7
t6KUnBxy39F7KOpZl+Rjsw0JMinfUhCCVUaMnxS1opOBxs7n0a3tyy4n6qrufTeNlbhzabmDQAwF
EiRFhVe1ie86z/082lkUtfVWybDfDI11MQZTuQqshqJz4z8oM7lJw7yvtaxPp1YjR3QDFHC8w6gV
zURurqrE8fFRK4Cyt0GVvmhlSNCSDZv8Nm1DSVZERW4CIc2dq/B5J/b4rKFsXTtDZ53qhltLWau8
cInaIaO9lZ3zPLLuEd4KDZSeFTTKfdtlrmFXTAe73IGngJS9zHrt32pbmsz1+zCNW2jgSmldCKtr
M6v0vkkIwBKoU/HZ9eRnJ0QGOAkNVQ5O4SxndA0JDt86odgytOK2JpcPeYFky2qCm0jbE2rg/tnU
otNM53VTxGQ7cgnlm8Xu495ZI13ayVnt+ZDb+D/9rZiHR+GWX0s1nVtRGUBPI/iQFuGjVm0FyWDe
6dSCJPjT6De9uu8EvoagNjOAil+1rdcUStQMKmkrySuvy8LeeypUP2Y1dKLJqAI7AeNxYkHClrpS
ntUCD4pkxc7yGd/T2IGPAbKflDFIGKgrz8JAXXeq5Ink3aawuw0j7Z228HqneJ2jKA39SJ1I44aJ
ZB3EzBhKupldRJApTpexKSaIlYerELld5rfBXur8TBqDTLjtKbqII8RGL3+DmhLZ1G2S5+P1IhLN
I3yWIU9otqLWD1HrX8UKqsV5br72pdobLs9mVaL0hiSXdiqzZ30ZxtSDHkiqVLfQ4nUy3FHd1knX
o3YfhQrzrMbVWLkXuqpXIhQKHGZxL8n4gLLljbT9vWbB3hV+kRpvajLThlBaBSes1Vu81UwUEC3X
npeNoD0TGoY3QEm/uuHwyYktxFJsTnLK3JUMG8Q6Dfvi0aHqL4NYNhmW8Znl2jvhN4iLW9fLFLoX
VqTapHWrC9pWN8ACq3QQLkoQg6BpgzSftW6LNgt5tCX6K8pCzl3M/bcyiAqUJ6citaf6yp8gB7Ec
yBF7aCi7uoewq42gH41MMlgsSozbyTRqJwvynjFPxgYirHrIqyRv9VdS9e3pUIYa2xBBYuPzPlUt
pNMDAvqkcnuWEFo1WeS2zcUYIhGPtQGd2jqZsPFVIyXaGtbQdJuwbc2FKXSXjkR/iqkJUlH7NLVc
/rmUc4mjpxOZnrChsR54Eo4RQ6XExbedqrSsBi/JY+vMwWZfg/83iTPnYETddsPoaG14nie0Bovv
GDeAPm2RqzAagz1tKAQ38y4ggDmnobcSu7RVMnX0qSC+2dmy+9Rbaocr1NiXXvo3dsPyVe+Dxred
udnDDGQdRlbw0GCznJI6v6zn3NoaEh16FzUYJn0ojONHVJmHk7qVztrRpj/HsgMAXHbNupDaRm3I
P4HimWQ2JP8r1H/GZAqcPWVRAUEAitq2gt2C01jfUMra6rr/qgSZweCjfgu5xNloWYjY6xEC/UHu
4iXtaZ0q7XrvIWDz2Sxq5CYGIUoUDmk3uWQToCWXGtv5HAAc1XE5rZpKKPAB0ZAYL/riM/d6iIND
0EOP38aIwQ2YRV00JXwIpJ/MUY+3ZIZtvGj3ggJlHCrFJ79kGzJ5KYpOd4UpzqtotpetcCoqjyZj
NO/oqK3MiPamnVqz7jqVem6P6ko3NZtOqkessu0YRWdSluuqoWE6tG6c+qPlpJ70PpPCAZ/Khr0f
dU0SxWzEPDRe6po530EBr7ICGQFUgX6/sfKoSJpWFLteOLctWmFZiRZBIvUUJMNEv0LOt/dFBY8F
l+0jo8RK1JSuaqljHJ9+eYW/IMK/Tj9VBf0iPSz9ue0+D3N0A0W4hgiD9xBA9vuZOEk+xMiktJ3G
JnrSZtyMXn/aeC7EYJVLzqVkmoIKVu0ZzA/SKQjJWcPJrreb4DyY+xMaVV9cZ2qSrvZUJhSB+BCa
bIjLBkjn4hKab+w/S7k3cO6dUt6ZdQkbG8xE8dDQ5l5Uoj7hVblXUyFT1U8o0zHrvJqiadPji5GX
RiSQWYPVzd2Nys8bo3FeBWc4Sc9ZAAMKr+KQduX5Plq6m7HVzPuaDg+UW5jz+DC60kOvkgSpS70q
QU3zM0ipOXEjZQONLlYFvsgbGgUiGa3ayvqQXOQdey617LZAoXVKfCrBbQ3n3WS5Gz02d1KU2wYS
Orw0yZOmt59Y3Mwr06I9o/piTqIepzEcDmHc4KPKbBXXtjDfanjYALM/c7ErU9jd4IgWRCa9g384
rDyreF3sSKNPB7gkrPPOy1Binj/9F9O+1MVcIHz/HNP+uJXr76Wx5SdfRbbwewaa5bgvXUwEvX9F
tuhiuqBGYXmD+z/d5RqjH6UxFKvgkoP6F0RpUfgqsoUHbYCL5xCJouD2yz2NhRp7lfiAroDYDVdQ
QiqylOfQCH2b+DhtqcraMuEB/+XmTPpdfGO/eDI0L/4MDE4NSLfg2VC/+DfkL14OHAqPjDMqyKoz
Ir9Gs7DU0ENi35shRARbCebsoqiB0wpEpgfApk5CPSm+VSxSBx5oJlNoq+YzZWu9yTvUr5NIU50j
YjGoyPczByBcwI9kYSCsGDSEARbByHg3OWOSFyzxYnoSA58wrEc4vRAVDGjFLByVEcAWFNBF4TsZ
bFROCsAYM6CM3KttBLFBk5qF2Ji9alcuDEf0QnMA6+AL39EtpIffgoRigD9GQCDjQoPwYt7kkpWJ
XkiREMjIsLAjqDc5ab3wJPkY9BnCKxiutGIVQz5gWmIjnJrWZhygVGVNs3Yb/zQM7M+BcA7WwK6R
UEDbHslTX85zFsPGBKGNf9J5XZS2vrmcy5ZupMTTKTp12xyIXRLZ8ks/FJt4Cq+NmE4sq3eyiNKz
rsa02K4V4u9Q+ABac6rCkmfasG7j9gA4JZMjMnXnpnfmzw5S3myCTmPLHZ3FL3YbXl6QjC8eHP8d
E38cE4AZ/vmYSCFRNO+cEPihv04I739oXLqoUiOP/aN/+dcJgStkUe6CIRZEq6iDIy39fkIAzIKG
1UPPEw6of/RKv+e+Cxyx2OQtxaWlrP7nHbE/9Bkf2d69LfEsxXMP8Cj+4zk4H3AWvT0fVEFt5L4R
OfTRriZZTJ/y8GeigMW289UhtFRf8CS4IgrFMFjrIXV9O0jjcdgkjLV9yGfx3Ef5WTzeFLWWiZzt
dVxV1yIaH8BoOIjtpwxWERszqpPamWFjAolm4hUo26gSgUGhyJzGs39pj9xPLC3XQVx8lsqKVoMq
0Z5cJDsEGVM6WVOXKBv7bSLNVl+NlkzJNK9YDNw9EmdNP2/NIK9EOKnMJROEui3y/1yO69owg9+E
DdumC3GWmEFkYWPuTTPG6eDzLz1q3lYZ8lTo4MRE+lBUY7Oae3mhBTKK2lXd4tjAEl5jVD13QdJV
0W5g1h6V4VvGwylV1XhoZ/Mw+qO7Kiagl+0A7Mw/VZbo0xrAW0pnyVJ3cHBeiuCk7gy0SpPLU8Po
CZNCrHHph4HcPcLv6LAqhdcCgldfXcZudatL2sNwDNiZrq8kzxEHFwI94DbcmRYvye9g+cJ8WJMR
B69raWBm0gR7e/JPqOhphmbqVwGSVzTOfSh7a2eP3onbKsR4FHYXJDgNOxjvQQ+pMyThYL9EEO7b
3rqGYA1RStm0aChLugrd/LwqxcYW1j7KHZCqc5vMrricm6mGo0VCePwwWurarmk2jPwxqkPMZAwC
r2m8/ejBugocsZvWEo+kp/DKbixIsYKnzgLZ60OGVo/+1itBhvhw0kkAwFAIhdEHmhrwuT4Lk7pp
GmR6zuccTQ1SW5uqcWRC6XTW+KReS9LO981gFfAFgRNX6OwbWm2YKhHwjiPcM7izQw30pPLmAxqo
PPPnaheU7Tnx8o3t9SYp0EwonGJnGb5RvA1SvxR7IeI93IKuTc7jNTwGMtfp9bZHUWZVxuVpZZtx
R4qCJHXXTVd20dwC+0ksyR5DzVDOaVFOQaP3a90I+H+1tkzsohencWUeaQm/hq7kwxpkS1q3VYnE
SWQybvvdbNwR6HCNejkL17DVFKeTrS6klz/0Vb0loa5XfRXcTJ7zpQnGPcKU60KNaBtos51HfB1b
BoI5kAz5YwjnMq/X+1rm3QpNOC8VQT8lw+j6J15c8cSvnueAdZ/dBl9Gg3LBltXjc6xDFSfhUNdP
PrxE0qiLUW9gxt7qCnSwb0/tNvZh88bR3MsM+uCsITtS5Z9eWCGkaqZZd+gGwJWiBWNQS2sdG0oT
CR+MRLnzae5NSDC9c1QpbsOJl8ihqNA7FvZGJXpwTgvH6Q9WRG8GNqFgQODaAQCSneDAPakCblIV
DBet6+6moryCpGkPtvS6NFax6juU8jTAw0bo0yqKz/3BzZCmXuhp2gFcW7DweicjdJ+8eVPQwUqC
sKngJiUPyiNVYneuh/mgHmL8Sm0NLQFwuOPB78wOPToNSTwqB85Q31Pf2XcM2NoFWk5JWfTuZ6sK
q4uoinmR9iiYtInoXXcDs7KziLRbKvlDQNRpwe1Vq+PLqnWDzeSQzwLuTn3O1KYZ4HTns+6pqcvb
pvfvh8aAMIW5C59974qVPqxRpnxez9DZbgqHqm1Hu/6RW/lDWYs0qM3nwg3wy0ApiBydG7EhGqrO
Cgt1jipsQb2Fyc22wOckEVG+9/D0qFqWIZxCGrWGo8muidvLaIDl4IBKCcB9x6CbJ1ZtiRQ0Jt8A
TXzWqNog0xtXodTkrFURMuygQCUtpsNmaPUzr5sHOoDwKCqTQLeJ5D8CJMrpldXEz4xWWxkNdKd9
+txY0e0SUnEyrTv4/1FerCcyXzoeds44ld/GPs5QHLgshjHchhatz2iBdoAinnlSrpN0c36iYPdX
ispfmVknlRi2fRzcFsK3AQHzb6Fubn09nYxl41xadDqtBwcIhwOPBpQ+dvlkdoWkm4YWl6CMio1T
F80KNgYTrBi8SiVljEIo6H1kuPBaadoQVafW3Xe1DVO3MF+xwr/rYLRAJrNWKKlF0bc4J5CqygdG
ulUgOdiWeQTTy2AcFPopcsmNH+KALYW34Zw91fawt/CFnblBQZVNaESih2Y6V6bcK5Aew1tnkmvb
iKt5Gu5nr+0Saw6fRddf9pytUXk9OBRChcI/GYW9sct47RpgeaU+aBHuu3JeYRvt595Dpybc+AXW
fO/PcJOrHwx00Ckakyg0edMX3anb0kwoBdDh69ABZ5qgaeA5fAc9dzdItfWt8KCrAP3iah3bSwF5
hFeRTxFIN259XsbOSa3by0C59wCY8ZWd124eoxZrXVLHSnMR4GNmuS6Mdd2tjVpA3hsXn0a1gvlm
5gXdcxsBBPSDvlqNEnm/6lBLI0U8Aags9y4+/6rv4BEkUejqghXY4i2qc5uWYrlyNcMQwsbulWkt
DOx4niPGr3lQUdDe1Eq5n/fZhAZtSFAjQ06yDRdvoNyPZzh5tDhfUf3DKdQVsLOxd5PbF3JroxRJ
1S93tlwPl1bgP7jqDYanR60LgbqSY1fCO7T6PhQoXRKAVN8GWvxknAVveNtBezvOUVezjbU9dSP3
Dk1xFbm3Mb94FTfjS7P4Mb/uzL779weQG3gOfF3c4xjRNZDHRJ72kGb5sDP6Qn+md3sb6f4RhMJB
4q8Bll/gVQsQdaAuaM3oHZzoKgJQJ4cTzTcfP8TPxjiaDMcvJDI84x3gNwggcNzUrAOZ0K//3TBH
cxFrMjaCKO8wEHBY9i23U9vf/s4YmAiyiDPC8Chmn0SP7S7RhVKFD5x2546XEX/+eIz35/zHGEdT
gtwEDl8GY5RQG7D4tO3oT1bt+xPyY4SjCYml4TVKEhjBuefxjSyfuun03z3E0WTQubThuIAhxHyj
w6+D9Vtr6scjHGVoPe8tEskAj4CjMXDO3fjZxF8/fobldzze3LjAF3B87PqxHR21x/E5nPDR7fwD
MfezH2FN7fjw81f13my8HuaoGDXmRWcLF8OExQOJ1lX8AK/Mj59keRsfPMmxQ4pfKRinKgxB5YHS
IQnpbdg9tHov5eHjkd59GMdGcBwtgve/+cV3Uw0Dtt4/qO7RgVUhySzxk/3xsyGOpp7OrIgVFf4h
Vp+6GDZyfAdPhfTj5/j7JlwuY4BFDgyGIZI4/oA0InKqjjj+wSmaTMBcF1nixyP8/TGWEeDyCNMu
VENfyLpXJ29tof8cRzSAqdNTCx5XRpt+jP/lIEfbkGk1Dz3uKz6oGLBvuEMkmtr26jeeJFhgc4Rw
4ACPDsU674ERT21w8MqTeNzSYRc6t/9uiKMzcQxGzmXUBAe7v4pBBoafS7H+d0Ms8/VqPoQ/tLQI
u+DQy5tQ77v8dhTXHw/x9wMFr+jVizqaDd/i0L+OGMIW66HW2STPYy1gPHPz8TjvLq1X4xztkJAi
ysXFAsFhtr9U+b3NtzR6/HiIdx8FyAW844B/wkzq7duaGqkqV3LMeXQrzaMX3njRyah/Fl+99ySL
Lz3aCATLNDx6EuZ3wo2ZHRyglCm9z+GIVuXvbMTXYxwd827tC6cFBnPopykpmNnCfxw54+/sktfD
HB3zhsLeEpWS4ND1qF+Qm749D8jq41k5amz8Gc69inuP9onSfaG4zbxDXW/ZHYr89YrdwojRPOpg
BXekOUX14uMx3zkpcd678DWBHwigpaOVUDvwn1ow0UMco6rXFqniv74z34xwtG2CISpjt43DA0yS
U4esY+i7KP/lyA5NoVePcbTSSNPD3nvyw0OLhJM/zeLU/fU4OHQcNP6XOx0AZftHCy1saCTCjkYH
oPopMvg5Rxs5/o3neD3I0TKrBmjlVTiHB1h98/CyiDayuvx4xt/ZlHgO3FmD92Uvxmtv9z7kdZD2
tWF4YPS6JNdOff6br+rHEEfrmOilnIabGLCOr0FjpR3Z/Nbhggq/j+Nl4dfxEX77HGVe+U2jgQCr
cNuGFy0519FPqvzLqnkbeC3FP5ho2lDTAIU+mo05nk2ZCw4gpEJVoYcpMy6giD7nZKfF5uNZeedE
fj3Ui47r1ffLLwarg5V4dGikA+xgT6zzOjgb6s8fD/Pe5L96ohdo8NUwlkMmFcxddOCQRrmUZ1Zw
Ezi/seNfD+K+nRkEZBDQeHiWXNzK8hNhsG1LP36O944tKGnRfllEtqCr3w5Rt7QVDqnjg1Rk43nV
fhTzb2zFiOBWFwSRrucca/iDGX7UXSzig9Wdhc25UDdx8AeH8I8CjHdn49UQRy9qhjQhDzmGsMs+
AY+UOHrV6J+4l/1skKN9giQIqKfdxweXbpna2eKi0T/ZJ+8NAZEjQYcfHCyJjva7rx3Wd/CwOgSQ
jfVVCIkaLKTbn8z5z0ZZ/vz12g3nxokDjOKGD8F4AsdVPn759WWF8x3YNnIHHClHnxE7KIa+LEh8
qJZuy2DDuiH7eIT39jkk5XhNPiznsX6PHsKXdVhpQ4AXrKrh0sGFJDS8bfxfTuQW1dCPYY4+Vvhr
y4lCA3kIyk2df7OaE3u6+vhJ3jsccY07Prs+3hcS7LdPIueCTTbg9wMa/ajoBmmh79vywRgIMf40
Q/mljfJ6rKPHodSpwEa55BBbp31xOlmn1viTWt27E/PqcY7OejVXRWzhpR4sMBfxHevPFARXrPud
+f8xzIsn16tFzHzwUxHAmoOo9pW88emdsZ5g9Zl8PDnv7hVcIroQMsjpjmUnRSUbrkB8HQTdG71Z
ZIv+T86Vv9mH2W4IY7fFjBbX4AVoh79dAE5oRqZLtNnjKI0/5WqHi1ISOPqIC+j05U9O43emx8VX
eFloYJMw6NvBcE8Tw2VBeKCRfynmJsnLA4OMmNSbj1/cMs1Hn/w34xwdMsAbcYHQjHGipkrFtK9K
3JTEvLQOnwzQ2Xk8E8Mf3n//KSyWSfpnzOT0U/3t75TJ8jPfKRO4h0E2D0dE6CWgYl+M/f6iTBz8
EdQTsACz4VG8FPe+Uybe/3CZTohLD3GEw+THwU+9pkzgaQxy7DcuV3yxx/uxVBYHDgj3F4shHOUE
v83RUmlsMZhW1+Uh8qZhYA/zZJR7FVtcdWcOsOCBdcCrR+6YiKeNJSsg4vU45Luyx/1dl55dwVkU
mjs6qKue484Nmg+QNSQBmfijR5tOXtOctjhPTew9BqDV0miGUSXEd0OEAxCGNeFa8BCBEMDaoDoh
E3LhMskbQtccNNt8Edq1rh+k0dBnDJBvoTvnqCpKJQmH02JU1E/GLpTdE1rErrzsfZJbJ2YaRuys
bibufS1JTss/Dqf/FryPI/CfF/x1+a1nn95RFS0/9n3Nu7hs8E+28sjWyvmfDZ4J8jviw6wO6qC/
Vjw8wZdFuBRYcN6/0RRBrxzjVgwbXt5//tEviJJRiXhzOi7kpY8Ib9lwC/5E7KPvcM6sbrAizxzM
1O9wa80l8JUog/O0Dexp+GIPstnwyH+SM72wuVVkBM3sLIj6s9Yxn+xOr3Pd7/wYZDAdELwb6Cj8
voFMlPKVKXBfDAG/UQ0jrrdTrM5GPu3GljgZrCfOuqZts9gqt3qw6I6BS0tEiFvHioXu8Xic1r4P
DwIGswjpPo8S5ZJcjNfEKp4gZRrQ5wch3jmQj7Rq6+KaHdxpA8Ix7/Zho65FUXgJfNdP6in/SsD1
4P646ZOq9covuzPtWAcfLNLKVwCsCx+PZoj8bDyxMARTNmo4U4Ta2Whw1yt7Alxt03wblvDU5Fyl
nZkuR4Yq7ljGN3ETnvozQn5tkzswDFsbKBSNxwC/DD/NS6hlISrSiTHORY8/hsvCzVTgOrkWV52x
CSLikUGhs9gDugXEL53r7+2cXqCipzI8zyNe/Z3oB1ymWIX4P6C4wi1ELW5JK57cEk1eBjdMz4FC
SfF5B2zlkuI6VahEalxFBBGugeA3cwXfF4BqHBS/E9sOryDkWTEPd5mwCVxWjusXhOkeRdHDNtum
FLfxwMZrwu9EqQspCCZGFWGYdsp5rvWgtg4fr6sGbw+Xk8gQcW8scC6qIJ/SyatYYuNmOmJIkTqx
fzpbQ1rT5oYF/BRX7OzqHEyVKGFVGxqsvM7+ZGwlNzGjF6CHRJZb0cHFZULJaGx4ttfVV13nXlpE
oV6VDnssXfT2g8bJT3FPhMqqrv1E/8/emSzXbaRb913+ORxAop8COB17UqQocoKgKBF9j0T39P/K
o2tburZvhOceVEVF2RSpQyTya/ZeW6MrnfPNjFR+HS6cl0xBxrvs1iqTZy3z5lt74THoZy2PZhz0
IUlqt1wtMU4n44jG0VRKe3OHPvWlmuY5XBdgKG7ORxAb842oXSJqDeTFOnrgoHasE2wyJ8Q9nR+M
zLiqE35tpWgD2cdQg+L1mPEQRt266NHkll+QMbYB3MnbvMKjMRfuEBqI/Px4HiJzqy+mLHuEuKGD
VWEmac1ttTMN82PMMamvPUFwPK99MOrfNCcZQz3Rnmq8GrA54veuqU7ECl6UpPGFBb6Yw5JaQ+S3
JsRxe3ufTWeIOpuBsOMNnzHYy8scjnngTPjLirqIQ21ah0M+j06oGxoOt2WEUuf1cicGsw9nHGvF
gh3KziVAtGoIxER8XJeI+NklIgCApc6RCm1QMFUwS3N8dZKJHqLciubkNP0pyYyvugoITFRUoOUg
gu48An0d8Wwj/kvAPBcgX4CpICpMQApcdevA0wEsICj5feJw51WkIgpHFVbYSxVbqAIMM5IMZxIN
52zTCWsyy4OGkumiVcGHzaZ8goDz+rX9DphAhgYpidTsMLF0++SrAMWGJ0ZprvB29eb3SpIpUGnl
S03uIlY1jfAB5GQumYxFubytKT+AY+T7idTGbiXzqyXHUVjtHMxbfSDQk4hHWR/WyXzteE5DSHOn
VCueHDlOt14xw37izA7NRWVut7oKkBSliWfDZFjAzGjfMVfdxtQmwBiy5oxMkhzKTAVS6hmvsiF/
TWbiKpH2EeBqdqit+OmMbvxaxCnhlok6zpb+0mT2Y0ZrjfJp+7LqPJOrCsccjfz7uJJhbJmxF/Tn
CE2a8IDEmcd8ER+dr89hZkoUPSRvGn2ZhJiFTiOZnAT65QjO2+vUNR4nUjsBx3jBuvmXiCLqMCXZ
c+qnKlxV2Oc0u597Ff+pVfG3jjzQ0dZgeSvRWv5RxOMns/cfM/JDrTJ+88kTpWr83nfrt4Wc0W3m
oZNLtJE9OlO+JAa6+Tt3HI5Aii65IXZsgiAscj5JLQWaSj3Fk6kjKNENzHXZcTX3YtG/DCSdou9/
WPWrlgBUTwNgVIWdRn7a2j/Mct633hJ4yOrHctiVfH/gRRbinzoajPrSbFcCBeRwmcV6GQ5ksZZL
/ZiTzRo3KbYqbd9StJKD0z5uPXIub1ueZEpcwFJ4R18lv1oOAagqCxZq21GodFj8OV0wEBiri/lu
RFnoqCRZW2XKmjw3FJf9HcsctPMEzyIzva9UEq1QmbSO0jwai/PeEVcrcKEGve4+dQTZgre9WVWy
LQ/nA8kKJMgtDo5N4m9nYnBXae0gGr0bpt6P15o/dv+hTf+fcdbVK37wP9d/F2/vBBn/Tf2nvuyP
+k/8BvDYMynmzkgx5PN/9Dy4yhESoWpnOfiDLfh7z4OyXnEZVKw0mqlfeGKCjCj2Oj4dOnoL/Dn/
Bkvj/9qGq56HOtLn+5hCGDgA/lcBCJ2yndZyk3d952Xxl2ExzfFL6+YQOVxfIxx001IikhiuHRz8
i2U4l0M+feoN9gHHZdJ2szCI5jWaYrCIbU1qY9vpMFmPMe5s5OtoBe3RXBH/JoTellm3gCzxE27s
dh2OYDSTXYbk7Li4cD6Whv9vGoE96XNcZIepSdrdMjWwmKBNRXYu4qOtIfDziV/6plfra+FrgtPv
a98cTHA7APbFQdDhdy5nC4Zad8xSO46M2ZXHeWvtSCs1eE71+riNcjjOybRhcWzdAGxYvttkDjmt
nIpdWU28KuLOey3ge+5H9JxuBFSZFPs2WY8eyX3Udnp5XHjHDymmXahsaBSH5GsyWWJhITYftVgx
B2WZgqSKjTtbX782duNh/za+MlAtw37A6Spx2RHBWn+4egmZx6A9bHLk4t6Ci9KQ/AYWiNSh3ixt
iBHSkYS/qRh6rbFspIF1tQ4vbiW5NWurjHpdo6j1HKG9aO6A73AkpTCqycxaDxr+1PTHlO2/1k/B
hP/56Id90xR/HXaoL/r94J9R6QhKQAVy+j21mfnj4Bu/MWXF0s9o+i+8UZxwYEqFQUaczRziz2EH
cxAm8SAq1Mjs3Ev+i9bv70JNdUftQlzlvmPI/+v8jdRignVtp7nrMZAy9xMiD7HBzbuK1F/9MCZm
Wh+0Df8dcW5GaeyaMqVt2wqtPWWLrKy7zurNbUeaMyVD1YSJ3/v4Yro+DnLpwF1fra0kKUSRtCtd
UbVrUxG2Xd0v8q9bT95cmLAeR3+sgNzO/AVwa27v3MWwcmKZavzo4AJHApdLf+hw/NuyjKN49vr7
Mq+LNZCmjOXONpc0ylajtQ85UTvdvs9b4OhxUn5O3UZzqSMU1rRbJvzfZWrO3yTIZoBCftF1RxfX
iRtNreeHhrPobVSDrnNpLdssPiRzu62vcVZMy44AzlWcAD5jJ9ymZEey1Euq4e8px9m54yu3/6aI
Py5VwWLhn0/WoX+rx785WXzRHycLXC/EIrWioClTYLY/TpY6dBjOEMKQUsAsj+Hj71cqocA+cBdO
EPpa6kluut/HiCY+Nmb01MqerSLY7H9zpZrno/PLHNHkwnct1BeC0aTp81L4ea/V09GTs6WVd0Of
owCBfe2R6Vel+koMqNkvjXbYAF2E9jYBuAcDiRFpzMz1Q7rmd0lz2Rzl6nX+hWV93aANWKfmzJEV
efEggM2wsy4+7GW2fDgpPX5v/Gc4PqryJHuSzzwr383knGKVsCM7ye+q0elDYgVp98EXhlkzXM6b
7dB/rdipZjr3dZBYyev8G04OSR8CayWzSRYsUieif1IQDv+b32Ties3p/UBmuKjU6+5osDTYFVPz
jgOhDSU0zhgQ5Upsy7rCOZnXJpxX52ke4SFUGNc9/EHhKkr4trjRQkNONSxtmYWtmMvQ8/oplIl/
Z7S0WR7T4NAqxnY3r94crSlzkrXNv2FkpyGdnasZaO5Vxs9TyOVpTUqseukCk9x+IALhizW2DQwz
7WPbvGt3rr7Hbc3SBPh2ls4fTuJExFved0Ox1/OcUQvjWpXUHIPX6Ee6hbi5a4sWcoPHyKHT8Vd1
2dFz0qPUS2YnihfMjMUheT0RfF4DUZmbBYPSn+o3K8YXRgDUjxFMMhJuPuBtVpr9o7XIcK5SP0j4
tnPuf1NAFb1LXvWZuYcsjVtrXT/W0aXfEZQZnXJRqVZvyJu7AcZM2Fn5nlLug5s929VJ7ocx3UZQ
TeIZ5JZOqm0y7pxpzg9Nhx8lbphbELZ3K0RHxw9Mphiz29hYVuQuGYkTsvdCYbPh7Yi0K6p6Rd+R
XRSCusn3aNwnLghpvRtb8zHWPflqWvVulBV02HkkC3qFAe+npCjb5Sme6k9pzYIdmBBs9mr4OtCJ
mJi0Irk0l83cHKQkNwp8jQ3hZNcwy6sb63JemCAO+hzN9vY26xmfEh8wH3oc29/ngt+AixHoNLa0
rZuD/yYzvTuyNO9XG+5MrMmTVXpbCNf+WM3VhWdvIPe7j7R37w0WgYBvtptubT/rBtCJuElEZJF2
rdKpHz0afWvzsIxp5vMwXa8xoKFRfDCYPyF2kzDyKyAQuISkjtGw2Bp+AYzQkoRG3qrJn0/9u2JA
z2VV+VE2g43HEY9DuYB6yYwsPdqFI3YF3Gejm9wj580Pm5ld5JCvT2vKh9+0uhPo2CubtMFBbjuv
s6l/rLoKo8u0iSeJvyQVwX4wcAgKG+KNU/Forrr5Kswi22eu8zo0WjD34x298H0sgZBIFfnr6OJZ
jDpUQRUHPJALbGl6IMgJtlNBYDBIfwhxjESJEnZUqHClkYZV15ceVkDGje7dBgBxIYc4OfvZ+5Mk
n9gip1h0BBaThtAzXuT3RJaxyJNvhVSY4D5D92BPJ8fkjYev/VZLSaojEXlW0cgUD6S8rvanuGns
MFYBylYxf+lUpHKnc6gsFbNskbeshpIWL8aEq9txIVF6Mx5cEpoHBmCdimx2W5XerP2Irx3rJp3x
htFwDR/kNWBhtCeCx1UJXYi9PQ/Age1zyEui8l6GafCvcmut9Bsah/qzfY6GwSRCD0OfXsPGLPaa
p+qaTNah7ucz79FWECKTTIV1R6ZkulyQCyO/nK+8/6pq1V/+891/fOvr7+vfXP581U+XP0IIViqQ
ToG0qW3g72U1lz/+bbUNxI6J65y64M/LHxM54G5A3Ejl+N9/Xv7KqU737WEs9yjT/x3m1VJ3+y93
v8USxYZC6yhYG/TrX+9+w4flnPBD3Bp9Wlnf0J9o6cSN42xM8P3eM3apArs3PyDviwK+O6O0CPj1
ugoQvCWdi/kHHt4oyoQXhNZj/40bAPIpDgus2pXufB9+1AtNmuL/agpQNKdaPYZETEBKCyiCYhaP
Vp/hHIV7kXDC1boxG40Xxy0YGKkatho+GcTEv6Q/1pSDWlkum9ZND+QZeWqVWQ3GeN+fd5yYxNl3
jj+Wn1DC2IS2m3PpxQyKWaELTW9O/x2C81RJpVb98yGIvg/vqRy/D39zDn7dpUOcNAmgQK+hhJ9/
ngPxY0SEks5wVa/Iw/7nOYAcqAvk0z8wD/yBfxbBNIICNSwrdpW/8y+aS3FWb/xyDNCK0t4qoaXj
CLrZX49BW7jdPHdGdVcsRdqFjMZ4BOVCC5WHYHmDVfVLLX6Vu9IcrWCkmTKh72p5Xq1BCqRNnPD7
0Hal5xZskEQBHppzaybObdqsOjbwcL4bDedGbjo3dZXq7/pzq6ef277s3AJqNIOTU3Pt11SA3X6u
09I7jc0cJQ0u6VDaA2uXzR41aQQGfCP5Ijp3P5fbRwkqLxnqQw86r1YMvcwYPzk+bAZF15vOnD1f
5gcf9F5twuDT67yOpN5dx4rP1xC1MU4Q+4qUfNmkJgE28+1XX3H9iPnSgrSC9ceqBNCw981GnxDV
4AB7LW1Og2fiXl/fpNadjLFzdnlGmtXIqhC4Fu2vkEcmCI9d01wsc3+dsgAoevtkF9NRXbGr1Z3q
zDnFthGiaBhICIMcNdZyrzXa575fi9CMh5smGYCzYj0z0+lLU5MbKwDv+8aUkMe7vplDc9cMFHxS
7Uqy6t1PyDZyZokzvmBFMYxfHKvoQ8+ShB2vQ3KyBuuhYqMQNBPFqqgbXmjpMam9DEyOvGHM+Nkt
/WujMm6XtH4Z5/ZqjOvPudt3Ef/l7TIYifvZi9+9elrCzs3CRtg32tB2bAznF1lsD0vHx+K4PUZX
Wvm1W7Aekb+7JtaT0Xh7rB2X67jdWxjy/Xy8y0sEWdXYf/XadtfhuQ1qC0rQYjYBvYUdujiywnh1
e2ze5mHcCmquuHlEXft13rJu723zt3quLj29+p5LAnqTAjOwa62fEX+JN/BcN7WAmlDU7a3RLKSr
zf1Trw8vMBIvl6l+wfNJIYnIJfDZY6Rdf1GYFb+mupyJ7OxhXVuEtWXepZiX7yDOT3HuwtPTihew
CluAY/i+zUs9mKFRsBOzqNxGOi2z354rwM3wFz4I5ox6DdezGddtoOfTrWXXO6uvbjyzkLArCzOy
0vhx86nyGBJ+ne16n+sUo5sQD0ID0St5+R/imTyIwZ8e09wlo8hKTxohjDe+KvlWgrphFlLMW6zJ
7B5ijz+kVej0Tc0xj/nXp08YOOx1F1MikbSwrQT4ZoB/B5fRaRU2maVFbEGsi8UUMXg/LUanF/Zu
u1iv5uJc+ehivH2r18Z9U3nGvocfsozBf1fL+WpRMZz/fLVcN33fzH+9V9RX/VFf+b+hCUEdj2r2
f1C3v9dXSFnQBbhUXaAeXBD7f94rNhQxm65HR0mC01vNQX+/V9TcxTLp1Q2QYWom829uFrhB/6u+
Yu7DnMZBUoNJEyjVrxfLymKA6LN4uCM+vRT7UheU99a51PeHyRs+zLR0dnFvXhM7joABpHm/7123
G0/lVHrGzTrFDDbASy7yxMZ4evZp9mi5M9jltpFMw64lZNF7Ym4JHwFxFqObMnGNoFkblyW4LKKc
AaLJLTVlYJqdFPSPPxffrG1cwFzOrR1sWVJ+WavRfk26NBv3BEF09rFqp+JxaJtkiRj3W3s+4/h+
dMaxhfmzggTN04T0ZhOu4r6zNr86+lk5TpFhbJ+aodHlSdgZWMAk5V2z90x4aBfZYC1wBzFoBLSf
7T0EA/x4iRULYzdsXvMAXUWHktO7BwYy9hyYxFkWbF0YlZBveU66tM5t0X8H7MdGEAXVPx+wq7f6
7ySQfM3vx4ucQ/oQSiNACDAEfp5dqpQKHmsd/JTwfj1eRFH46B+JMkRLgW7yl7INwSJuFkcHRn+m
9P2Lwg3e1y/nSznWHGoGVhY2fYz3l9klWX61aPJO3FlMxpvASJKuibKsDjdgteaxmd5Ly2na+6yq
bZtUhsaRl7gqpmhN3DKYVhvJRzymISTKPSu2iyLpIey46d6J9S+sui6E3zxbtfvhuegsZb7LSo4j
48dLFwBRUNrVveb5T3PlXJUZ6YmZO3yVeEFOkwM9d7Y+tZ7xXJTOaxOjwXG2+cbNNckERST7Ultk
kHv50Z7ka7NqT1BRilO3tXFgeMs1R/XDaljC6zGRCY0+PPl6uhvwGlKcWVPQljZg105m+zzDDDpb
pBok+TvbilfCkmrOoTNHo7r4LHUFVjNhYzG3YpJxPZbqovQn7zhyc8baVO8lrJxD5Uk40rb1UE8Z
wgBuXMJgv+rqCibm7GlUlzLKbhna3NN8sDt08beWusDR05hhxZ3OC+SDDczJNY1nxhgekzCu/6ZS
o0bR6ChAl/tSFQka1UKsxzAMqR+qVv8eU0/4mraXqsCQzFPAkMjpWNrtRUwV4khUflVNZcRQ5sWp
xOVAxRJb49PSizrKqWVQ2czHpNpu3K4z3+rc+JyqwmdatxZMYPudWdul123fmqLt9luXvJdUTYMq
n2zqKF8VVCyEmSd2kI82VW71K9DYVLPhabW7OJFfzTXh386mO5tazZHGvU3ttkz+fqOWs7xRVQ/b
m6Z4RCJJB3i1KyK+7WGd15fcGPhlLO5NT404WMRfLFSNmczSfZ2v3q5QJaWktpTUmCu1pqDm9Kg9
vTF5ppS8mZsiP01Up9IiG1KVq/GKpq+ZnQdn1ZMTc3uKWlis4WxPXzyA4uhbJlKAKIGhI76Lc1Gc
tu8WVfK86m+xKps7KM9Bo/tHi4raGc1nSz0FvS1vBlV0J4j5RCIl2HEG4qowBztOYeScHJLrhGsR
HTcdSU0+ZVT0K5V9xm+MicNjlc3HmOnwWS5YqGZAqLZAABq26BM8QG9MpJpT7NnN9LzldvYmpim0
zD7xkiDhl3sGked8j10CnLwFUt4V/UsCtBxEGU1KJi/qDGxxqe+NrXjmsI5Bm/JXGUGfj1MTtrC+
rRYBkmtHRey/urF41BQsfYOaXit8Orkix60DqO5DVm8VYt3vwBkLB05YB3+dcSyYcRbZQc8z2itI
eyn9W19h200FcF90UO6gtZ8mk1l8mnv7HgUCgb5HoJInE/y7rzjwFqh5RFErW3+zfBnk+iFS88kE
Ho8Km5zBqoQnr8jySWMAngU2byrqfOlUn+MJDj0yaX8nKDSB00GpP49MhSLXDyDs23Q6+MFDD9de
LF0WxfA/utnaow/3gxIGfgULv6dyCAro+IafZggfAeYvtX+bN1t/8BRM3+QUkkzI/HJL6kD4iR6a
sPdNwF3+1H0uxCbCVuH5JRq9e6mQ/TkplJdm4gEaFlbsX60JaTdoCOjoprIJRDrOF6MC6GqQdFMt
7/YxbN26pe8S0HYHhd1ldcQqRKF4ad6qUIfOW0LpLXLjewbHsFT4XgT1l5NBzc6CCrCxgvwyLIKq
kM1Nr+8Q6IsyrPx2x1jtPs/95SKVzWY9m1V1O+nl0l04Q3vR1zYxZLRf13Pl2fKe2dGnOYkl6CLy
h3yVvtI3hhalXfLYJ/W3ljycLJ0+9342kDXGYrhHyzd7xclsFZh65XXBpgzVLktnAMV2Ive6WTs7
z4gJUBQ1AUFbEvWtX0Zx/C13fbhl7rpCc6ujEfCYA/k7t4mbJuX2Ok/aCx+FaNF61yDMPoF6epiA
byCl4nU5a04ZJXN9J/gVVhxPdJ31NLw5xXZoPVDhlf5eMzCMhmVygxklNVNrS8DV6+v2o1iHZ3Px
32fWY8EkveZNF6t7LNt1e8sIp3Oh5a0n0nJ5RtPS2hm6BmyNYJdgg1F0DQasvraXhEDI5JaPF5Gw
A6bQN69qY75ddPtqmnSyMpcrIQ2417171an/kVgloULrbWcN19nSPaYNexfPPKJPPnmkhbRWA58q
92+HpN3LRbP0yJhsaNNJavSBHFlhoBquyh1sqPGDuU1/x++m/aAwKS+XdSgXflwiLMWayRw92Zqe
lH2mijIBUJsHUbNYSYgBnUqqDW9usm75p6lJ5X0MVTJsk24xEd+A1g0NSzOBxhdYbdxhWk6mMNLk
Une3Mjn+VGPd/Rgr/UxlOk+Tfp42UcZgGiVPyGTAy1CMWdjPC9eMVkb9sfl9y0rxE+TOA4PMx1MW
pHvzpryUbdB98W63XbevIjaPkf7wX7X7Y1L5f1a7USOT8u3v5pS/FrxIUAHQeMhNgMVSuv7RT1LW
MuIzldP/f6WqsJG3bDAFCsVK7Al/3u/tpEAFQ/HsC7pQ11P/6F/UuxCef6l3bZ3ht0rwdS2sx2r4
yabh50dnXPpyNNZS3HkcV8NdxlDEbK4XNMZHx2guZ5PM6UYvL1JdXsnOyHcdwWZjm8JbdGW7q/P8
gQsyDZpqNL7Wk3/M0UsfvcU6iky2X/oCHVyWSXkVl0ZxQTbbt1qWQzRtRsZyTim+kH6NSgPG8ioN
3K4pQ5zjX2ulFHOQjDH0FMSED+kxVnqycoOEiM54CR1GLIynxEev9GfAVam8UaQNktWiyJr1yLcG
dBdDuoh6OYu9dpazKWGbqTRu61ntpnRvGdECwaK0cCYUkSMEskfX5RrnXWlHaQMcsnTdOOqF1R2d
pc52laBytPHqrS5M2UXp7/iPAPi+vnpKm+colZ6l9HogbsxoVhq+Wan5PL+ssgPMoArCHd+rEhL2
4WwtR3HWAipVYF2xcKVPXkn8PMsGsaisIVVvmUZr43fyFcWAfTA7A3uDucSsoMdll8/FafLZe7Ko
vMktf93pDmID3UXf4JSUurqHk8RzWQBbBhrhrdX2upzvRW49d0n2rVjsi25r+nDAn47gv72Aifve
eBgcSINB/4xZJVcaAk3E93G5HYgRd3dNh9Ghn+Z9JeMNQbpbhPR2JTUXUWSaw6rfo/w1FoJU1HZ7
c9jMOxoJGHJxjq6Tf9Jbf4Q+gbZXOugazvvPdMztfYvMN62+iVZmkWUwW5ALA+esidEiA9aNKsua
7ozKDpFTRrqTsOMvqVzswktCc53zKAFNGcQOW/Y4NuIDmW0QNx0U7ZzIyDE7eZVB/9xnmvW6YucY
XFLOZ2oqJ8EJYvfXnSwe9M15l3Nxvaz5LZrxJ7t2HhiDPNVLeh276cOiMSu/zM/NIMt0GkOzftfP
rWJJ3AJcsxYVPr57Wsnzm5+0IW6BAWfccoq5G8T5lujPN0Z3vj00dZHM6krxzrfLcL5pGMcMx2Ti
+nEATs6B++NWUhcU9OsxJ/Yndt/ZlRAxtjhlBR6Yaw3da49OjatuUZfedL7/LIRrQZrW3IrkKnND
9tyVCeBUHxl4gHD7xqjXk5jEUXVbObdslvTXjGhum6S4RtnDfcwFbZ7v43G6mrmpaduvGm7upBZX
QJeTncaNnRvazejEV5a67Fd17TctS4DW1vXAUEVBm8RdoLV2tZ5yaoZW5NubZ3VoBFRBYce1e1Fq
adSNwOVJhtrNQ3zw09Z8cBGFoDihzZj7+qn0CuiUxKrwHoOXusYG6Ndhs5mdDlEs40vRUWDl5Z03
ODvSfoEEAVeQTKk+tpkAmi1un9pYycK3YjXyj1T9BbbVEFvk8mGhdR/noUd/N8B9H5d8LD75bqW0
pud2kMXkMFu7YUTEFGmxEVrahgSpSfXPTsnYrapgBFk5+qBBcgZ3IvGvLK3x0rDnz0Xrb36Rs+Ef
6AkqhvI184C5lNYXM/8Qit27mBrb/5ZoIRviRpgrxi/D9otOUX+tAYJOpUjAq9LHZ5vFew/jNxFE
SVcfyzrfoqzxvEDzkshZXT/ASLmEteuj1wFyQOHnTISU9GipKJvauUbPMNIlWtuH73IJpAsDRlS0
TBsam02Jp03NvXoJV2DU/xtL/4/k7/8cS4cN4Zxfs7e/DqbFT4NptpoMuSgVIE+5Pzj0fxQS5m8M
pS2mVQyglTrgz8G08xtbeFTyDIwtS+VZ/FlJ4LJE8m54f37Vv6gk7F8LCZyUrP0RHSgRgetQSCih
/U8cACSn/rZuU3Hft2heiomBwtJu0IC1WbuO+2oj37M3HV78o5KT+ct9m1TFVY004D7zJ7Yvdqb5
V+M81q8K4lQEvVsTLNRwmt5zrvM7zx3eJ/yaOR6XJLFJcnIxm3TbxASn6wFglgW8ZhNjFKK9tU/3
7TCnqNNaxLOR7w+EZ07LQHWBAasiTWsdHqpySPt9rNFhZUWMNkZ4+oOjJSIUBtvJk9AkP0iu1fqz
HidF2G7euDP8uindwGRUshN1Ndy5BWF0gVshGMtsVFbsAvuKGGS8Tz8QBf/pYlRs4D+PlQOc9f1f
T4f6ot/nyobzmypjmQo5NhPkn+fKhvebzfqFA+BjG2FK/OfpUG5inZEzI1+18v+jyKYwZ9rMCwwg
BAgxFAT/5micw0R/7s9sxsmGzlaI1RDnU0lvfzkbfuX2Y+2kd7XXleTdesTkip67tk8c/6TlHzzu
1dEy0460LlgjsmXxDgiou5lXY+d0VQ4ufkt37Sy+11tC3qBJXHE9zpI5J9m1pBbdLa3pR4ab97vV
oKRMSty66yKHQ29I90hy73RtgXJmD81jOrtU0sIhzS7R+mT+MrkkhT2Oc5buJhukulsx201EW37M
re6iOS/MI8YRkPDqOvVLRykqrbycqHAWr3rufNyZfjvW5LHl/rHf6vjUOdadTIUkALiP91pueIHh
G9+T2HP2xKmNj/bUjCG+2S2apvkzDGigAnq+d9c23XmLP+DtmF9FzeS0dMdmr7ngKhZdjlGScfuv
m0vyLrG8wbJW19bQf/E3P6YoIOht6gUfCn+/y37Ij7E/VJf66FQ7R0loYYFLUp6b7sKaxyIy89gN
8sHpgrSzjIMLr//g1V3OVth6SIzhsmJCtcs8Rq9NYtohG+vk0il456Sr/lSQR98TMhEIS/IWmuSM
B4cJy6Dlz6Nb2IGoUA9nTnVljRSdzAECu9zuYkyoMORcFMPoo9sUdhXDFCK1hP/E2/VTaVofhVnU
p9ROzSDXXWx7lsMwCmR9VG2xuGw2MhTiTGARJDFBmS9ram5EpBVJ0njN28t5WBn0SC1cG1L+cOsW
jEDr8pFO6gVFpB+CHrrNmuRp8tPvjtTW/WzjV+8yJ93x+c2HVJl/S8oqb3CvsonWR2fXJvMJkSyg
omGUz16ufWH4YBFGL/KIeUd8YqXYR7FVPsaocA6ijNfLiQWFQZZBWJjWdTX173CRqyD1x0cyfeww
1/KHXBTpPe3lbumT72XdP0Lmvi5yEtbQd+ZRa+T19dCkxilORR2MXtyeJqyGyBs1PtYyi/z0HDev
TSp7vpz9abnFeZhTfFZO69C40NR2eCD6N4Yo132lXcvSeWx7ecnL5MIS/F1ncyDOoUsZwsXDfqi7
gzfMxHdIDODpAXz8Ta/Fu1Tb9vMqjpokFHpwotpuqWOr604jyyhrDzMJFJXVXzhEMOaDxtSfuEk7
fRkcI9Qy7dJNFsTI7akZvKM04P3bgzXticQ4pKld33T0QP6YX6MCx8zeFMFcrQ9pbOGymtyB59+/
Nyfvcm2ZM6E6SMJMW/YkKH4RNlYPKe1D7ztoGNzvBnEWHesVketPU8Vf3+qZ3i/912JFOdR4TZBP
/RB6msXTiyZqv+REl9qrHxUyvmhtrQt7xPc7vOEli5PppU+zIiJEonydF9Pa2Qj29onPPxQEx+BM
56NEKw7pv21Das/x2V5bRMOxPIpEe0SwC/4glt1BaC7JS8RbDst6s6QLry7tYBfygcjuj1R38eGs
zZUOoZIuZatBdCvugP7k9+6DN8dNNC5b95BU7cG2qp0nn4lV3CFfxZrqf5q8aT9uWEDXxT4Bt/dQ
yLi8TxL7aKoU89Ruoq1iL45KmJfGXY9q2GmtV0PJiB32arYSFsdzOUXeRoSKjeq4VPLjhJBIQlRR
c09ok+Paeq2VWLmwvOtayZcXJWT2nOmJ9PmSGSPBLULJnXV9enKUADorXVI3lCg6xp8ejEoovdS4
dXO003EKXA5y5U7TtJdWyavBJzThiOI68wFlKgm2ocTYTWufvI3anEY82xAtKeW2i4SbteSjedZ0
Y3iKiEDnp23qzz3C79Rm3z229r3T1R8+0nChFReuqx2azdxCnO4nJRUIBuTknenc0UvTdAyOh6MX
zXlS6JiiKvM7IE/sCN6RnT63yPLW09AjH8McgYAdrdOLc1a0K8EXEvemqQ8jknfVoERsJ9jZDF/Z
CqCHbo3mWvTlpxLBPIbn3cQJDVulpRdKVa8jr7fXihoMwb2wjHei+nIeUe80CD+qlTTfIKwkW9i/
KtV+qvT7hlLy+0rTnyPuVxIzg3dYMIuMLHluK6KDAdEoT8Ck3AGJyWaixDDA2wHngPIQEASYMff/
/+ydyXbcxrZt/+X14QEE6sbrJBJZkEyWEkW5g0GREopAXQNff2ekLJmy5fuG2k+n4Y4PJZpMBGKv
vdZcAnC33LUqZwAk8dYZu9PSwX5wVRZh7kklWHxMe2IK60RegaXfn5SMX4wEGWLaxkaVbLCsPrCJ
OrQq86B1pB9chaLI0bdMlYxIIvm8qKwEeY9d3KM52MQollVSfEiwoliye5egRRwnh/MP3eU30Kgs
RheXRCD8ExO9hheMTBjrRJ2/tlYxDkxSNrEOHr0v+souV31GNCv7DBvzVBEEqXB+7FyiIdpk33cx
v21BtCIjPNKs7QbziHk1EisBTYUOs8avjmp4G1X2pKpLpCsqAQKhkikCSGU3lJSmTtyn64GWV6GS
LJaPAD2rdIvnjl2QE3iJhzrbjkRgRMXnORJjvGHRHfiqCkruppXCGenkL9goFx5SEjWJytasKmUz
F5ZxKgneRF1F9JMoDiZi+poV5GSgvgZBiPIjo7aDbiUWUas0T5XqznbRG1qAS5I+xaAeLdKjxBBu
jYGNfUz1iaxl2Kuk0G8V/Kvng1nvvy/nF5+/fPlM5+zPcuB84bcLuuIAuQZxbXZEXKxVMu37+Gr8
wd0coyzkZjLYytL+t18X2o+yp3MZ/yvP9k0It/6g8p7/8U+icPjef+WOzt/yLyGcXCneKu796OvI
9T/e0Yduzf0Cqs2tb4hkO56jlfIcs6RWp70rYMNF2+IcxOQN0c03tl1BrkIwIafJHcVhkV7qBYCR
ukR31EVdIYHH87Gsl8+l4fdHnOy8s5OCB2xtQv6rt76WlWyI4uvKXi7i3LwkihRW3rRv4/nzKucd
YRtu8vEORfF1qaKdo7cf+SlemGvHnc8wd0YyQhfCotIAI14+LW1tcAeM83lyrrvYOeZrnRDSjip/
peN3SLmkjbhoBvZ5fl2FQDGuzHXsbrCwHB2fEFXn9E/8WeaR2qp00/jRYfSo+mjcV3QfM0xWm0Q4
h0EzPJHgvs/w3Ed+/rGnjDaUUf6EfRFCLmO5OT6Ytvaxdez7XECdqfSx5mLuX3l+d+tHmbeder6/
Vr3TinGn28BOfOICPKHZjvpJ1lY9UNqU9tqoU8fUymkLGftyrlMQEj5yWl5k5qYHgLFJI4xjc+3Q
hl1eDhk0EjGU77M5e2lVh3UUaUZIwp2+mEQj59o/d777yknzrmgkp7AxU6QZu+/IEWwHdzh0pnk5
U5o9q/ZsQ/VoT7p50WLarDvnXesPT10cPS4zl4QRj11RIIBSkWSOzbI1ab8mFccfW1LcHUd8n6j/
Y2CrVu+Vem9yhbiF9OGgq+LvmVwbReC81V692BmDUYp7R/RPNEvnh4K47sanRtynTrxDsiU21M0b
quD4pkUf+Kp9vFU95OC1Tuo1tNjUg89Ulbuqs5wS47uVEvOMMnOXUvNuzl88k3dSr/rOC1A2SZ25
w8flq/F7qJIOi60xYdKYyViNZ5d4snDE7n8fleejUp1d/31UBvlzz7vqJ0oGX/b9oETM41aJn0Wd
akqV+H5OWn+AjuBVSKxBmec4wr6dkw4GOUQPKiK+91d+OyeR+cjYIw/yRc55AfkrWsYPp6TFSEi2
6GzQ84nMkzL+8ZS06hFPumN1d4PkeWBr8OzgKXnzM/nJOtv4F4jTJ4ZERIOgkqdKLz11Vr/REn1b
ZuOMp/OO1E9L0K00jOTeWIaTnyULzeB2SrV1OaQsJbj6w8bAyd8b+gfzLNdFUNimo6tUPEfpeZlS
9kQxYIuVc9ruXPLCm5GKK9rzNAYe5ignY+/f5MUXYxY8ZVRQGnfDMuMq5Sg0MblEuFQCu5lcZAKG
tnw74cELyr5gqK4A13xuIt9NtkmS101Q1Yt2HeWJdSzbtbulYiHmBhXVh9VurvRm2URkMk/sa5yw
1nByYMrPdnU+TMGQQzSaoAjl+Xoa+C8+ZKZXPUo9O7WaboQ1AvGHDhQPuAEx+TdrggjSjYu7W+Xq
V9Txykd7cI2dNoDC9otE7jFYMKlqablzeXNsusJChyFzeIzb2Qg1yT0b8i2d68O6bPTVuzZEpWhe
0c3U8at1RivULPNgsroJ8mHZ52Vy5Y7Z42IagZMb1yNksKRCc2CsrAJ3EGzg7F2fJFMI466nUNg4
1H16hR1nDPWeNWo1zE1gqa83Eomkw7AwjXa7o0kxCxPfDwfpbjORgYrv2ApWsU/BPS7G4SFP+uhe
xoZGX9f/C42uPrl/a3TYPdVnjgAC/k/aoC21cn/7mdMSK23KpOvueosKRG7Xy6UU7u8Fx18Ljv9V
v92neZ4+F/8+98RbBdf/Qxl4bUKK9lfN9e+DT//DIfJI7sP+aob4duzZf+CAYB2i1hh/uYn/PvZ0
B5iB4o/gvzc4LH/h2INY9MPH4wyKhKJtcIhylBLp4ht/+/Hw29WN9LKbbqeyktOLiNbyXqsXQ+6s
uWWFuuI1n9rEMkJ5tqAL5UbXQKpumFOp1rPTO//sWIdkbLY7zBI42Stkl+FoO8ZDHaXDuKWmD9f7
cnbAw0stthSMpuYu1uoY6JcXRZ+j2YYdVBPDP6Vu6lFsnTYkEXsqs2nOXdvkNl7Y0obNZMu7yHfK
jW5BzAY4lK2ByJb8UVbcfjJ6xTeMd/LGUyy7aOnZ83JRqnBLGnx/qDnzEPaKgbcqGl7KXS2IzoQ8
xcqzFTUvVfw8zYOkZ6Nm0iYeb6CVdVuU3hdPcfdYvnSoL7D4pKLyRaK9WBx5RNx4WRPFNwPgtw5e
R+79NVdkP1LWM6Fwz98IsH9VMxahhr8CosAIuBw4oAASWFttt52z+jQqfmCqSIICpKCWwBZcq+qp
VrRBPF0xXaDRcohKP+yiBa7eIC50IIWRohXmiltYADBcFclwMWAaGopuWLjksxTvkOg934XWTkEL
DNFVVERShVzgFCixMqKt4603sW86Qadoio7iKsYZhEWINo9and4koBcpKv+o0H387JVXETpjKeRz
ZkcDkiW+vFQxHFNgjpPDgD8NNhl8SDACTMY+0qF3+pp7qzXce6nCu3HGqtvHYn62AUbWihyZKYak
Z/XHIaPAbkrHgFB5HLjcO5PlCRbul0HBKF2FpQR7622GeDxIO7nBU/GgWzlGGmP5MsXqZ6Ewgwmc
y1UBL9Wl1lqiJEh9yJggLz76BNHJ9GXA4SDsmZAz5WzdCxOhahqz0ICt6XSCO70H401pHY3HgF7q
093qzEe3y4BjYMU0FKxzhNqpp7xmyfWl2xyi54JIGuBHeRzGAo8uPEv+Pa2v1oWhcKCl8gir2N8w
0B49xVpF0M27TaGIKthoY6w3zcid31eg0aGqrpy0tSl4Ni8VbHTStEdTwUldKKWFY78TjcrmzeNd
pkCmNkRT3fAOerTgiaR4mj5J8D8Kf9rl2OBNgKgsIz5NjhNvTQVLtYbGC0f4qSYc1TUdQ9caniMF
WIUz9Er4Gngrg4kNgxU7OAmArIXuPYQ1lNbSSA6Zwra6IwDXZMr+xM7z0Cu0q76sX3QD0TOD+pqY
4F+1iT9q4hczOKa7GRUk1oUWaxFH2Lao2L0CyfYQZcXYym2qILN1ur7APYSqmnuY6RWKFqb+awKb
FhYkQRtotVyudvzin4kP4mHBsyA7/tM6M75pIN16XZ5D2G9eUp20XqZwuGiqdzN83GiXDIbYdU3x
UnRJ7labnKB0s2+/NVP93nMq5vZ/zwen5zb9qY7ydjwgQGNSOQ+z+My/4199nw9Mlv06CsZXo6Fa
M/79ohTs/5Xdj/e1wv+83XU6uBMVoUv/RfIPJoQf3pLnPx77qQ21z+SVy6rzx7ekrAYxRlKRIRaF
++1Joaqp3HFIBKs5HSsMjFls1QFAuQaBur6Uaq4vTBRWtIR9wfO25wEpLhNkgCQp+u2qlAGrVW4V
tAIG6mOk1AOpNbcTckLVd3zalcLQITVYSA5UwT+o8vEIKULO2dOgtAmQox8lYkWBaJF6T3oCVidF
zHApTA+LNHp1Z5scLZlfjZk6dTLr6JXTU+ohDy+Ahty8tonsAhWo6HoMZF9+HJL6kZRsG/LnglCe
jX7rlOlrbWX1+lxNHdBRzG+ZaNAuxQwQxV51OMJd6DfKBAeMZ8o6rHnGPctXQnPueBASx1Lr40iP
62LdJoDLYaJk+kYr612Tmj3Nt5La+rwYdqweC7xBJQTY0W8PuJaLQ+dMBT3v83YkApPKhP/r6JPs
kR2Ym6QM5nn4KFkltDY7J7dtP0S995JLIntz3tzOkRyDqc+eGz85ra3+DgecfawFDqPa0p9NczwK
c7pJPCYNMWYTAVi7CUyHuwRSyGu/eA8ODTbs6jjE7Ma98AeyfQs6U+EtHBNFVIQ0X+B1lxfdMJM1
qdddYxfh6CZ3XOv30WqS06137Sy2MpMfMt++xMsG4Ib9SJg7DlcV3d1PRbQT3hDKwjzaEQulqbrU
FVjUGNN715oDtN3rwV/3BZ3vZVp8KGdt3/P2dnQcXX6+E6N/NQI1KV2XHZe1cV0WQiZ6iRG9iwDd
TNjz0ZT024JG5sx6qbNkO03+0V4ECozJzaK+jowPfsXdpfdZuGPhrPPryPUoV+7ri4SOeiGMR0fE
W9Hk8IbraM8mZl8LfC4MrddEre7jYTr0znIztNW66acMA8ucv1qFRTwSQHMBmtWs75oed6ObX8RF
czB146hZ1WOqFw/r1N4XEJ6mZXisG53vX34EdHupCpohNW37qL8GpxN6WrYpy1uy01qhh1GxnCxt
Bk1e7/xVoJx59lVVIs0t9FNbif5p9vJD5o7vo2L9vCYIefN8Mw0iJl4VBwhSQTTYrI3lsXaqG765
vd5NR+nIEzH8Q9Xox84U4WJVe7dNjrOj7TTdv7Rclg7jsMePeEvec5842SmtcejXiFNGH4K8JBsl
bW6uTI5iBK5lFwevsR2ESqhCjhebB9FzUcE4mQasl5Hjhg7K3YKr0MuG7K6b5ZNWOThio/7Ja7gO
4BGUFyTWjbDXCmvvLrZiJ00FpNvsk9P1yXvdjMEWrRbbncm4k1F6inOLY8kor8x0vrFSfi6NObVB
OmhPYHGYZtdV35Uk3sLMnrBapPlNptclUJ1U7O1qSQOzYT9udL690Sz3oc6XamehZrIT6vj+VvfC
kOllYTdQEVpz2zfmu2Gd2y1mXsnaHLYZi+J5z75yozUdsZJCPxW50DY5A7rabT24YqCQRET11hBT
rzSF4bCadbwdO0jAY73UJF/B+BZxexW3dXLwfC0P/RHfbNYkuJus9DrJJ5bFLLHghXvrNmpyb592
w8mrOxAsTX1oenbQdgLrD5pndWj1lOm/s7iJiknDfZjdlrF/l6MVHVMIESDj3UuiEMa2nfRpE/np
iQIGC/NlYuyKtLmLdBq7KVeHA9XIj1bjXWuj1V0MyVLuorm4LQBKuAL1EVE0LPKifi/IocBGd9bt
vHYQ3q0h3Zh2J/mOicProvhiZ+vVnPDMEaFU9/B0N7ruSY/Gw+TOH0U153sh2pk5ZAqKuVx2zlS/
4/ekbXt3PdaAnTeIvFeDZ196nVMF2hxfs859nDkBYkfuUweQWcx80cmoDKelJ2rTEp4pOkxlsR8f
+4VSpbX0lh03sevOs2/jznpY+ugFD2vPyDfBU/NLtBUdqEFlfconC9FoFv5e4qckF2IAb23khaHp
p8q2nyojC+SktWHi9Uc3AzhdlBk47nk65SUvDpcE1aZy+9fUMQ92lHzpdKMkUGMU4ZLFybZvzQtO
Fcj3IGvCqlj9rb84l3GM4bYYh3yXZgap52lpr7OyM3ZGGmNe1qOP/GovG6oCw9l3bzNeRwdPRncg
Cdqrxeidp8ohcF2SXm0s+jhWZrqw6ax3DfGqF3jSx7WrnjXPWgDZp3/KyRw3U99qG9o34g3ZqaNd
5SwTitTbuwOznCLzHRPZMNqVlKHPBqvoWJR7fY02DR5cPgWu2AlipXHWm4hX6OKLzRA90A7feQaL
hJnwWlH3zbb33OQiEvWnGlMRdwABUWtcn+d4qgKbrvibqM+rvZewpcHKNAYzzpKtOy3b3hkTBMIy
v/HSLCfgg3EIxA9BRVp5qF4g9Dijr21qlEg4Dnp5FUXLq+wxBEYtvQW4F6LNWCJGzUK9CLQC2tjq
8s3HJbUI7MK3ZrJcITHmB3PWb9ZZ3sMRjYMYgkRQtcPnQSP0vna8a1iCfcxLUVI7VV7MIzzAJHVt
6PgVS8ye1gCR3azxyshk6FercFlXWFynskIc7Y51MJf2rUj7rL0z2Hv81uq/rjWxyf73Xfwyfy6e
++TfmpXJl33X6vU/PBc/Lrq7ZXswtN5cxhX3Ggon92rU9x/E+q+FPp4OZ0Iohpf4+zJuAIsghwMt
l9nZtHE4/oJq5f7rOg5D13FYqepwGKiW/AcsYkCuzkVWZbfZvLp9UMYLqyxQWr744DjJuBJDVf04
6bkrZzz35lSVg2e2a+f+av1arTPa56IdVOYbh0Yg+WSUZbXe+KqUJ5otVdCTqbKenGrD9rLGKdf2
mPiAlG1KJnlc/OmOH2F1vSQ6LFBsXycS/jbIS7Pw3pUqxt43cBFF1owfSClVCYeH9WWlu2FbGaZ2
hX3Xv4ls7c5K6EZQpRlcs2SHpz1ziIWs8kU0jKq+CnnYTdvQ2+C6TWAsnbmTXbncV1hybnTp1Vcm
CpWKQrYHYRdsAiJbv6+WJH8QEe98flkyiNJ2um5Kv+HGGJFjbRi2C2M4lCoIY7Vy/mQuFd0NItV2
LaWN+6Ips4OEFIlC1nn9zXpO6CzntE4y5LH1IfG8ipE84iRF4XFynR1e1Het+c5hFm+0kzZEvZGG
v5/brzs25tr/fm7Zsb1IHt2fxPIMvvD7k2sgKXMHt3T7PEfzaHwfo8UfaCK45onZfgXMvxmj4do5
KoB3RoS98QtD3eMpo5dOCILi/q88tszL/xqjWUV4tHGR8zNMHM0/jtEgg4woglp/ay42xS9csBgi
y/NEmTNCrM96DrYIZ+D7rkVc6nDw6uvyPoXTFTpAZ0mglo+SG8t2aOSu0yjvmcw4DXTZtVeg3T/N
tUdOi5pQInP+soXGctVBxdhn8YC1aZyu1nipGSHgXLgALggMca+u40d3QhFd9PTF9oF8uRFVLrPm
BiPIbFysy4NT0VGTa3R42LVhBQuRv0vNgKKfduJCkyUX2xqDYVwb+s6ShnNnzbO/JXHIRYVuSVCc
rObygSQ8My0uWWazwY+jqyqyAeNWGFNTx6DJK3nO00lsWrGgm5qoxijtHns0+PxZPMZXnqtm9LHu
NtqaekBt+/00lw9aAW8zczXMvbaOyD0Yn81CXrZyZLAsRj1IkBJ9qd3G42Rs+p43cyLS6yGCHpDW
5NucxPhMRSF3mXyA8Suje5+Cq0NSjIzctfjklSb4hxGFtO1x7S1FtZ+chE3coq1BJqajQYQfs25q
bUdGoLafje2CQ7YzvYeOWcrTuxfUY3szpXN16DtpEUcu031mTnc1mWkKra1Lv+sXGMXDujWF211p
loHLqnjIG/PWtXXI+tYVYa985wj2l5o/79bS1zcetF18zaG+cnHQBrsFrEEATIcF5AIxuXesYV7R
PkV/YS0d9mJSm3J26MGSyQ5XVXacmkpjEos+Oen43miwUvd69t7knr0hgWW95GN5MLXSI2E91MNj
WqfM6xmUAhyORMYDQ4uS0BnPwCLpmbeG3jjHJofpiHHPa/Z8qJ0N74jyMDPI4qFO3CzszpPhuHZh
z6zYyGrXp+mpY4bkGb2NmCmroX+KmDH7FX8MM+cyAatjBi2ZRaHYHzJm086djzU/X98vwBPI4zCb
N8OAVC6SYFTDbc2UWxZ+4DP1mkv/fmIKttU0zFQMIK5mdrGvknWVxEQJy6VUMDBJs3RlyYkD45bP
1AY/KKuG/noaki2mys3KND4xlfvlGs5M6VFf77S+vk+Y3t20fRRM80QGDyvTPd/clv3QnbUgmyW4
0lEBmClfOyULRBajUIdSkKAY2CK/91AQfJsXZYOmQBY0IguaP6Yu3hZUB99IgqTOyf4zGw1jdr1A
IGjRKWomWd/44FD17qNiWKgZVuwdK9QNrXrJ0TqcaLkdlfhhNyIoUUMMFuMAM8OOJ5HAV9BqE4F6
1BNb7poVY6faiShfKypLgYICYGTfoL6MyxLoqDHrWZZBn8lL2pXQayICoCP6TRR5e6kEHV9JO7YS
eTBtXmaoPuVkbrlgo08QdkMVGlCHFosRVslFLbqRQD9K1/XYKEEpV9LSjMbkKbGJ/I17oSsBihzo
bWJFDzh5XzPfYQBXYhVlgRO1TghYBkqWQNGqULaqs8SlxK4F1QvH0GlEBaOCAzkMXUwqgcxHKXNQ
zBolnbGE3E5oaY0iuilxrVcyW3IW3JTyhgLXKikuVqJcouS5SQl1mZLshNUNzMTIeLUS9Nyu2ZVK
4ouV2KcxtLFl4PdtKClwLOfDosRBmr7uVyUXKqeTh34YgZbh2MGkqs1/VXf/Vt9VaO2/bw4fn4uE
RfW/b/zqy77fG7gcwPXEIPi1tObtvcEkggScjUvKVyn97bWB7hveBJRq6mdG1febAwkknDm6q58X
279w2T9T9f82MJwDeOSb2Akokj9hp3+aZrzMMdg1p3c0e0VknqWjbapq0k9thnEGPUmm/ryH2E/k
s3Xw4tuixTRnv6sjHjjRdZcCZSqukahstCpbiVaNkq+YVx+EErSgnTpoDCINLCV3IeCULJGLG6mk
sEqJYjjT9Z2pee+qPHu2ff+5iO02nGQTZpr7J5HfZpOjspWLeWdHxBl0v7BDW0lxc5R/Ap+Dn1/J
dIMS7DqM1qGz8rBLh21C3E1PLT7KTYvS5yrJT6zRTEobGdBXguASI79xx3bw2iEXWu2QHTCvITyf
3zHd5JUx3MvEuq1m+szgr2h3lMitm3ylYoAjKMbeaBZHoElp6JVtccxAuW+nBeNK7o+JFQg/LzkK
eRc2k16F2tpodb3p16rBy+I78UNhps8uSUEs0p0p46s6Q2KcIVy62oeiBB45tIY4NXNtc9ZOVfbU
RtLHm42WY2/iaXZ21K6YhHl/jwJfR3huzv/9QF9U3ec6SX+KpOMLvz/S1FCRRRJc4FmqwdR4Mwoo
xx2NEjaeD+H8EKwljUuwyXX5J/DhHxAdaognPchFUD93V/0S8VG4ylry94Nt65aythgO2VrT5ugx
1LTwxg3n6eRmJyfVb9HABsWkr+J2l6RT87yuhALTDPrGusImvWfcXD7ZWqktpNyM7KUHqc0VCofx
n925F4n3z5YUCV1JS2UAO4uJmtChdO5TklZCt5I3G3Wgzwae+ZrmCpYVEVIpdUxuGXfbEnyHMH15
gcF1uBoJPGzMFMpHl5uHkS30gT67Q61III1igmRJcg/0AuWNI+u6BRwCLy7D+txdwc6FgApbxAYy
sijayDlobg89uqgzHVnNmNy5pwMlntWdZYxcds4h9DOeJFLJdG8RXyDZ3VCV0wYF/IKeEHun0uzF
gJa3VtY07RqVdndV7t21EmoyUQ2kysRrKh3vryVFk93iPCRVf+En6wswvHd22srQtNID3KSnSR9v
okpvkNI1e6cZ8tZk3Rd4AiYx9JKtbGP0ior3cOKVPRtLDjV9/CinpLmiR4gLcN5QllM1r34OlwTT
DmNLlH3MIq7kVvpe9t50n0i+LQ2d4+gX8RVYD/aVsPYPZg54PwMARmH5Q2o5F/GMDaMuAfY21d4q
tYNGwlpiW9/Yvb83yvy6KtJjuhCSkuZ6O/XQd2vjKKqmCPh8owKn2T6t9Qu6w16Lno2OHJ3lQ2H5
EujffKIrnElIavuoaXZ1u37SMzJQS5QytOQgqlO8zb2F6m3ZCuiVsK7QE/MA5YyTVRsxMbJRxf0d
D9Y91oGWT4BNjsdEyZac0K6H66NMTITWof64ynQrnP6h8PsHkjYlWLEtw+Jdlk8YnSMDRod2ms0i
tEV03U5FGjZJXm6ase+QoP2HiPXQBeQvMF+OO23TiAY1qqWuvJ6SCKMcr2VmX9pdqx0BHX+oZzB4
ZvrqVFO6XWnY7WgrJV26bD381PQ3yPkScJRPJquK2Jg5xznG1QhTjvzpJO+9KgrGhP8kgkDvR2u8
w7IEwcbCE0O5Tk4uVC7B4AIkm4v0MpoFkZWK2zwu/UujN+xNsnYFMyDPHr4XeNG6cxWX/WkyvVNv
DSJc8+lpyIbbvHZmdi3Ze2JblxYFnpNDjhTGPS2sFeWi3dQxszUIzRqLoApeTrh4wy3QzcvV4uFt
Cv0DXXRcVrGQ2PnyYYGOvJ1TeGaJHnUHoDhLgNjNJbRybw1/zgL+xpFdTX8v2/Ww4q2isOfFYxxM
/SlwXJfKF0bOSZsrlGp+WC5zPrnFiJhDabuhUUfPdLjudJGzS12tuwl6RJBllICIuPYg/KDx6cuY
Bo7TXwLe3HdckGORGUHtDmAF44eWe4OWTSzihneNG50Gp/xiOXP7+0X41X+pehj++0WI6fonZW3q
a968AxU/lT4JE+0LZMSbdyDXWkEpFJT9bwSJv10luovYBaXKdonYK+7EN/ul9Qf3XQsFjSspEht9
9r9wt/2H+1L5SrAp8pYFsuxjZv9nTTeORIPpuczgDlVM655GGu5U2DGYRt2tbe2aWy2ZFp/T3GEO
vKCjNbA681NWWPHOYFcIo4bxixx7UIg53fQ2K9dU09Zt0bN8j7ylft+mcOIHoztp7CNHtZiMJ1aU
NrvKnJ2lb1L/oKk1Zsk+U5iOvkM3t7Yau05NMydewaw/2R9eOqCFA6lWo1mq3UV1fqvFphaidDVb
sy7NYIXgcshXTu2mMrNTLJqDrxavi5xOg9V5RBRZyhYJt0pEDurIgWxdl112bxtpQYg6L8JELXZL
Nry9WvW6eGCA47D+1dUiWFcr4bq3ehahWbMde7u5ofLooVArZHpw/DYkWayumZPROLv66/XTmGr5
2A6Hopn4Mfq1JmdsNAv3d30Q2bGUstzPEMuLfd2Yy++yt7+M0f/ryEk09ic6teL7vXkwCcVxlVRK
9D/CIMyaMLKZKtUjy+7n22Op9kvEJlzGUNTj87/69lhCj0NONj3mV1ucITK/8Fiq9dEPF1MeRf5q
kz+Iv87jGf/hYgqvzTIJQyOX6vshek1neU2l28bs2qMfv7w5sDifcE+UbxmHxj+uwWcys6Gu3EQH
LUB6ZwDNm2twPs2kstfUucWoeT2J9QpTAp0VifrUS9i5oit13mQaTciDQfPiGYORmPGnPPePTTlu
K1pztt0Ivs3U5/JQeaDbaA8lrFqRQq34Hqk/XuSf7uSMlJT605fGW+IDRw5ZrsWoPlmRayE1Quyk
nAdUk4g8nzHuqTtjnFgtgXSKzOhKrw2/CKueP5V1AfAnFwyU1YpHa9DtLIw1I+h7BYsibWIBnokd
khsLGa3hzJYSvck0aNsw2kNoWPCnylg3V+weWhzqZ0JVc6ZV5e5cv9chWNEB1eJ7wRKSW6v2KTHz
yAsIXKx4FyKXEd5LCOUjwpegR9eCy8pgMf+aZrspnIllt99jvDLdGr41e3fcvYYYT0PvPE6m/rgO
VLVOrnbIl+GGxtgb+q7uRtQtaWZ/DqRWSOpkm3rJcc/UB4yB5EsAlDn5MXHw1vm2Mvpl0HONbGPo
8QeDiotJlMdoBo1Ze6GW9OHgcu9ePf/UgZ7W8nZXSyoeRPZIEy+MViTGvedQy1By720rG+9uCpZK
57Hh9uEkj7VbTiLQEyRNbCG7Qkt3NoUVYEerjWtU93Md7aj6/QTbVdsQhOQGP9C6qzeD9yi6CfVz
nfXjkjQOPRhkOW/iuBWfWrvdlAVlADcY+y+47X4YfAwCQ0prRcyQohvTbZNTipsCfj3oeWqG/DLN
zWD68LjM5tZycg7ZBIxvZa771u1urFkebR347zjPRwfiltmLbep613O8XDHYHTVY0cfes+OwsfQH
nrwLI4WPURrHVow3kJC5vM3sbCmgu6wdr9p3xcxSQ8TvCAi1t5zrV7nTLiNXxGU60mUeOwEohfdJ
ZV6fH8nfMqHBQfffl6nN57L/mUlXfdWbU1sHHkQ02SCRxeXph+sU8zwLb0hEKu3Mv/p2bnNnEjA/
8ef+Zcd9e51CF7DJxsAQckwVT/mFc9tQN70fTm5lAyYvyMgnIO6T5/vx5MZV1oy5XEFggDOGF7la
H1LFOJ58726AKteNuskq7YxCbs5YZMw/a1i0+p+ejSmugDjEBJMe5iF/pIYR79vUX9daeYbkTAH7
oOqAlv2ltLSbCJlsy0ddEXaiZU+WLxTjih9Rt3G01fknE788/jjfDkZks9ADG5Da8YU+jk+dNawX
ns/qvXOtKCjJTpAFm66Nxj6NyXwc5AenPHv7+kBLFkU0FLuoKm5AoEvq67Y5QYLM0Dke55gQwZpe
tFkjL+e+/KC78ROhtJFbGA6uuZiDeBLvJh1bj915ZM6W/tl263XTshLZ19Ict2IljpK52Yuztpej
nOzrovaPi+34p9JdCe/a5UnG5pSC6ouja9t3igBF44r1j6LB/7lGJE203gt13wAJ2F9w/LaHUuO8
5M94V7rNJ8/HWyTj9EWm+XMkpMubIEvvO+InYS1JDpSj0YRTphUXMVfLvm0vhjl97Sf8y2kJ9aMq
rWrbNcZ7FofKzuzGm7Gz2j3taT5bTl6E5rJGR8PIOfPjwdSuIY9zkfbPl+ohtoARQbtfLtOyoGMq
hv/oso3JckmmmQKd97bWOtox7/Tssqq1gE0klW2jVaYXk2lj0JDNdJXrY3/v46aifUnSnRyVfag5
E6ySEs/l3TiYeEFIuTf4F6N+m6/YODWvQHaGqk3BKHzt/x8PK06Ysk/75fj6f/+PsPD5/28H1U37
mUvVT77k2ykFM404EnQFwVClTpU3p5T1h83xhasBmwFD3JvbJVFj+H583fetxfehTwmfik7IhZSg
3K/aIM6Zurf3S1vZl1yuevR+YBcSqqvjzY1PdsMqp8FPbzPJ9OUHHGpzw6dGOjd+VFvWHe00bbev
cr0E4heximdxPuIFldFYTf/D3Ln1to0kUfivLOadAi9NNgnszIMl+SLHHttJJp59IZzEISnxJt5E
8tfv15KyGUlOkIRZgP1mWJbFUndVddWpc9rbteUAFZQgTs/QC1xV1kPoxlrcvrPdRlvpU2dFmTBv
IKoHWqdv7qp4rX9M9FxBWGWZRsgyGSEwJrM2Mqp8GYKhbnOReSJAzHi9XCRE5U8WRdDsDF4I971G
A2XaglVeSDSgaL4E/RTGmPjBhrboIugzWnterP+5WkEBwEGAnQtO94LWZx/nTCz1ltDeSl1777ZO
OEts1VOGvfkWqBZFPe6Xr1owjleysev/bJaUjATkucgIwCz3UEh3Fc7KrKWBW/e+N8tNRpjmjBEh
A+DWPT6nXMcgEfQwvF77q/OgiYJpFWyc98BUq7d0NcLlrU1qMQOBL/+MYDugFR21MPvHTmdPKxlC
X+N7LY3OUq+i7rW0qyqF5D7vHn2ohvDnHsiHrvWD14yi+95ZmYFkmXZ8/KvI8cPrftO2j0wvGfaF
I0i3gtRq5p4DRmuqG8vEOJeVE1Jpjqz8XUdKizz6eglDlWyShUZ2n6Ek4qIVkvi9+6e72kBjAdiB
LcHACMPcsg3Lfra0S+DCEB53f1d1t3bueBKTXH2FEOrMi0MqqjojH6VeOGeJtgw/yQIm2jCIVpdl
JOrzTQA7sL2O6hl4E3m/7gWJZorsx4y5vOx+BUnxosuEf6Yna+Nes70NHjlxFr6QHbp1he183OTM
ZbVcyW6J9xRowy5jEvsMPmf0vNaphn5soC+7Gz2tqV4szJXYcFXw7BRM2xxDCFjcmjDN78RqjZpF
n0YGOBAr6qi5hm7kQGQPBvkV/ekUEu0wpZwDq67BzQluOKx3XxOe6QkYjXyd5CkZtdTQF/4rLhqJ
allW6ohJe45/Vugh1TyrbWU5Y1ahzBbLzGemxsmD8GNCiZEaZiwJQTTZE42mPwijqe+22W2pudGr
Jq3Ca8dPN09ILzhErXJTz7ucOxW10y6Elwc1HWbPY0cPL7tlbGaXXHRjkDUGFLNk9YFWXepFIhWi
PrqL2s7op+G6CZewc/oJJ9t3pX9m5eSvM8iYuGowRd80r/o+qtczk7n0KSy7NWjYJmkUEZJWkFFo
qRfcOejYlwxv1om8aaGxuqUHqF8UK1nPwsAKQCfAz98ABsrdWazJ6FbjAticNz5z+wRv3QFyHrub
RzMqs4vKa9fBQujlQ99Wy/7eq7UPWu+lnCnNyVqY9JadfVtlVolIyJqhpfOg7rJHaFd0NBOYDnqD
Bjdj9cLPixQZR4Eis6elFd0Pt+lei7XXZlfU4Ko1WPbYdC5iPQQsJJe+dcXgffFpo4m3du24jCXY
Zf8akpAmv9ysQiO7KvyuBfmkGddWWeo3cJua9yLdcB5BkC2T+TLAm9lK92DVMfmKCI27WGp0VWYu
Bd32VWuAzpBWmfZwFBSrC9f1yzkwZV+bRnxXtH9zqvdmL6x75p315tyqoT9wiO3XmcNwrQUHoDfX
ojwJkddrjTd5L6IZ6aPJ97xCSv19sZbLp6VeaW+tIm7+LmERLOZFJgRnDfUuBoZ7romGo1VXRRAI
RkzrZQlXIzok17xA1GeGlmtQsZlODo0dk7dJuEDZ0IZgu4PQJ2dMsYtFM2trB+Gl0iG1sJ2C+Vnm
WppLiu1WNverZBMoCuOkFjdZmtewm6V+/MboAuuvZtO/E2xhRqkYI+G7oRMN0mkj7x07MmZB5QMX
N8P1lfRSqc/TvjLnsWb7wLjbTfsAXaC4jWFyRzWxkIlxswF3dNNXvbMEP5pZj+uqfQzals5U5UDa
NjMiP3anTDXTyQCg09Y30Hgat1BOlw+09+Dho3HfBvdG2/iFyUBoTGHiMrFkJdFnEZof+Avw9xs4
+N2Vcf5/yZRuog/QZ6N4/m91YfwAp0URBWG1vZZ8+eniObt9Sp7L4xcd/E35x/bXwXM2e6qeDn6A
xJR0575+LrqH57KOef/9/VS99OS3vBMfZv9Gd1mUVm+yn3vRt99on4a96fLn3397+piAAY7Kqog+
VKqm/r8UbVcCPEGdbD/Y9pm++T6QxTCz+5H/IGyEInSwHUAmduu3f8UZTnH3aw2w+ITauEECBD8M
a5cX/sNSX7PFtx/zs8m/ZdNvPsKxKQR55MHN+mdMAT8HOhWO3D6pTs/h0BTmBCoPUlDFQM3/GqER
jssLP2ME1I8YZYHaYrt41AMjGHICyRooehtC7jHvB5DNg/cDAxSI36gbyXYdm8IFqCGVKjlFjnHu
h90HOzpkP+gfuAwidA1Z9XadHAprwow3aHLVWhinEfjIg3eCQFoEfpa9EXjUg0MBAyENCwF4f3cA
R+gZiB4DjYDarOq7Kg70F48DkQLqMNW04bY/zp1wXNT4GffI5JQOayRBUy3MergTaIO5VEXHug9O
WCJ+3ATsA9X+E+IFV8De2I6kbW0zCofwz6TppbrW9zw/3/GXhAn9LIpQ8Hl9JSrgC2wq32RMIz0F
1vAkQUx4fJsW8IkjJFskUgB4HOnD71O3YRGR4Skb1RPg2GoduwBEIXRGNyEcGKsftIbnRqBX4WJh
NHUfDPi+D/2gNaHRQLwwwKWzRnsYdh9syH7gMNBZQ8oDnsztOjaFMTFwisD6dzF4fMmBmjsemBww
kqwmCiGy29ngZD/ALeTqDC2L3d4boRGGZ0jmBFgaBNSQIL28E8iQkAYBDDLW42D+ip0gIE5Uso87
G+AEDz2DmAglfYPa1EhjhHUsqfU9OYKKAl+SBFN90bYAXbVbxzECxS2XCj0zPWM9DvskfohjtCaQ
DZMLcUV+8TgYHkHEgzJstNmC4jkb6BhJF12m++F+363jjEnVUwSYui0qbZS3JtUcHWgEyFQd+OOU
StZ2HRtBHQdD30rGjdQn7C90Q47DVlXAoZiyLy8eG4G8kdkeAyG9sfoE8St2AuQj9PEh+96uY8eI
TwD0htPY56gjzBOG19RMpZwIR8S+pK6S48MQiaCFAMFj2rucZHxGUGLOg32CIsZGMehreQJps2K4
wX2O1ScMv0YxH0hjxUPBexchT9JmMkaofDgN7JFRRgelSDhwJ+yqCbYATv5inmCqy6YqPIIrVGus
pjB3G3VgjAAyYiEe8JX9ACsUdoJdZv+Cke6KE9HNH0+hgaxK9Z0LhnLUOokUksYDI+/o24/UCPtb
3pD9QDlNOh46EPuLxEmkECqUeAjj7osPYzXFr+jOMkRNQOBL364TUxgTNbqBtcZaezSHZw7KEyIr
6+x68VtXeJg5GPRgbKUlMNKNsK+JDjkTNiI2jNK7+7vEiWPgMuGogUL07sdqhN0OHWIEQLSS2X35
eScce0eacbTpJfDWXUVnfCmkwuQOTBzArsB98nWsAq0Yw1Xq5GpKYZTZkz38RkU7DgJAk2G8nV88
6crp5Ji055EW+ZxdjdIUJ/pWP54yKEV6T0fQbx8MX8imFbEGjYkfCBHfcXL2KLMP8fNT8cd/AQAA
//8=</cx:binary>
              </cx:geoCache>
            </cx:geography>
          </cx:layoutPr>
          <cx:valueColors>
            <cx:minColor>
              <a:schemeClr val="bg1"/>
            </cx:minColor>
            <cx:midColor>
              <a:srgbClr val="FF9900"/>
            </cx:midColor>
            <cx:maxColor>
              <a:srgbClr val="C00000"/>
            </cx:maxColor>
          </cx:valueColors>
          <cx:valueColorPositions count="3">
            <cx:minPosition>
              <cx:percent val="0"/>
            </cx:minPosition>
            <cx:maxPosition>
              <cx:percent val="100"/>
            </cx:maxPosition>
          </cx:valueColorPositions>
        </cx:series>
        <cx:series layoutId="regionMap" hidden="1" uniqueId="{00000000-22F1-4C64-B2DD-A07BB1415DEF}" formatIdx="1">
          <cx:dataId val="1"/>
          <cx:layoutPr>
            <cx:geography cultureLanguage="en-US" cultureRegion="US" attribution="Powered by Bing">
              <cx:geoCache provider="{E9337A44-BEBE-4D9F-B70C-5C5E7DAFC167}">
                <cx:binary>BMFRCoAgDADQq4gHcBV9SXUXWTMFdeEG7fi9d6BFbJSms96GRLTTF9U3AggW6klCrzhZOGtA7sA5
VyS4Z/rqeGBb1h2wpKlk3sH1AwAA//8=</cx:binary>
              </cx:geoCache>
            </cx:geography>
          </cx:layoutPr>
        </cx:series>
      </cx:plotAreaRegion>
    </cx:plotArea>
    <cx:legend pos="r"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ln>
      <a:solidFill>
        <a:schemeClr val="tx1"/>
      </a:solid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series layoutId="regionMap" uniqueId="{9FC58998-02B3-40C5-878E-A21563927C16}">
          <cx:tx>
            <cx:txData>
              <cx:f>_xlchart.v5.10</cx:f>
              <cx:v>Homes destroyed</cx:v>
            </cx:txData>
          </cx:tx>
          <cx:spPr>
            <a:ln>
              <a:solidFill>
                <a:schemeClr val="tx1"/>
              </a:solidFill>
            </a:ln>
          </cx:spPr>
          <cx:dataLabels>
            <cx:spPr>
              <a:solidFill>
                <a:schemeClr val="lt1"/>
              </a:solidFill>
            </cx:spPr>
            <cx:txPr>
              <a:bodyPr spcFirstLastPara="1" vertOverflow="ellipsis" horzOverflow="overflow" wrap="square" lIns="0" tIns="0" rIns="0" bIns="0" anchor="ctr" anchorCtr="1"/>
              <a:lstStyle/>
              <a:p>
                <a:pPr algn="ctr" rtl="0">
                  <a:defRPr b="1"/>
                </a:pPr>
                <a:endParaRPr lang="en-US" sz="850" b="1" i="0" u="none" strike="noStrike" baseline="0">
                  <a:solidFill>
                    <a:sysClr val="windowText" lastClr="000000">
                      <a:lumMod val="65000"/>
                      <a:lumOff val="35000"/>
                    </a:sysClr>
                  </a:solidFill>
                  <a:latin typeface="Aptos Narrow" panose="02110004020202020204"/>
                </a:endParaRPr>
              </a:p>
            </cx:txPr>
            <cx:visibility seriesName="0" categoryName="1" value="1"/>
            <cx:separator>
</cx:separator>
          </cx:dataLabels>
          <cx:dataId val="0"/>
          <cx:layoutPr>
            <cx:geography cultureLanguage="en-US" cultureRegion="US" attribution="Powered by Bing">
              <cx:geoCache provider="{E9337A44-BEBE-4D9F-B70C-5C5E7DAFC167}">
                <cx:binary>7H1Zb9y6svVfCfJ85S2K88HZ50FDD57HTC9Cx+loFiVq1q//Sp677Xg7jj9cXOMYG9hIqylSXKpi
1apF9r8v+39dpuuV/tBnaV7967L/+2NY18W//vqrugzX2arayaJLrSr1s965VNlf6ufP6HL91w+9
6qI8+MsyEfnrMlzpet1//M+/4W7BWu2ry1UdqfykWevhdF01aV09c+3JSx9WP7Iod6Oq1tFljf7+
eKTXgco/bn5u/f3xc7hep2v98cM6r6N6OB+K9d8fNxpbHz/8td3Ho/F8SGHIdfMDGhOyI6VgFuPI
vPrDHz+kKg9uLhvIMncsRKTFGZNXf7edH64yaH8zog+OavJ6uL325MCuhrX68UOvqwqe7Or/j2+w
8TQwE6e/nIW7Pi+nvqfJDwCHvz9e5FG9/vHhrF7V6+rjh6hSV4PTg6OmJ744u5qivzbh+8+/tz6A
Sdv65AHC2zP8T5c2gXwO4FV1qZ6dxd+El+5QKSRnCF+jJ7bhRTuIC4mlgDfn+q26AXYayd0UP/O+
/QLWjeYvAXWjwbuCNE1Vt7qd3SdN47dBJRZhFr3BVLItUBHfsTinklLryqbRbee30F6N6E/A3bzB
i+DdbPKOAAZ/M/nqZ0zkt+HFFqGMCnntksEyN1wyEjum4GCxCKz5oc1ejeT1sG42fwGomw3eE6QZ
LJBp+sZGy7jFwBnfrKPyMapccCJNQbZQvRnMHwC7fYeXYLvd5h3Bez5hmymV3E70GzllykzCTfaL
QArvCCwsCKW23PHdaF4P8ONbvADhx43eEcRn4Vpnqzd2y0RwREx2AzDAuOGWIVLm2CQSYuXb9+p6
vb0Zy+vh3b7BC8DdbvKOoD2AFCtX2Sq8neW3sV6KmIm4vEmDttdcy9phApFtaO/G8npwH9/iBfA+
bvSeAFZaq+5t0cUUE86J+EVEJXcoxZQKTG+7vTbdg6uh/AG4m+1fguxmi/cE60q/caAM3AWWQMqQ
R6QF3jGxxOCqyVMJ0MHVSP4A1c32L0F1s8U7QnWx0vn6eeLnN9MfvEMFB1uEWPiWcdpYZ5HcMSG3
FZRurbPXQ3k9rFvtXwDrVot3BOvBKg3Xjb71hm+xxOIdSFkZeNlrH2xux08Ta0EQ/HHgMx6mtTdj
eT2w2zd4AbLbTd4RtPtR/qZxMdlhmFET4W1ALbyDIBuytu10GsDrwdxo/QIkN77/vmC8VOn/ByQp
4ehpz2sR8LyEUFNeM1NbiSzM9DSiP4J24wYvQ3ejyf8BgJ8f4sYzT5WC01tn+IQP/t1iD7hgLJgA
e/0FwCbEwQJdmfJDD3xbj/olx3ldDntU3Lltt/FQ18/0/Cz8nyra7K/y9TMgQSr5uyU5k1qIklt+
H8KcjQAI/KopEZIEXS+l22YIw/kDG3zY+gncNj6CkuT08He9vSNQd9c/f6519bbMPiyVFrhOSqxf
2B9U4yBrwQLBS/PQAO9GczfVvzRF6xe2+PgWG1A+XWp93Og9Qby6TN4YYGsHW4wSdFO5MQHGTdO1
dgSHug3hW0TD7vVY/gDerRu8BNytJu8IWkcpKP0/YyO/6ZIhkuVMYjxZ7/T3KNQlO0gIKTi/sezb
zq9ppGk4r4d2o/ULcN34/jsCdaHUjw+nUfu2Ahi6w6GaCtjhX0CLdqgF5LDE23TD3XBeD+39I93d
4wUAP9HqHcH8dZWFUKC7taAnwt7fjqgoaJhM05L0Ztndrr1OmSrU5TAyn+QLb0Z0B9EzfuVpNcz2
DV6A8XaTdwSwq5ogXb2xfwaAiRQCUtPp74mQGRNqAb+/FSzfjOX10G7f4AXQbjd5R9DO9Sqv39Jy
yQ4GxQQU1vnT3hm0MBK4J4uxrYDqaiSvh3Wz+QtA3WzwjiC1V8nbLrhkBwpxwCGRmwV3O0YGHhjW
YskFBjf9MAm6GsnrId1s/gJINxu8I0jdNeidmyt17DNL2W+GyBM3KExxU3F7IkRGOxhRRPiWvOlu
MK9H9vEtXoDu40bvCOHPqyoEyXr9tvQFiIktLIlgN874UdnVghKP5FiQrQrO/XBeD/IT93gByk+0
ekcwO43Wb1p7tXYIsgjm5FdycbJDrEnhJrZ889VIXg/uZvMX4LrZ4B1BeqzSN5UlgkYCmGJYb2/F
4tuMFAa3zBjH1paYeBrI6wHdaP0CPDe+/47g3Ifo6TaKeYtM1pp4Jga6/utE9TERZe5AoiNhc8AW
gzwN5PVwbrR+AZwb339HcO6qal3AyvrGmBJickzELT3xhIlaDJl4Wzl8N5rXA/v4Fi9A93GjdwSx
A5vjKlW8pdEyMFppSvOWHH6CnRAgT4Si3hbFeDOW18O7fYMXgLvd5B1BOwdaMVplbwktMIuYo19v
xQJROBJUEEK2/PHNWF4P7fYNXgDtdpN3BO0ebOhY1W8qCbd2LNitgcStWOKR1aIdDnwjhb1at2/U
dbXnZiyvh3b7Bi+AdrvJO4LWBo7ibfNYskM5YoTfchXbDBSUA2D/JDctDBnuBgN1NZTXA3v9KHft
X4DrVot3BKuj33gDFlDFpmViZolf1ADMHai7IwvK79df2MT2ajx30DzDiz1d4tls/gJkNxu8J2BV
2mTfo9Xt9L5F2kN3BEMCKjy/2nsFugpkWiAe3spinZvB/AGw23d4Cbbbbd4TvCnIRmCxfdP6Hd3B
lAskbuB9SjfDYGMsRFFb9TuIVq9H8wcAP7rFSxB+1Oh/A+Jfn1Bxd+aHu6pX3tVpIQ8OqXj+6u3p
FltNn5XTXPvL5Y+/P0KhHXOw1Aeqx+lGG+voPSt76yQ2W65XVf33Rzh8xNoBKpKDTwfKGSQaUDro
1jeX8A4Q0SaHDQVQ94V9tx8/5ErXIRxpAooOLils5QMWBI6+oEBGV6q5uYQRtyDZxoyALl2gu3Nc
gIAa4MyVu5m5+feHvMmOVZTX1d8fJcQJxfXXpuFO3UtEsUlNUGoS2LACHRWXq1Mg3uHb6H/8MPST
eKiiE5oIfFya2RDYpuGHHh5iVTiJDvQiLiJW2X1TNJ/isUxbz2dDtcS+CrwU5fkyI5Xh0iGOHJ6q
XZiF80LWy7rpiG02KLStLiiWI+kLb0R4WFDODNdverrMwyL1WOvHSwL6FjcWudjVwZB4OPWThWBG
y5yuG7t5NfSZF9NyKByDcd8VSZbAfcu+Oib+IDxL5irldoZ5Hbpx24qVbgvVeCOrzwMzyfdLOubL
Qo++G2hLLAydht4w0HJZkyDx6qqIDrSm1Vyhkrk15sHPqMK5RzuRB3ZAat9lndksaz+LPV3XdWDz
Mk9ORmKE39s03y06U3l1GmfLPEOGOwaWsSiqNJ53YQ5zU0GfeED1aVFh7DEmil2S5ZVHslCZnj+W
RlHYV/eo+ihZIpnmXt+UEXGCoWg9XIWGm+gxWzJdRl4w4mxJ0izwkjEny6rmo51KeZL33FRO3Fv4
OBglLZ2Hp8hsvDyXqhh0FIQ35wDd/fM/5yqD/66Olbn/cDpG6P5f87Wacohq+0uTod996/5omsmw
7s6p2TLX67OIfmHLz178PUOHBfdO3vyUod+fZ/PAxqdV+tbGgbGEaFwIAbtrgQV7aONoR4BtUbgG
5xPBprANGwcfQ6ANtaQFZyrc2zjZgZMxrqJ7YoLQFi7dTsIGTHB20xM2DtWNDSOfbJsh2BBhgg5B
EkgJwNE8NPJKxA3Ks6o7TjIWumYTJk5CfOJyQyo7U/RoKMYvlDWWW8VNaat+yG2G09zxGS/tSGbV
rh8GP2WULw1V7g5p5hnZENpNJMb9pE0Sp67D1B6E6pd9gWdQX9O24N0ejnRsV0mTu4HiysnTZD+i
YWAbVvPVt/JPfunPqhA+SETSzgqZL4eyXbC+0U4Rc2oXuV4bZWq5IIK9EK344SfKyWhFXFqGF0PS
HURyyGaJ7L7Ct46oyjM78NtZhFjgGEnCZz62nKjBg0diw1G4r5yGsvNKaeExs+xs1Rqfhjr/FCXZ
aWWoy6hB1iwKyiD2LGzq+kCq7HLoqddXwdexbOZV5Pd2G3e1jeLqdPSzxEmH6FAz61sr5QUOhLR1
l+xSji95M1Y2Lv3GzkcRemGrTzraHAxpxWDa62PSNTDRVRMteRZ2bhNGnomb4zo3LkVrlja28top
+mFRDX4w6zpu+zz150kVun0e22F+0FRqdCrdXpiaDPYQDtjp9efQ2NNjDfAUTleZtvE5CYLzUKfn
dSW/DqRLHcILz1eFDT6PukP1DenYRYmwQ1O5Zm3OyhCbNpO13YXHKGkvg6KdhV1xGmWtw8PeLUN5
YKaNEyLzuA7zpR8PX4jZ7dY4mmV8LOwxSZZt4ZdeZZZ7oq4Wef0T1/zQVPVRnPrHg8+/V+XwAzSL
a9/0L8jAV3E5HumEn4uoO6tU/HOIA49G0ScdZiejH8DBZQmzNZefRhElNu/HzIkkWbOxz51xlHuJ
qYXdkcaNODrnRnGQ1CR2mzhaJDha9joMnNQq91k/Sieqaefkmv6MA/+8UwWyy5YkHjEjaReoMb2i
ztY99wenrOFxCj5+CSmB2xf83Mrx16ZWjZ1olcyssv4+VZQd1lYHeIxT22hHw42rwsmYOE4w3YvH
htsyN2ZB358wpRwsM+pGQhwHWTMbMCptH/RD9qjjwWlMdNTIYrfrg29VPVyUOWmPZJZf6KxbFiHK
HBawb52l5tGAO6fjau7ndWeXutiNUincLh1XEUtmfRiWtonHlTDVMayv2On81gDr7i/8Wn31UVza
Q8LWJR5T0HsxPIfL2g0SvvQpWIzl8xkKZeO0ZbXOuiH3SMSXpWkpN4jDaLfDOJ13RmV6fcoPYhYd
tIao7aoZmd2IQNmlDwMIEpLOMwVj85PKHnRH7WCsk/1KR2A5OinsGjyRP1TfG2Z9HspqqfLSdMPR
jx1kdO0ijNB3Eurok5n3MP9SIJtUvXUpa58fI1aUx6JS/rlfBskBz1iVOG2jcltxFu/lSQVw4qiw
u7yI9lNuRTPNg2ivbmGdtzjSB4Fu+bckKDTzaBYNX5BZ5gurAg8UZmH+raqw8SNP6nAPihvpMoWo
R3ppRLAr2Si1mzalEdqqK6RappWeJTgNa3uMx1E7IhH8fOShGg7KMsg8rrmAZgkNIXoYZkXa+A6E
hZFdFsOaITbCVAgIN6zosKmjyg5YhewwlccS90cQJJgOprqy+RjthQ1at02nnRzz2OFtTB1Vp2cE
VXN/jIQXtwV8kWvDiYI22OfFmDp+agq3xU1vl9bQeUnUWbZQ4aqMGLItFXmq9lunloG/L0VLwCD4
cdLQwLZkldqgmsGzRtfSxX0vXZogdhIMjTkzrUq6ozS6ecnMXR8pZpdpleylY0eczBDsmA0UO7Vo
z5qc5DbEtdxhfn7EZJy7zDC+t2HeOSrwLwqiazvkrNmr/OJkgNjHrdK2228z/bOqRzxPcrJPi3h0
ky6CW4JG00my9vuYVHq/xUHkVNUIs1gms7gbarfg+Sfqd4Ndsj73Et1diKH+UkWBnlaJC7Mk0qF5
9KMruto1kYYVLYw1OP7sU1znX/MC5s/M0sLOI4Mc1IZZHZWJ3LeGlCWeUXzxWwjeG7vJyjh2a639
0QtrM0oXOmBLI+k7dtjrAsnCKRpwJd//G49dJ16QhPw6Hrs6seuJnGvS69zEY9M2bFBTMgzby6gF
Adl9zgViSwYJFYfjBGH9JlPQdZ9zAUFjQjomr2IuAQHebc4FCgQKCZwJ56cg0A9BgPcb8Ri0exSP
cYgHoVYKXSGQhcL4HsZj2jD6mPVdcmxZEbjo7CrhUW6c6UMZ0EULHspDCRZuFPJlYbSwDIt2hlPj
DCf5uR+3ngoh91ggmnthVsyL0ihPhRkXrtD8dCiti6bzF0E45m7ip+CSVbkvsRE7Y0Z+orw7HQpj
joLxuKrMQ1gIW/C0/HsWWeWcZkXiosA4r/1mQYbCcowirz+3pCgcSwl4rcE6kW/A5wKlNhFlNmt7
TDycYMPmGDVHYM6JK2T/VUQktXFBck/GiXbixt8NayLdIdZOgySaVbkobAPWTWdsDGWng3TKtPlO
dQ5BBgrsprIudILdvpMzo+PrUrJ5Rtjc16lwsz74Ehr9jGoVOH3RY4g5/L3aMk5M5oPz9EnmdHF3
2hQqsetAOoUVHhSZdoKQ5ofKiuakIu2sRgT8N5WLnhVLIxq8IDb2QIjvpDT8imkxjyrDYSbeTYne
VbW5N0TwmchdFWQHMVEe1hyyWfAoBl6kdJhhLr0sEYeMGbMcQqQqb2c6L+cx1bOuDAevxZVldzST
dlyNu01f79UpOy8z46DojYOojQe9aik8PmkprFKQeaT+ftizHhaBzhIalh+aVEcqUBGz0VDj1K7E
aMS2EVRx6rBG0wXvB3Lc96NeIAV5bIKEtcAo84/NMhQ/JCwuqKz4UoXEcPtxhFSAZHwRtUl7QTNE
Tpoo6xaD7tPBKxLaJLYYjLiYQ+KfLODfKLFxXY9LEMAWJ/nQrkhVCzdP4t6FKekClzUs9USnx0Nu
cDV6AdfxYc15Tb/4qC5TO00QDd2yacLDPMnlLNOhWBocMm0I0Mva0yLlHaQeZmR6ipL2sDRbnDna
/FT6hZ/YCYWlxDL7JnVbmoWJLUNDJLBUUbtrA652TbP53lRZNA9okdm8tuJlOhqWm9J62DOKrlHw
HjYC4vOqpuk+JNJzOaTUMSAniiFOsY5QVAWhPQ4iRF5ZJ0AEsHqEl0omeR0voojwaJ6MZTfL9VCd
Zo0R+m4X53us0H1sFz1EgmZeOcEY7/Gu+RKJLLENTfZIj35KoXZx2M0wUBjOAK+JXag+sBWuv0gT
oqYsqKlTlT49szix26HN54msPo1FdFH46ojiOoYpaJc5nELkmRAiOT6NfsCe9yOWZ05hptpBpTl4
eIA3PCv2w1QvjVodd7r5lDfxgR/JY84h2mRM7TVwsC8NIRXBoaXtkVHPzNmsjjh4AlydK21CnpCf
4JQktp9R7lDT+lxXlNv/XdCuFzTI+p9Z0G6OKXxiTZuqsvdrmgTxBaIMOIPpCLcHa5rcIRj0VHAu
CZR7gdG7X9PYDuw5kAxOx4WNQfRquXuwpsEJNLDdb1onryjG31jTpsXxAY84UQycImAq4BReoBGF
gKrjwyUtjjimY5iVxyViCEJ3X8btSO0e7KHJjMh31WQkEMJ3s6E3RDQPO6HjBb+yqEGbGdCOV5ZG
SwFWVzbmkX9liWFZUifv6ZyLiKf7URRKcO7lZL/JZMrZZNRsMm+DgKHXk8mLoPoeQLagdhH4A3Hl
GYCkBS/RJE2bwqLIc1tf+RFaT+k/WDVJ4+4wvvI35ZXvsXBXe4GYPJJPCrHUQSNnenJYyZXv8n0f
/Fg2Bkd8iDK8XyV+sLDKqEJLyKwKu5VGFpROInxizfIiK5FrWHkzeiCIhUCxZiPSR1YaHwaoBpJU
RI15XKFxzGwrYSUYo4mazBZkiGubRDhwgjYTHqFB+6Wqy/oS0ziN3Ur7rWVrnWLDaYtMYDttErdL
WtY5ScCRjVkJGRqJLBLMFW+FuEhTo67AM0QysEMoVxyFo9l+ho1JbbMcgApWdlGUDB2WnJf1UspW
zwJGosTzB3TwX4u/tngI6X5t8XfHVj5h8tDw1uSnGj4cxQjHusHJ5rB3E7zBXekAtipAqQlRbsFm
bSgS3Js8lA4ExsAbwh5uE9wFMP63Jk93TFBFc8kIAbPH8rdKB1Nl4GHlANgOCrQlHEcHsj/Cpj0R
Dy2+SIYSxb4qT2K9xOJbl1qeTg/1WLkPpuYJ+hLJyXfc9wS9gJfCJgb1L2gewLtM4fSDGoXJR9GF
eMhP0vTUkAMNL/2gofu0s5JPlZ/IAyZZ9CViHQvmrUbWQQ55v9d3RfCFD1KCqTd5tMhNnqRO33CN
7FGUdeYyc9BerHSyl7VVFuwL0w+AiVHpChxdcNYaclyqBGwlatNyt+4l9sYqbE7JROcHFhQ9yoni
HyayX020f690tiynUkADNYFhKg6IqUxQXlUMmql4QKcyQnhdUJhqC/FUZigMHfxUWcfAnKEI0Uzl
iKKDtGCcShQ81MAdTmWLcipgDEjnSxU3+b6QzbmR6aKBAULJA6gAqH5kqebf/DgcWq9g1UGUjmN4
qnBb1k6p+G4aIMPOwto/Nccmb86MvisTO9LhnlXVP40c24bR/kyqeIGL8IvfjS7R8d4AcbQ/ZPMs
bCmwm1UJ5Gp4YiSBqxs0Jyib466YqQ6tIKbqbJ/k/oKXBpszxRI37elpKzoa2zmu3DDkB7LL9hvg
zGa5Wc4TZS3DoRsulFXbgWpTuwiiU93Wrih902H9IBw/4We1zxCwm8apKilUVzJqzEjPDacbCuKN
uGoPA0r3NdUYSinpMuZ4GQR0Vho5MBIQpOOOnxWwFtpdZCw7queyhve1AEaoNGO7R9ESJ3Gxl5Q1
AgbRD+yBUNfKIRUYm7Y4J2VWxQ4BZtnmeXeYB3hGGXA/Y1xqm2DhVMial0a6MLL2Bw3IwsSJrXPZ
21Dl8aJG9Oco8L+RWvoOKyLlVSmWP1SqIezuPhlD4CILOHJgavxFwibuHYBpRlTPgWNYNzAWUfe7
dRl/QyM/U7GVzDsza9zUymzaScMj7GvNZOm17fi9HKOhBlj7+jjXTeHGKBydpPWdKA+PSBV1toGS
b7iuDo1MrkpGR5cGwyzVwUXMlA/sv38W5b4Dryu8Nyk5U/D6DayM1s8bN/ipZ00bSuMPTRuWRSMI
ZaBOdP851WcoO2sK78+62PJThkGhaqqhC+qvwvE0gOShaK7XMahY/aLE8uRjMNibS2GLLsRnm4+B
aWYYAijPE279ZBYQemrxmoe472Aq4z5wgSmODaAjQ3WSoHM/+JKgWQCW+HwfECY+i8VWH6THUOkR
Rn7SIxeFLt3jp6Fw+szt5/jrn3W1FS0CXyYVCWG+DGQPu+04k3SXn2SNRz5Hn5/v6uk37H7mtrqS
YR7yzISuCnXe0os+/qzz3Vd0QQjDIKKdTnycVsoH4Ix9XPlCADgce7Fv2UDLQE1l7/lOphrd9iI4
RdhwXCicLGlaW+gURKDQYFidWFXmJfmu7D7F5qr2IcFMz5/v6qkpgyO0OJr2m1tYTNcfPI+SndXH
aChOEpwDJe2QmoIj+v58J088j4BsxSImBZIUfuRhs5O44L2RoaI8SUNhA4Vm07JzGutTS04S/x9C
iM1Q5SqAgL6A9WMUg4nS6c1/8ECDpaWfTH0Zge9k5X6JgRyvLnH7D1a6mQQ9DlS2Ji7wJSxWsN6c
6Fm+bOZm4hXKhdWnJoe/PXkbEdHWG8fKWjRdBC91gHfl5+QgMWYxWshu/nw3aJOovH2gO+OZdjM/
nDih8YDjLlIn+Cg7HcZdKGfNyZHpLwdux//Q2RMgwTPd9UW2Xoh2JEnU9NCXLF3SuSo+ZM2cIe8f
HunpYPK+m63lgIdW2PsgozlpvHxJrHkN1MkSH6DdIHcKByKMwrkx3Rvl0vG1lV6rbh4KHB7qHd6n
cIICRr/OcrZ+6eleOjE1u81x4CRc2AoGJ4bB+QeSggd9kOOYO0TCggpnI2N6nf7cU/XwooAXhLQI
TgK0QAN1l+NMElrGJmpdgLpp2hL4G7QGbByFN/ze7V5JJxiG0cHZKrAnGJRSmxbAmlYVEW3K4yFj
6SxqmGbr3k+GyBuhQD8GwG2yNo7piuA+/9SyWpmHIrfkflhTtGDMT8xTZOkQL3SoPBPJn1DLPBuH
gHZ21gx8HpQDSmZ+pvLTgA1hd1k15VkWi7Sc51WYcmWzMDntQaKQg1SBTpqFKkiFV4OMIZ/0DEr5
Tln1g0dLC+Jk0DxAiRbUD7KdyTTJ7EiZRzEIJMJJKRFVzQEB6YRV5MSVIKYARuBHDOKKWBrIVSC3
QAWmNp0UGD1IMeo2W8aTNkNk/k8Jag05qTZAvTH4/s8M5BydYSlHTwoPa9J6iHbYoynXtmzJDAiY
HtRJoAwBGVni+PUw7uuyDe0eBCSQOe4KEJRAPXUdTgoTOWlN6KQ6CSwEOdukRCGTJqUHcUoKIhU2
qVXiSbcyTgqWeNKy4CIFwULYXqrWmnFfIRs0brvU1F97BdKS0vqhQsNLoHY9JP3MyJt1Ibp53Ggv
TPEeyftdIGMOQmoAaWqYrlBj6dEw2x+UwnaGQMbGu3aNgn5pJjIjC1rkSWo3+cRXSTFGFIqFXzRp
gh+G0YCYrU1KE+gqv8vj7xkkHK2dmhVhS0EjK752Zf91K1P4/Gu3cve7AU+QJ9Dw1rFYILyCLaZQ
t5t4zyvh1R15Anv84RQ0DmSCAGkmrNL3foVb06HcVLDpt+KmIOueOyHYAu0inwRUV61+y69M4dq9
X7nWXSIMP4EEu2/gLMXtjCGgQ03z0A9PeGnCC2XGF2DiUKeI2gsu/O99qYxFZIEWsE7C2aCBDzZt
PIDaB2oT0q93y6QfRg/EH6w57cAuAigkplwEx7GBkNMMBgZ11/CpNzBys6II7bow523rp4uWRMf5
kHzv6gqYhwQUSqUY0CLO+gMB0bIdcaHtPE2XoFzI3IbI1GngrXbNyLgIm+wcqXqPWJYbp2zlN+oY
j6x18yzcDVVC7IG2pgM/L7IcW5AAQHaeQa0pJuxoLMHXSauCKp9RXxLaR3NeQZkhLcJTVLNhXpVd
fxL0DXNyZbUe6zAoT9tAH4X1oBNwnUPsglS0PuMDpq0tgPE8ayDcqh2DWD0U/Ct2AYQlcCqoQea+
CMsUxFpd+DmyoEhUYcs6qOquP68yqCJWeR6ddWMc1gvZ1MnuwDXbp8CGxhCsyToED2iSQ0MY9bEV
D/Js6KLhstJj+DkfS3ogZaU/p1AU3c3LEgpvLcbNQVdU3Ry0rSBatSb9aq4qKOySTuwCfctdOulc
RxWnnpy0r0DJG67RGMNimJSxaNLIih5EdTQziS2baglq8vMcZbvAAEeOFYOONJnUtmMBsig5KXBz
opLWs4xc5HbB1AJEdOTyyrT+62MwxO7P+JjNo+PvQ5ep2a2HQWxHACM5neMPh+tB8HIfuoDKADZe
AZcE8k4Iah8qu+H0CfiDswy4IPBbLQ9Vnwh+xxK8zkTf3tzwd1zMtOHggYuB0AV2/sHWPjjLBBhk
0H5uRbpGHlpATdHhKPRplbikt5KhPuZink6K1U+891v/oqzlqDkUTilIp77LLkpm2hDVMi6jZLeK
hO+0IiM2htRq1gR5PqlrBq9r+8gZy3zcDXsouqOG4r2izSvXhOKNx1PWHXERghDP1N0SUT87KCuW
U9tQfr0MxmA456DZWhgDhtr82I/BeuxAww0eDpWJY1TE8sa4ZyAqa9WyzfOsBKfQZh5L+HDWNZbh
iLQaPN764ZGKJVbA60KVBdSvZF6DcsB3EjUW36LCh9ILqPsCW1uqP5Fj3zbu6Ne+ZxYZySDeMLho
PAWc214GonCvmQrlfWFyF9jv5KfIysoD3XW1hHQLHiwYc245YToObs+zbG1UQMgqk5PF/2PvzJor
tfEo/omYYge9Anf1dr0vL1RvBgECCYGE+PRzcNJp+8ZxV3deM1WTqZqOWwYt/JffOdIjV2fSGaPt
NI1yU7CQbEXBi5UbgSjS3COZpNYFGwqxqlg37jga6KvIjkr0WOdvxsz46wWrdhiyu6Q9Mc8TIYBQ
qYq+gKMLWBLWzVUbcE2u8EVpZvB1rTgrZ5AWt5iOCuXVooz3Eac07lIaS0+uNHVI2joUaPm28L1u
KziP0M0u1GTd/XdS/NHKQeXin0+K+09vrsb8cVIse/7VSYHqEHY8sV9aNd8DEXBKBCLNMMK6XHIc
7NDvkchL4xbBCOQhDv6VBWH6EYnYCBtg5ooGDu57gjbkV44JsmQwbyIRD/rgRUmCXAoX0bx0dl8V
R7oIfUWnMfEF9ftu1QRxtWO5bx/8UfhJy4ceFEaYJ26Vm50Zqq8G1RMAoMFhDIc+UzpmiKsD/7Jv
5VVt52gNSN6uVQz0IZ/xCSaCJCH2TVq0YsrAW8ukE3W0hQ2TnVZtFd6UuSoSGcxmSiok7m7i+uWc
+B2jiT1XqZnxj0I0Zxat+mvTBfNX9J6aTHMxbecy9NIgACJlx5wkNADgQwde7ePebID10QRHzh2R
gcnAmlJ0faOvukPFXpQzAJwZmI3FABIrwA61a060qtdcx3eyM7dj0LZp41jownZ1AMw7PKGKNHvm
N3bq2Gw7yPi8ohwNi9z5Kou63AVsPHOjiWa96bYoopdAQEYOrLo6eKjJJ3OJ9ggf4k9RSwHCos/R
8N4Gpc4B3pYNP9N+pdHODYezeUD0VMVetQIgTHe5mPwru3fDjEvbXTkBW4hOP76pWFmccwtQqafa
fW6LIfGaAn+540VJ6Eo3BZIIPgaY58Xssmfl6m0oBZhErssEoqXnCQxkMpH+YUKklXBbTqnXtdEq
HqLxUFHrm5MHKyobEDIypqnglpWBNg1Sry3xkhW7H6qWrVxg8lvexCgadmVtp0EZxClqlnw/68HO
rLnb12Xcr+2aj5mvbJ6YgT+prn0wOoLQhzZo3MjQByoQAKpx/MdBTOdmrB1z4eARLJEMnTAbUpH4
i+LKufa1VGU6aNvwfVh2YrhqK6uonsKXhjwWqn1wLGGP12h/o5z0QiKRFyhpwZPoC6nEFmgJDBCA
MnBMSkl+2XvOvKuhpwDuIsN6KxUI4g1hQtXJ9MJEDQse5S+gVLkgU+ECT5Fq9DMtjZXZC1olpEzm
BbZyX7ArXXtbe0Gx9AJloUzoH0w/B9v8hdnqX/itgMVuk7QvXBdKJUxeoBIL3itXQrKHuPTjekr+
O7VfTm0P5cV/PrX/vObj7xnk8mPfT22031FGwv1bvotLE2H2+CO+wy0iAEGRVLr+C4uD0Ov7wb30
2F80vq6DsvYb5Z4PST5c05eAbHHbAMLzCwf3Ukv+cWwHyy2d8GmHrscN/RBx3vLnr45tKYWSMogZ
9AR3c/VYAVrDkfDH8vjHvpazJMOvhonRaIiQZ0Q+YINFPBQeBZG1w3jA/LG69IYOWMmoyz2I+eui
JtF4aQf5kMliEtuet/aCrxXB5dz3BFKDGOGNBUp8FVduuWO2Gq7ieTztPFHViVJ+CwEB7lrac26l
pSTVSWj1obVDp+6ubuoaxCHl63ISN9QuCUmHahjZpqvrduOMgH3wxQr6FWd1O12PcwlAfQ6gvyjy
BQ+Y8FssvUrRA9M3dVKQ5q4FsxgU+RfftDvlSERd1sYNHoUxpwIoZszKi1aZsyAE7gKKxwZHw4iV
1LZ5CLy+38d1802x6tHrpHvqzMy+x4FwX1t5/STVNUXJCS0FN20h/6H2SJPcy7dGlauW5dlgNc9l
JcYUKr11DwxV9fw8mvR9N85PVfwczx4O7WE4jwYU7No8Pjhd9y3g9vnErB14nTtqOddW7Z3F07zI
Ai54a/aiCk4H3BI7N5DFcDFsejffq8Dbgan6Jmb3sgzkCjqb1A+iC4JyWK15BgAaOHvl+hlF2Qql
SYL2hAOAdgTS6rGeJDPUL6lrVeiT9/OU2nH8PDsdSZV0TNbozj3Ynfjqaw2acbDyHZX2GaLoKivR
H0fRge0tYTGx6iZnNyk3K3UjVtPgqnUrySWprKTgc4/63rzvS4OkAgvHyvNwndtc3Y12DrWN05+H
ajiLJBClsfIOVtl7K9ifO2MaVl2+k71TrpCI3ALmRmuqTkNMVRgMK6W7k3y4gbjuotfToSuigwj7
O2L3a6koqpL1HVYY4CuFjGBIfddCZWBe12W0R4PtQSsnqbXeNspbA8BOFKQKds+3YGD3LUHCHue/
3ALHDiMeDAlhSIktjd7e2408krnAwi/YZTlscvJAxNptn14dboc/ToXXKt93NvGbIZbWy6uzgree
oiy3mss6WDv2l9y592c//Y0xQMY7HryOI3c5SF+PAda4ESLk7JKY8wKF5QkSqjn4l4Mgxn49CFAV
WRRRyy5HaDVMtCL4IObeTxpR774tEJNI7uG1gXP+7SChP3mWCEN26ZcQyBQ7RfE/PPv117VwXR5E
3O4Cd70dxGeAnlDxZpeRSttCJwS9Qs1/cnwv7/zHN+Ll8EZZ4scgS7/y1bxHtFIRR6J6yeNtRG4G
fx0156O3e3mU/2pEy6R8GEP8dXPZj7Rv+Zm/Agi4K6HUCYclmAZD1YQo4Xvmt6B9kJPYqCLAIxqu
ED8CCHhLY+0tNvAoX4Pgw6R+z/wQdZClrYXPNH4y/rXeFqpBb5bH0ttyYCTj4hpKmAmAKzha6HU7
t6KUnBxy39F7KOpZl+Rjsw0JMinfUhCCVUaMnxS1opOBxs7n0a3tyy4n6qrufTeNlbhzabmDQAwF
EiRFhVe1ie86z/082lkUtfVWybDfDI11MQZTuQqshqJz4z8oM7lJw7yvtaxPp1YjR3QDFHC8w6gV
zURurqrE8fFRK4Cyt0GVvmhlSNCSDZv8Nm1DSVZERW4CIc2dq/B5J/b4rKFsXTtDZ53qhltLWau8
cInaIaO9lZ3zPLLuEd4KDZSeFTTKfdtlrmFXTAe73IGngJS9zHrt32pbmsz1+zCNW2jgSmldCKtr
M6v0vkkIwBKoU/HZ9eRnJ0QGOAkNVQ5O4SxndA0JDt86odgytOK2JpcPeYFky2qCm0jbE2rg/tnU
otNM53VTxGQ7cgnlm8Xu495ZI13ayVnt+ZDb+D/9rZiHR+GWX0s1nVtRGUBPI/iQFuGjVm0FyWDe
6dSCJPjT6De9uu8EvoagNjOAil+1rdcUStQMKmkrySuvy8LeeypUP2Y1dKLJqAI7AeNxYkHClrpS
ntUCD4pkxc7yGd/T2IGPAbKflDFIGKgrz8JAXXeq5Ink3aawuw0j7Z228HqneJ2jKA39SJ1I44aJ
ZB3EzBhKupldRJApTpexKSaIlYerELld5rfBXur8TBqDTLjtKbqII8RGL3+DmhLZ1G2S5+P1IhLN
I3yWIU9otqLWD1HrX8UKqsV5br72pdobLs9mVaL0hiSXdiqzZ30ZxtSDHkiqVLfQ4nUy3FHd1knX
o3YfhQrzrMbVWLkXuqpXIhQKHGZxL8n4gLLljbT9vWbB3hV+kRpvajLThlBaBSes1Vu81UwUEC3X
npeNoD0TGoY3QEm/uuHwyYktxFJsTnLK3JUMG8Q6Dfvi0aHqL4NYNhmW8Znl2jvhN4iLW9fLFLoX
VqTapHWrC9pWN8ACq3QQLkoQg6BpgzSftW6LNgt5tCX6K8pCzl3M/bcyiAqUJ6citaf6yp8gB7Ec
yBF7aCi7uoewq42gH41MMlgsSozbyTRqJwvynjFPxgYirHrIqyRv9VdS9e3pUIYa2xBBYuPzPlUt
pNMDAvqkcnuWEFo1WeS2zcUYIhGPtQGd2jqZsPFVIyXaGtbQdJuwbc2FKXSXjkR/iqkJUlH7NLVc
/rmUc4mjpxOZnrChsR54Eo4RQ6XExbedqrSsBi/JY+vMwWZfg/83iTPnYETddsPoaG14nie0Bovv
GDeAPm2RqzAagz1tKAQ38y4ggDmnobcSu7RVMnX0qSC+2dmy+9Rbaocr1NiXXvo3dsPyVe+Dxred
udnDDGQdRlbw0GCznJI6v6zn3NoaEh16FzUYJn0ojONHVJmHk7qVztrRpj/HsgMAXHbNupDaRm3I
P4HimWQ2JP8r1H/GZAqcPWVRAUEAitq2gt2C01jfUMra6rr/qgSZweCjfgu5xNloWYjY6xEC/UHu
4iXtaZ0q7XrvIWDz2Sxq5CYGIUoUDmk3uWQToCWXGtv5HAAc1XE5rZpKKPAB0ZAYL/riM/d6iIND
0EOP38aIwQ2YRV00JXwIpJ/MUY+3ZIZtvGj3ggJlHCrFJ79kGzJ5KYpOd4UpzqtotpetcCoqjyZj
NO/oqK3MiPamnVqz7jqVem6P6ko3NZtOqkessu0YRWdSluuqoWE6tG6c+qPlpJ70PpPCAZ/Khr0f
dU0SxWzEPDRe6po530EBr7ICGQFUgX6/sfKoSJpWFLteOLctWmFZiRZBIvUUJMNEv0LOt/dFBY8F
l+0jo8RK1JSuaqljHJ9+eYW/IMK/Tj9VBf0iPSz9ue0+D3N0A0W4hgiD9xBA9vuZOEk+xMiktJ3G
JnrSZtyMXn/aeC7EYJVLzqVkmoIKVu0ZzA/SKQjJWcPJrreb4DyY+xMaVV9cZ2qSrvZUJhSB+BCa
bIjLBkjn4hKab+w/S7k3cO6dUt6ZdQkbG8xE8dDQ5l5Uoj7hVblXUyFT1U8o0zHrvJqiadPji5GX
RiSQWYPVzd2Nys8bo3FeBWc4Sc9ZAAMKr+KQduX5Plq6m7HVzPuaDg+UW5jz+DC60kOvkgSpS70q
QU3zM0ipOXEjZQONLlYFvsgbGgUiGa3ayvqQXOQdey617LZAoXVKfCrBbQ3n3WS5Gz02d1KU2wYS
Orw0yZOmt59Y3Mwr06I9o/piTqIepzEcDmHc4KPKbBXXtjDfanjYALM/c7ErU9jd4IgWRCa9g384
rDyreF3sSKNPB7gkrPPOy1Binj/9F9O+1MVcIHz/HNP+uJXr76Wx5SdfRbbwewaa5bgvXUwEvX9F
tuhiuqBGYXmD+z/d5RqjH6UxFKvgkoP6F0RpUfgqsoUHbYCL5xCJouD2yz2NhRp7lfiAroDYDVdQ
QiqylOfQCH2b+DhtqcraMuEB/+XmTPpdfGO/eDI0L/4MDE4NSLfg2VC/+DfkL14OHAqPjDMqyKoz
Ir9Gs7DU0ENi35shRARbCebsoqiB0wpEpgfApk5CPSm+VSxSBx5oJlNoq+YzZWu9yTvUr5NIU50j
YjGoyPczByBcwI9kYSCsGDSEARbByHg3OWOSFyzxYnoSA58wrEc4vRAVDGjFLByVEcAWFNBF4TsZ
bFROCsAYM6CM3KttBLFBk5qF2Ji9alcuDEf0QnMA6+AL39EtpIffgoRigD9GQCDjQoPwYt7kkpWJ
XkiREMjIsLAjqDc5ab3wJPkY9BnCKxiutGIVQz5gWmIjnJrWZhygVGVNs3Yb/zQM7M+BcA7WwK6R
UEDbHslTX85zFsPGBKGNf9J5XZS2vrmcy5ZupMTTKTp12xyIXRLZ8ks/FJt4Cq+NmE4sq3eyiNKz
rsa02K4V4u9Q+ABac6rCkmfasG7j9gA4JZMjMnXnpnfmzw5S3myCTmPLHZ3FL3YbXl6QjC8eHP8d
E38cE4AZ/vmYSCFRNO+cEPihv04I739oXLqoUiOP/aN/+dcJgStkUe6CIRZEq6iDIy39fkIAzIKG
1UPPEw6of/RKv+e+Cxyx2OQtxaWlrP7nHbE/9Bkf2d69LfEsxXMP8Cj+4zk4H3AWvT0fVEFt5L4R
OfTRriZZTJ/y8GeigMW289UhtFRf8CS4IgrFMFjrIXV9O0jjcdgkjLV9yGfx3Ef5WTzeFLWWiZzt
dVxV1yIaH8BoOIjtpwxWERszqpPamWFjAolm4hUo26gSgUGhyJzGs39pj9xPLC3XQVx8lsqKVoMq
0Z5cJDsEGVM6WVOXKBv7bSLNVl+NlkzJNK9YDNw9EmdNP2/NIK9EOKnMJROEui3y/1yO69owg9+E
DdumC3GWmEFkYWPuTTPG6eDzLz1q3lYZ8lTo4MRE+lBUY7Oae3mhBTKK2lXd4tjAEl5jVD13QdJV
0W5g1h6V4VvGwylV1XhoZ/Mw+qO7Kiagl+0A7Mw/VZbo0xrAW0pnyVJ3cHBeiuCk7gy0SpPLU8Po
CZNCrHHph4HcPcLv6LAqhdcCgldfXcZudatL2sNwDNiZrq8kzxEHFwI94DbcmRYvye9g+cJ8WJMR
B69raWBm0gR7e/JPqOhphmbqVwGSVzTOfSh7a2eP3onbKsR4FHYXJDgNOxjvQQ+pMyThYL9EEO7b
3rqGYA1RStm0aChLugrd/LwqxcYW1j7KHZCqc5vMrricm6mGo0VCePwwWurarmk2jPwxqkPMZAwC
r2m8/ejBugocsZvWEo+kp/DKbixIsYKnzgLZ60OGVo/+1itBhvhw0kkAwFAIhdEHmhrwuT4Lk7pp
GmR6zuccTQ1SW5uqcWRC6XTW+KReS9LO981gFfAFgRNX6OwbWm2YKhHwjiPcM7izQw30pPLmAxqo
PPPnaheU7Tnx8o3t9SYp0EwonGJnGb5RvA1SvxR7IeI93IKuTc7jNTwGMtfp9bZHUWZVxuVpZZtx
R4qCJHXXTVd20dwC+0ksyR5DzVDOaVFOQaP3a90I+H+1tkzsohencWUeaQm/hq7kwxpkS1q3VYnE
SWQybvvdbNwR6HCNejkL17DVFKeTrS6klz/0Vb0loa5XfRXcTJ7zpQnGPcKU60KNaBtos51HfB1b
BoI5kAz5YwjnMq/X+1rm3QpNOC8VQT8lw+j6J15c8cSvnueAdZ/dBl9Gg3LBltXjc6xDFSfhUNdP
PrxE0qiLUW9gxt7qCnSwb0/tNvZh88bR3MsM+uCsITtS5Z9eWCGkaqZZd+gGwJWiBWNQS2sdG0oT
CR+MRLnzae5NSDC9c1QpbsOJl8ihqNA7FvZGJXpwTgvH6Q9WRG8GNqFgQODaAQCSneDAPakCblIV
DBet6+6moryCpGkPtvS6NFax6juU8jTAw0bo0yqKz/3BzZCmXuhp2gFcW7DweicjdJ+8eVPQwUqC
sKngJiUPyiNVYneuh/mgHmL8Sm0NLQFwuOPB78wOPToNSTwqB85Q31Pf2XcM2NoFWk5JWfTuZ6sK
q4uoinmR9iiYtInoXXcDs7KziLRbKvlDQNRpwe1Vq+PLqnWDzeSQzwLuTn3O1KYZ4HTns+6pqcvb
pvfvh8aAMIW5C59974qVPqxRpnxez9DZbgqHqm1Hu/6RW/lDWYs0qM3nwg3wy0ApiBydG7EhGqrO
Cgt1jipsQb2Fyc22wOckEVG+9/D0qFqWIZxCGrWGo8muidvLaIDl4IBKCcB9x6CbJ1ZtiRQ0Jt8A
TXzWqNog0xtXodTkrFURMuygQCUtpsNmaPUzr5sHOoDwKCqTQLeJ5D8CJMrpldXEz4xWWxkNdKd9
+txY0e0SUnEyrTv4/1FerCcyXzoeds44ld/GPs5QHLgshjHchhatz2iBdoAinnlSrpN0c36iYPdX
ispfmVknlRi2fRzcFsK3AQHzb6Fubn09nYxl41xadDqtBwcIhwOPBpQ+dvlkdoWkm4YWl6CMio1T
F80KNgYTrBi8SiVljEIo6H1kuPBaadoQVafW3Xe1DVO3MF+xwr/rYLRAJrNWKKlF0bc4J5CqygdG
ulUgOdiWeQTTy2AcFPopcsmNH+KALYW34Zw91fawt/CFnblBQZVNaESih2Y6V6bcK5Aew1tnkmvb
iKt5Gu5nr+0Saw6fRddf9pytUXk9OBRChcI/GYW9sct47RpgeaU+aBHuu3JeYRvt595Dpybc+AXW
fO/PcJOrHwx00Ckakyg0edMX3anb0kwoBdDh69ABZ5qgaeA5fAc9dzdItfWt8KCrAP3iah3bSwF5
hFeRTxFIN259XsbOSa3by0C59wCY8ZWd124eoxZrXVLHSnMR4GNmuS6Mdd2tjVpA3hsXn0a1gvlm
5gXdcxsBBPSDvlqNEnm/6lBLI0U8Aags9y4+/6rv4BEkUejqghXY4i2qc5uWYrlyNcMQwsbulWkt
DOx4niPGr3lQUdDe1Eq5n/fZhAZtSFAjQ06yDRdvoNyPZzh5tDhfUf3DKdQVsLOxd5PbF3JroxRJ
1S93tlwPl1bgP7jqDYanR60LgbqSY1fCO7T6PhQoXRKAVN8GWvxknAVveNtBezvOUVezjbU9dSP3
Dk1xFbm3Mb94FTfjS7P4Mb/uzL779weQG3gOfF3c4xjRNZDHRJ72kGb5sDP6Qn+md3sb6f4RhMJB
4q8Bll/gVQsQdaAuaM3oHZzoKgJQJ4cTzTcfP8TPxjiaDMcvJDI84x3gNwggcNzUrAOZ0K//3TBH
cxFrMjaCKO8wEHBY9i23U9vf/s4YmAiyiDPC8Chmn0SP7S7RhVKFD5x2546XEX/+eIz35/zHGEdT
gtwEDl8GY5RQG7D4tO3oT1bt+xPyY4SjCYml4TVKEhjBuefxjSyfuun03z3E0WTQubThuIAhxHyj
w6+D9Vtr6scjHGVoPe8tEskAj4CjMXDO3fjZxF8/fobldzze3LjAF3B87PqxHR21x/E5nPDR7fwD
MfezH2FN7fjw81f13my8HuaoGDXmRWcLF8OExQOJ1lX8AK/Mj59keRsfPMmxQ4pfKRinKgxB5YHS
IQnpbdg9tHov5eHjkd59GMdGcBwtgve/+cV3Uw0Dtt4/qO7RgVUhySzxk/3xsyGOpp7OrIgVFf4h
Vp+6GDZyfAdPhfTj5/j7JlwuY4BFDgyGIZI4/oA0InKqjjj+wSmaTMBcF1nixyP8/TGWEeDyCNMu
VENfyLpXJ29tof8cRzSAqdNTCx5XRpt+jP/lIEfbkGk1Dz3uKz6oGLBvuEMkmtr26jeeJFhgc4Rw
4ACPDsU674ERT21w8MqTeNzSYRc6t/9uiKMzcQxGzmXUBAe7v4pBBoafS7H+d0Ms8/VqPoQ/tLQI
u+DQy5tQ77v8dhTXHw/x9wMFr+jVizqaDd/i0L+OGMIW66HW2STPYy1gPHPz8TjvLq1X4xztkJAi
ysXFAsFhtr9U+b3NtzR6/HiIdx8FyAW844B/wkzq7duaGqkqV3LMeXQrzaMX3njRyah/Fl+99ySL
Lz3aCATLNDx6EuZ3wo2ZHRyglCm9z+GIVuXvbMTXYxwd827tC6cFBnPopykpmNnCfxw54+/sktfD
HB3zhsLeEpWS4ND1qF+Qm749D8jq41k5amz8Gc69inuP9onSfaG4zbxDXW/ZHYr89YrdwojRPOpg
BXekOUX14uMx3zkpcd678DWBHwigpaOVUDvwn1ow0UMco6rXFqniv74z34xwtG2CISpjt43DA0yS
U4esY+i7KP/lyA5NoVePcbTSSNPD3nvyw0OLhJM/zeLU/fU4OHQcNP6XOx0AZftHCy1saCTCjkYH
oPopMvg5Rxs5/o3neD3I0TKrBmjlVTiHB1h98/CyiDayuvx4xt/ZlHgO3FmD92Uvxmtv9z7kdZD2
tWF4YPS6JNdOff6br+rHEEfrmOilnIabGLCOr0FjpR3Z/Nbhggq/j+Nl4dfxEX77HGVe+U2jgQCr
cNuGFy0519FPqvzLqnkbeC3FP5ho2lDTAIU+mo05nk2ZCw4gpEJVoYcpMy6giD7nZKfF5uNZeedE
fj3Ui47r1ffLLwarg5V4dGikA+xgT6zzOjgb6s8fD/Pe5L96ohdo8NUwlkMmFcxddOCQRrmUZ1Zw
Ezi/seNfD+K+nRkEZBDQeHiWXNzK8hNhsG1LP36O944tKGnRfllEtqCr3w5Rt7QVDqnjg1Rk43nV
fhTzb2zFiOBWFwSRrucca/iDGX7UXSzig9Wdhc25UDdx8AeH8I8CjHdn49UQRy9qhjQhDzmGsMs+
AY+UOHrV6J+4l/1skKN9giQIqKfdxweXbpna2eKi0T/ZJ+8NAZEjQYcfHCyJjva7rx3Wd/CwOgSQ
jfVVCIkaLKTbn8z5z0ZZ/vz12g3nxokDjOKGD8F4AsdVPn759WWF8x3YNnIHHClHnxE7KIa+LEh8
qJZuy2DDuiH7eIT39jkk5XhNPiznsX6PHsKXdVhpQ4AXrKrh0sGFJDS8bfxfTuQW1dCPYY4+Vvhr
y4lCA3kIyk2df7OaE3u6+vhJ3jsccY07Prs+3hcS7LdPIueCTTbg9wMa/ajoBmmh79vywRgIMf40
Q/mljfJ6rKPHodSpwEa55BBbp31xOlmn1viTWt27E/PqcY7OejVXRWzhpR4sMBfxHevPFARXrPud
+f8xzIsn16tFzHzwUxHAmoOo9pW88emdsZ5g9Zl8PDnv7hVcIroQMsjpjmUnRSUbrkB8HQTdG71Z
ZIv+T86Vv9mH2W4IY7fFjBbX4AVoh79dAE5oRqZLtNnjKI0/5WqHi1ISOPqIC+j05U9O43emx8VX
eFloYJMw6NvBcE8Tw2VBeKCRfynmJsnLA4OMmNSbj1/cMs1Hn/w34xwdMsAbcYHQjHGipkrFtK9K
3JTEvLQOnwzQ2Xk8E8Mf3n//KSyWSfpnzOT0U/3t75TJ8jPfKRO4h0E2D0dE6CWgYl+M/f6iTBz8
EdQTsACz4VG8FPe+Uybe/3CZTohLD3GEw+THwU+9pkzgaQxy7DcuV3yxx/uxVBYHDgj3F4shHOUE
v83RUmlsMZhW1+Uh8qZhYA/zZJR7FVtcdWcOsOCBdcCrR+6YiKeNJSsg4vU45Luyx/1dl55dwVkU
mjs6qKue484Nmg+QNSQBmfijR5tOXtOctjhPTew9BqDV0miGUSXEd0OEAxCGNeFa8BCBEMDaoDoh
E3LhMskbQtccNNt8Edq1rh+k0dBnDJBvoTvnqCpKJQmH02JU1E/GLpTdE1rErrzsfZJbJ2YaRuys
bibufS1JTss/Dqf/FryPI/CfF/x1+a1nn95RFS0/9n3Nu7hs8E+28sjWyvmfDZ4J8jviw6wO6qC/
Vjw8wZdFuBRYcN6/0RRBrxzjVgwbXt5//tEviJJRiXhzOi7kpY8Ib9lwC/5E7KPvcM6sbrAizxzM
1O9wa80l8JUog/O0Dexp+GIPstnwyH+SM72wuVVkBM3sLIj6s9Yxn+xOr3Pd7/wYZDAdELwb6Cj8
voFMlPKVKXBfDAG/UQ0jrrdTrM5GPu3GljgZrCfOuqZts9gqt3qw6I6BS0tEiFvHioXu8Xic1r4P
DwIGswjpPo8S5ZJcjNfEKp4gZRrQ5wch3jmQj7Rq6+KaHdxpA8Ix7/Zho65FUXgJfNdP6in/SsD1
4P646ZOq9covuzPtWAcfLNLKVwCsCx+PZoj8bDyxMARTNmo4U4Ta2Whw1yt7Alxt03wblvDU5Fyl
nZkuR4Yq7ljGN3ETnvozQn5tkzswDFsbKBSNxwC/DD/NS6hlISrSiTHORY8/hsvCzVTgOrkWV52x
CSLikUGhs9gDugXEL53r7+2cXqCipzI8zyNe/Z3oB1ymWIX4P6C4wi1ELW5JK57cEk1eBjdMz4FC
SfF5B2zlkuI6VahEalxFBBGugeA3cwXfF4BqHBS/E9sOryDkWTEPd5mwCVxWjusXhOkeRdHDNtum
FLfxwMZrwu9EqQspCCZGFWGYdsp5rvWgtg4fr6sGbw+Xk8gQcW8scC6qIJ/SyatYYuNmOmJIkTqx
fzpbQ1rT5oYF/BRX7OzqHEyVKGFVGxqsvM7+ZGwlNzGjF6CHRJZb0cHFZULJaGx4ttfVV13nXlpE
oV6VDnssXfT2g8bJT3FPhMqqrv1E/8/emSzXbaRb913+ORxAop8COB17UqQocoKgKBF9j0T39P/K
o2tburZvhOceVEVF2RSpQyTya/ZeW6MrnfPNjFR+HS6cl0xBxrvs1iqTZy3z5lt74THoZy2PZhz0
IUlqt1wtMU4n44jG0VRKe3OHPvWlmuY5XBdgKG7ORxAb842oXSJqDeTFOnrgoHasE2wyJ8Q9nR+M
zLiqE35tpWgD2cdQg+L1mPEQRt266NHkll+QMbYB3MnbvMKjMRfuEBqI/Px4HiJzqy+mLHuEuKGD
VWEmac1ttTMN82PMMamvPUFwPK99MOrfNCcZQz3Rnmq8GrA54veuqU7ECl6UpPGFBb6Yw5JaQ+S3
JsRxe3ufTWeIOpuBsOMNnzHYy8scjnngTPjLirqIQ21ah0M+j06oGxoOt2WEUuf1cicGsw9nHGvF
gh3KziVAtGoIxER8XJeI+NklIgCApc6RCm1QMFUwS3N8dZKJHqLciubkNP0pyYyvugoITFRUoOUg
gu48An0d8Wwj/kvAPBcgX4CpICpMQApcdevA0wEsICj5feJw51WkIgpHFVbYSxVbqAIMM5IMZxIN
52zTCWsyy4OGkumiVcGHzaZ8goDz+rX9DphAhgYpidTsMLF0++SrAMWGJ0ZprvB29eb3SpIpUGnl
S03uIlY1jfAB5GQumYxFubytKT+AY+T7idTGbiXzqyXHUVjtHMxbfSDQk4hHWR/WyXzteE5DSHOn
VCueHDlOt14xw37izA7NRWVut7oKkBSliWfDZFjAzGjfMVfdxtQmwBiy5oxMkhzKTAVS6hmvsiF/
TWbiKpH2EeBqdqit+OmMbvxaxCnhlok6zpb+0mT2Y0ZrjfJp+7LqPJOrCsccjfz7uJJhbJmxF/Tn
CE2a8IDEmcd8ER+dr89hZkoUPSRvGn2ZhJiFTiOZnAT65QjO2+vUNR4nUjsBx3jBuvmXiCLqMCXZ
c+qnKlxV2Oc0u597Ff+pVfG3jjzQ0dZgeSvRWv5RxOMns/cfM/JDrTJ+88kTpWr83nfrt4Wc0W3m
oZNLtJE9OlO+JAa6+Tt3HI5Aii65IXZsgiAscj5JLQWaSj3Fk6kjKNENzHXZcTX3YtG/DCSdou9/
WPWrlgBUTwNgVIWdRn7a2j/Mct633hJ4yOrHctiVfH/gRRbinzoajPrSbFcCBeRwmcV6GQ5ksZZL
/ZiTzRo3KbYqbd9StJKD0z5uPXIub1ueZEpcwFJ4R18lv1oOAagqCxZq21GodFj8OV0wEBiri/lu
RFnoqCRZW2XKmjw3FJf9HcsctPMEzyIzva9UEq1QmbSO0jwai/PeEVcrcKEGve4+dQTZgre9WVWy
LQ/nA8kKJMgtDo5N4m9nYnBXae0gGr0bpt6P15o/dv+hTf+fcdbVK37wP9d/F2/vBBn/Tf2nvuyP
+k/8BvDYMynmzkgx5PN/9Dy4yhESoWpnOfiDLfh7z4OyXnEZVKw0mqlfeGKCjCj2Oj4dOnoL/Dn/
Bkvj/9qGq56HOtLn+5hCGDgA/lcBCJ2yndZyk3d952Xxl2ExzfFL6+YQOVxfIxx001IikhiuHRz8
i2U4l0M+feoN9gHHZdJ2szCI5jWaYrCIbU1qY9vpMFmPMe5s5OtoBe3RXBH/JoTellm3gCzxE27s
dh2OYDSTXYbk7Li4cD6Whv9vGoE96XNcZIepSdrdMjWwmKBNRXYu4qOtIfDziV/6plfra+FrgtPv
a98cTHA7APbFQdDhdy5nC4Zad8xSO46M2ZXHeWvtSCs1eE71+riNcjjOybRhcWzdAGxYvttkDjmt
nIpdWU28KuLOey3ge+5H9JxuBFSZFPs2WY8eyX3Udnp5XHjHDymmXahsaBSH5GsyWWJhITYftVgx
B2WZgqSKjTtbX782duNh/za+MlAtw37A6Spx2RHBWn+4egmZx6A9bHLk4t6Ci9KQ/AYWiNSh3ixt
iBHSkYS/qRh6rbFspIF1tQ4vbiW5NWurjHpdo6j1HKG9aO6A73AkpTCqycxaDxr+1PTHlO2/1k/B
hP/56Id90xR/HXaoL/r94J9R6QhKQAVy+j21mfnj4Bu/MWXF0s9o+i+8UZxwYEqFQUaczRziz2EH
cxAm8SAq1Mjs3Ev+i9bv70JNdUftQlzlvmPI/+v8jdRignVtp7nrMZAy9xMiD7HBzbuK1F/9MCZm
Wh+0Df8dcW5GaeyaMqVt2wqtPWWLrKy7zurNbUeaMyVD1YSJ3/v4Yro+DnLpwF1fra0kKUSRtCtd
UbVrUxG2Xd0v8q9bT95cmLAeR3+sgNzO/AVwa27v3MWwcmKZavzo4AJHApdLf+hw/NuyjKN49vr7
Mq+LNZCmjOXONpc0ylajtQ85UTvdvs9b4OhxUn5O3UZzqSMU1rRbJvzfZWrO3yTIZoBCftF1RxfX
iRtNreeHhrPobVSDrnNpLdssPiRzu62vcVZMy44AzlWcAD5jJ9ymZEey1Euq4e8px9m54yu3/6aI
Py5VwWLhn0/WoX+rx785WXzRHycLXC/EIrWioClTYLY/TpY6dBjOEMKQUsAsj+Hj71cqocA+cBdO
EPpa6kluut/HiCY+Nmb01MqerSLY7H9zpZrno/PLHNHkwnct1BeC0aTp81L4ea/V09GTs6WVd0Of
owCBfe2R6Vel+koMqNkvjXbYAF2E9jYBuAcDiRFpzMz1Q7rmd0lz2Rzl6nX+hWV93aANWKfmzJEV
efEggM2wsy4+7GW2fDgpPX5v/Gc4PqryJHuSzzwr383knGKVsCM7ye+q0elDYgVp98EXhlkzXM6b
7dB/rdipZjr3dZBYyev8G04OSR8CayWzSRYsUieif1IQDv+b32Ties3p/UBmuKjU6+5osDTYFVPz
jgOhDSU0zhgQ5Upsy7rCOZnXJpxX52ke4SFUGNc9/EHhKkr4trjRQkNONSxtmYWtmMvQ8/oplIl/
Z7S0WR7T4NAqxnY3r94crSlzkrXNv2FkpyGdnasZaO5Vxs9TyOVpTUqseukCk9x+IALhizW2DQwz
7WPbvGt3rr7Hbc3SBPh2ls4fTuJExFved0Ox1/OcUQvjWpXUHIPX6Ee6hbi5a4sWcoPHyKHT8Vd1
2dFz0qPUS2YnihfMjMUheT0RfF4DUZmbBYPSn+o3K8YXRgDUjxFMMhJuPuBtVpr9o7XIcK5SP0j4
tnPuf1NAFb1LXvWZuYcsjVtrXT/W0aXfEZQZnXJRqVZvyJu7AcZM2Fn5nlLug5s929VJ7ocx3UZQ
TeIZ5JZOqm0y7pxpzg9Nhx8lbphbELZ3K0RHxw9Mphiz29hYVuQuGYkTsvdCYbPh7Yi0K6p6Rd+R
XRSCusn3aNwnLghpvRtb8zHWPflqWvVulBV02HkkC3qFAe+npCjb5Sme6k9pzYIdmBBs9mr4OtCJ
mJi0Irk0l83cHKQkNwp8jQ3hZNcwy6sb63JemCAO+hzN9vY26xmfEh8wH3oc29/ngt+AixHoNLa0
rZuD/yYzvTuyNO9XG+5MrMmTVXpbCNf+WM3VhWdvIPe7j7R37w0WgYBvtptubT/rBtCJuElEZJF2
rdKpHz0afWvzsIxp5vMwXa8xoKFRfDCYPyF2kzDyKyAQuISkjtGw2Bp+AYzQkoRG3qrJn0/9u2JA
z2VV+VE2g43HEY9DuYB6yYwsPdqFI3YF3Gejm9wj580Pm5ld5JCvT2vKh9+0uhPo2CubtMFBbjuv
s6l/rLoKo8u0iSeJvyQVwX4wcAgKG+KNU/Forrr5Kswi22eu8zo0WjD34x298H0sgZBIFfnr6OJZ
jDpUQRUHPJALbGl6IMgJtlNBYDBIfwhxjESJEnZUqHClkYZV15ceVkDGje7dBgBxIYc4OfvZ+5Mk
n9gip1h0BBaThtAzXuT3RJaxyJNvhVSY4D5D92BPJ8fkjYev/VZLSaojEXlW0cgUD6S8rvanuGns
MFYBylYxf+lUpHKnc6gsFbNskbeshpIWL8aEq9txIVF6Mx5cEpoHBmCdimx2W5XerP2Irx3rJp3x
htFwDR/kNWBhtCeCx1UJXYi9PQ/Age1zyEui8l6GafCvcmut9Bsah/qzfY6GwSRCD0OfXsPGLPaa
p+qaTNah7ucz79FWECKTTIV1R6ZkulyQCyO/nK+8/6pq1V/+891/fOvr7+vfXP581U+XP0IIViqQ
ToG0qW3g72U1lz/+bbUNxI6J65y64M/LHxM54G5A3Ejl+N9/Xv7KqU737WEs9yjT/x3m1VJ3+y93
v8USxYZC6yhYG/TrX+9+w4flnPBD3Bp9Wlnf0J9o6cSN42xM8P3eM3apArs3PyDviwK+O6O0CPj1
ugoQvCWdi/kHHt4oyoQXhNZj/40bAPIpDgus2pXufB9+1AtNmuL/agpQNKdaPYZETEBKCyiCYhaP
Vp/hHIV7kXDC1boxG40Xxy0YGKkatho+GcTEv6Q/1pSDWlkum9ZND+QZeWqVWQ3GeN+fd5yYxNl3
jj+Wn1DC2IS2m3PpxQyKWaELTW9O/x2C81RJpVb98yGIvg/vqRy/D39zDn7dpUOcNAmgQK+hhJ9/
ngPxY0SEks5wVa/Iw/7nOYAcqAvk0z8wD/yBfxbBNIICNSwrdpW/8y+aS3FWb/xyDNCK0t4qoaXj
CLrZX49BW7jdPHdGdVcsRdqFjMZ4BOVCC5WHYHmDVfVLLX6Vu9IcrWCkmTKh72p5Xq1BCqRNnPD7
0Hal5xZskEQBHppzaybObdqsOjbwcL4bDedGbjo3dZXq7/pzq6ef277s3AJqNIOTU3Pt11SA3X6u
09I7jc0cJQ0u6VDaA2uXzR41aQQGfCP5Ijp3P5fbRwkqLxnqQw86r1YMvcwYPzk+bAZF15vOnD1f
5gcf9F5twuDT67yOpN5dx4rP1xC1MU4Q+4qUfNmkJgE28+1XX3H9iPnSgrSC9ceqBNCw981GnxDV
4AB7LW1Og2fiXl/fpNadjLFzdnlGmtXIqhC4Fu2vkEcmCI9d01wsc3+dsgAoevtkF9NRXbGr1Z3q
zDnFthGiaBhICIMcNdZyrzXa575fi9CMh5smGYCzYj0z0+lLU5MbKwDv+8aUkMe7vplDc9cMFHxS
7Uqy6t1PyDZyZokzvmBFMYxfHKvoQ8+ShB2vQ3KyBuuhYqMQNBPFqqgbXmjpMam9DEyOvGHM+Nkt
/WujMm6XtH4Z5/ZqjOvPudt3Ef/l7TIYifvZi9+9elrCzs3CRtg32tB2bAznF1lsD0vHx+K4PUZX
Wvm1W7Aekb+7JtaT0Xh7rB2X67jdWxjy/Xy8y0sEWdXYf/XadtfhuQ1qC0rQYjYBvYUdujiywnh1
e2ze5mHcCmquuHlEXft13rJu723zt3quLj29+p5LAnqTAjOwa62fEX+JN/BcN7WAmlDU7a3RLKSr
zf1Trw8vMBIvl6l+wfNJIYnIJfDZY6Rdf1GYFb+mupyJ7OxhXVuEtWXepZiX7yDOT3HuwtPTihew
CluAY/i+zUs9mKFRsBOzqNxGOi2z354rwM3wFz4I5ox6DdezGddtoOfTrWXXO6uvbjyzkLArCzOy
0vhx86nyGBJ+ne16n+sUo5sQD0ID0St5+R/imTyIwZ8e09wlo8hKTxohjDe+KvlWgrphFlLMW6zJ
7B5ijz+kVej0Tc0xj/nXp08YOOx1F1MikbSwrQT4ZoB/B5fRaRU2maVFbEGsi8UUMXg/LUanF/Zu
u1iv5uJc+ehivH2r18Z9U3nGvocfsozBf1fL+WpRMZz/fLVcN33fzH+9V9RX/VFf+b+hCUEdj2r2
f1C3v9dXSFnQBbhUXaAeXBD7f94rNhQxm65HR0mC01vNQX+/V9TcxTLp1Q2QYWom829uFrhB/6u+
Yu7DnMZBUoNJEyjVrxfLymKA6LN4uCM+vRT7UheU99a51PeHyRs+zLR0dnFvXhM7joABpHm/7123
G0/lVHrGzTrFDDbASy7yxMZ4evZp9mi5M9jltpFMw64lZNF7Ym4JHwFxFqObMnGNoFkblyW4LKKc
AaLJLTVlYJqdFPSPPxffrG1cwFzOrR1sWVJ+WavRfk26NBv3BEF09rFqp+JxaJtkiRj3W3s+4/h+
dMaxhfmzggTN04T0ZhOu4r6zNr86+lk5TpFhbJ+aodHlSdgZWMAk5V2z90x4aBfZYC1wBzFoBLSf
7T0EA/x4iRULYzdsXvMAXUWHktO7BwYy9hyYxFkWbF0YlZBveU66tM5t0X8H7MdGEAXVPx+wq7f6
7ySQfM3vx4ucQ/oQSiNACDAEfp5dqpQKHmsd/JTwfj1eRFH46B+JMkRLgW7yl7INwSJuFkcHRn+m
9P2Lwg3e1y/nSznWHGoGVhY2fYz3l9klWX61aPJO3FlMxpvASJKuibKsDjdgteaxmd5Ly2na+6yq
bZtUhsaRl7gqpmhN3DKYVhvJRzymISTKPSu2iyLpIey46d6J9S+sui6E3zxbtfvhuegsZb7LSo4j
48dLFwBRUNrVveb5T3PlXJUZ6YmZO3yVeEFOkwM9d7Y+tZ7xXJTOaxOjwXG2+cbNNckERST7Ultk
kHv50Z7ka7NqT1BRilO3tXFgeMs1R/XDaljC6zGRCY0+PPl6uhvwGlKcWVPQljZg105m+zzDDDpb
pBok+TvbilfCkmrOoTNHo7r4LHUFVjNhYzG3YpJxPZbqovQn7zhyc8baVO8lrJxD5Uk40rb1UE8Z
wgBuXMJgv+rqCibm7GlUlzLKbhna3NN8sDt08beWusDR05hhxZ3OC+SDDczJNY1nxhgekzCu/6ZS
o0bR6ChAl/tSFQka1UKsxzAMqR+qVv8eU0/4mraXqsCQzFPAkMjpWNrtRUwV4khUflVNZcRQ5sWp
xOVAxRJb49PSizrKqWVQ2czHpNpu3K4z3+rc+JyqwmdatxZMYPudWdul123fmqLt9luXvJdUTYMq
n2zqKF8VVCyEmSd2kI82VW71K9DYVLPhabW7OJFfzTXh386mO5tazZHGvU3ttkz+fqOWs7xRVQ/b
m6Z4RCJJB3i1KyK+7WGd15fcGPhlLO5NT404WMRfLFSNmczSfZ2v3q5QJaWktpTUmCu1pqDm9Kg9
vTF5ppS8mZsiP01Up9IiG1KVq/GKpq+ZnQdn1ZMTc3uKWlis4WxPXzyA4uhbJlKAKIGhI76Lc1Gc
tu8WVfK86m+xKps7KM9Bo/tHi4raGc1nSz0FvS1vBlV0J4j5RCIl2HEG4qowBztOYeScHJLrhGsR
HTcdSU0+ZVT0K5V9xm+MicNjlc3HmOnwWS5YqGZAqLZAABq26BM8QG9MpJpT7NnN9LzldvYmpim0
zD7xkiDhl3sGked8j10CnLwFUt4V/UsCtBxEGU1KJi/qDGxxqe+NrXjmsI5Bm/JXGUGfj1MTtrC+
rRYBkmtHRey/urF41BQsfYOaXit8Orkix60DqO5DVm8VYt3vwBkLB05YB3+dcSyYcRbZQc8z2itI
eyn9W19h200FcF90UO6gtZ8mk1l8mnv7HgUCgb5HoJInE/y7rzjwFqh5RFErW3+zfBnk+iFS88kE
Ho8Km5zBqoQnr8jySWMAngU2byrqfOlUn+MJDj0yaX8nKDSB00GpP49MhSLXDyDs23Q6+MFDD9de
LF0WxfA/utnaow/3gxIGfgULv6dyCAro+IafZggfAeYvtX+bN1t/8BRM3+QUkkzI/HJL6kD4iR6a
sPdNwF3+1H0uxCbCVuH5JRq9e6mQ/TkplJdm4gEaFlbsX60JaTdoCOjoprIJRDrOF6MC6GqQdFMt
7/YxbN26pe8S0HYHhd1ldcQqRKF4ad6qUIfOW0LpLXLjewbHsFT4XgT1l5NBzc6CCrCxgvwyLIKq
kM1Nr+8Q6IsyrPx2x1jtPs/95SKVzWY9m1V1O+nl0l04Q3vR1zYxZLRf13Pl2fKe2dGnOYkl6CLy
h3yVvtI3hhalXfLYJ/W3ljycLJ0+9342kDXGYrhHyzd7xclsFZh65XXBpgzVLktnAMV2Ive6WTs7
z4gJUBQ1AUFbEvWtX0Zx/C13fbhl7rpCc6ujEfCYA/k7t4mbJuX2Ok/aCx+FaNF61yDMPoF6epiA
byCl4nU5a04ZJXN9J/gVVhxPdJ31NLw5xXZoPVDhlf5eMzCMhmVygxklNVNrS8DV6+v2o1iHZ3Px
32fWY8EkveZNF6t7LNt1e8sIp3Oh5a0n0nJ5RtPS2hm6BmyNYJdgg1F0DQasvraXhEDI5JaPF5Gw
A6bQN69qY75ddPtqmnSyMpcrIQ2417171an/kVgloULrbWcN19nSPaYNexfPPKJPPnmkhbRWA58q
92+HpN3LRbP0yJhsaNNJavSBHFlhoBquyh1sqPGDuU1/x++m/aAwKS+XdSgXflwiLMWayRw92Zqe
lH2mijIBUJsHUbNYSYgBnUqqDW9usm75p6lJ5X0MVTJsk24xEd+A1g0NSzOBxhdYbdxhWk6mMNLk
Une3Mjn+VGPd/Rgr/UxlOk+Tfp42UcZgGiVPyGTAy1CMWdjPC9eMVkb9sfl9y0rxE+TOA4PMx1MW
pHvzpryUbdB98W63XbevIjaPkf7wX7X7Y1L5f1a7USOT8u3v5pS/FrxIUAHQeMhNgMVSuv7RT1LW
MuIzldP/f6WqsJG3bDAFCsVK7Al/3u/tpEAFQ/HsC7pQ11P/6F/UuxCef6l3bZ3ht0rwdS2sx2r4
yabh50dnXPpyNNZS3HkcV8NdxlDEbK4XNMZHx2guZ5PM6UYvL1JdXsnOyHcdwWZjm8JbdGW7q/P8
gQsyDZpqNL7Wk3/M0UsfvcU6iky2X/oCHVyWSXkVl0ZxQTbbt1qWQzRtRsZyTim+kH6NSgPG8ioN
3K4pQ5zjX2ulFHOQjDH0FMSED+kxVnqycoOEiM54CR1GLIynxEev9GfAVam8UaQNktWiyJr1yLcG
dBdDuoh6OYu9dpazKWGbqTRu61ntpnRvGdECwaK0cCYUkSMEskfX5RrnXWlHaQMcsnTdOOqF1R2d
pc52laBytPHqrS5M2UXp7/iPAPi+vnpKm+colZ6l9HogbsxoVhq+Wan5PL+ssgPMoArCHd+rEhL2
4WwtR3HWAipVYF2xcKVPXkn8PMsGsaisIVVvmUZr43fyFcWAfTA7A3uDucSsoMdll8/FafLZe7Ko
vMktf93pDmID3UXf4JSUurqHk8RzWQBbBhrhrdX2upzvRW49d0n2rVjsi25r+nDAn47gv72Aifve
eBgcSINB/4xZJVcaAk3E93G5HYgRd3dNh9Ghn+Z9JeMNQbpbhPR2JTUXUWSaw6rfo/w1FoJU1HZ7
c9jMOxoJGHJxjq6Tf9Jbf4Q+gbZXOugazvvPdMztfYvMN62+iVZmkWUwW5ALA+esidEiA9aNKsua
7ozKDpFTRrqTsOMvqVzswktCc53zKAFNGcQOW/Y4NuIDmW0QNx0U7ZzIyDE7eZVB/9xnmvW6YucY
XFLOZ2oqJ8EJYvfXnSwe9M15l3Nxvaz5LZrxJ7t2HhiDPNVLeh276cOiMSu/zM/NIMt0GkOzftfP
rWJJ3AJcsxYVPr57Wsnzm5+0IW6BAWfccoq5G8T5lujPN0Z3vj00dZHM6krxzrfLcL5pGMcMx2Ti
+nEATs6B++NWUhcU9OsxJ/Yndt/ZlRAxtjhlBR6Yaw3da49OjatuUZfedL7/LIRrQZrW3IrkKnND
9tyVCeBUHxl4gHD7xqjXk5jEUXVbObdslvTXjGhum6S4RtnDfcwFbZ7v43G6mrmpaduvGm7upBZX
QJeTncaNnRvazejEV5a67Fd17TctS4DW1vXAUEVBm8RdoLV2tZ5yaoZW5NubZ3VoBFRBYce1e1Fq
adSNwOVJhtrNQ3zw09Z8cBGFoDihzZj7+qn0CuiUxKrwHoOXusYG6Ndhs5mdDlEs40vRUWDl5Z03
ODvSfoEEAVeQTKk+tpkAmi1un9pYycK3YjXyj1T9BbbVEFvk8mGhdR/noUd/N8B9H5d8LD75bqW0
pud2kMXkMFu7YUTEFGmxEVrahgSpSfXPTsnYrapgBFk5+qBBcgZ3IvGvLK3x0rDnz0Xrb36Rs+Ef
6AkqhvI184C5lNYXM/8Qit27mBrb/5ZoIRviRpgrxi/D9otOUX+tAYJOpUjAq9LHZ5vFew/jNxFE
SVcfyzrfoqzxvEDzkshZXT/ASLmEteuj1wFyQOHnTISU9GipKJvauUbPMNIlWtuH73IJpAsDRlS0
TBsam02Jp03NvXoJV2DU/xtL/4/k7/8cS4cN4Zxfs7e/DqbFT4NptpoMuSgVIE+5Pzj0fxQS5m8M
pS2mVQyglTrgz8G08xtbeFTyDIwtS+VZ/FlJ4LJE8m54f37Vv6gk7F8LCZyUrP0RHSgRgetQSCih
/U8cACSn/rZuU3Hft2heiomBwtJu0IC1WbuO+2oj37M3HV78o5KT+ct9m1TFVY004D7zJ7Yvdqb5
V+M81q8K4lQEvVsTLNRwmt5zrvM7zx3eJ/yaOR6XJLFJcnIxm3TbxASn6wFglgW8ZhNjFKK9tU/3
7TCnqNNaxLOR7w+EZ07LQHWBAasiTWsdHqpySPt9rNFhZUWMNkZ4+oOjJSIUBtvJk9AkP0iu1fqz
HidF2G7euDP8uindwGRUshN1Ndy5BWF0gVshGMtsVFbsAvuKGGS8Tz8QBf/pYlRs4D+PlQOc9f1f
T4f6ot/nyobzmypjmQo5NhPkn+fKhvebzfqFA+BjG2FK/OfpUG5inZEzI1+18v+jyKYwZ9rMCwwg
BAgxFAT/5micw0R/7s9sxsmGzlaI1RDnU0lvfzkbfuX2Y+2kd7XXleTdesTkip67tk8c/6TlHzzu
1dEy0460LlgjsmXxDgiou5lXY+d0VQ4ufkt37Sy+11tC3qBJXHE9zpI5J9m1pBbdLa3pR4ab97vV
oKRMSty66yKHQ29I90hy73RtgXJmD81jOrtU0sIhzS7R+mT+MrkkhT2Oc5buJhukulsx201EW37M
re6iOS/MI8YRkPDqOvVLRykqrbycqHAWr3rufNyZfjvW5LHl/rHf6vjUOdadTIUkALiP91pueIHh
G9+T2HP2xKmNj/bUjCG+2S2apvkzDGigAnq+d9c23XmLP+DtmF9FzeS0dMdmr7ngKhZdjlGScfuv
m0vyLrG8wbJW19bQf/E3P6YoIOht6gUfCn+/y37Ij7E/VJf66FQ7R0loYYFLUp6b7sKaxyIy89gN
8sHpgrSzjIMLr//g1V3OVth6SIzhsmJCtcs8Rq9NYtohG+vk0il456Sr/lSQR98TMhEIS/IWmuSM
B4cJy6Dlz6Nb2IGoUA9nTnVljRSdzAECu9zuYkyoMORcFMPoo9sUdhXDFCK1hP/E2/VTaVofhVnU
p9ROzSDXXWx7lsMwCmR9VG2xuGw2MhTiTGARJDFBmS9ram5EpBVJ0njN28t5WBn0SC1cG1L+cOsW
jEDr8pFO6gVFpB+CHrrNmuRp8tPvjtTW/WzjV+8yJ93x+c2HVJl/S8oqb3CvsonWR2fXJvMJkSyg
omGUz16ufWH4YBFGL/KIeUd8YqXYR7FVPsaocA6ijNfLiQWFQZZBWJjWdTX173CRqyD1x0cyfeww
1/KHXBTpPe3lbumT72XdP0Lmvi5yEtbQd+ZRa+T19dCkxilORR2MXtyeJqyGyBs1PtYyi/z0HDev
TSp7vpz9abnFeZhTfFZO69C40NR2eCD6N4Yo132lXcvSeWx7ecnL5MIS/F1ncyDOoUsZwsXDfqi7
gzfMxHdIDODpAXz8Ta/Fu1Tb9vMqjpokFHpwotpuqWOr604jyyhrDzMJFJXVXzhEMOaDxtSfuEk7
fRkcI9Qy7dJNFsTI7akZvKM04P3bgzXticQ4pKld33T0QP6YX6MCx8zeFMFcrQ9pbOGymtyB59+/
Nyfvcm2ZM6E6SMJMW/YkKH4RNlYPKe1D7ztoGNzvBnEWHesVketPU8Vf3+qZ3i/912JFOdR4TZBP
/RB6msXTiyZqv+REl9qrHxUyvmhtrQt7xPc7vOEli5PppU+zIiJEonydF9Pa2Qj29onPPxQEx+BM
56NEKw7pv21Das/x2V5bRMOxPIpEe0SwC/4glt1BaC7JS8RbDst6s6QLry7tYBfygcjuj1R38eGs
zZUOoZIuZatBdCvugP7k9+6DN8dNNC5b95BU7cG2qp0nn4lV3CFfxZrqf5q8aT9uWEDXxT4Bt/dQ
yLi8TxL7aKoU89Ruoq1iL45KmJfGXY9q2GmtV0PJiB32arYSFsdzOUXeRoSKjeq4VPLjhJBIQlRR
c09ok+Paeq2VWLmwvOtayZcXJWT2nOmJ9PmSGSPBLULJnXV9enKUADorXVI3lCg6xp8ejEoovdS4
dXO003EKXA5y5U7TtJdWyavBJzThiOI68wFlKgm2ocTYTWufvI3anEY82xAtKeW2i4SbteSjedZ0
Y3iKiEDnp23qzz3C79Rm3z229r3T1R8+0nChFReuqx2azdxCnO4nJRUIBuTknenc0UvTdAyOh6MX
zXlS6JiiKvM7IE/sCN6RnT63yPLW09AjH8McgYAdrdOLc1a0K8EXEvemqQ8jknfVoERsJ9jZDF/Z
CqCHbo3mWvTlpxLBPIbn3cQJDVulpRdKVa8jr7fXihoMwb2wjHei+nIeUe80CD+qlTTfIKwkW9i/
KtV+qvT7hlLy+0rTnyPuVxIzg3dYMIuMLHluK6KDAdEoT8Ck3AGJyWaixDDA2wHngPIQEASYMff/
/+ydyXbcxrZt/+X14QEE6sbrJBJZkEyWEkW5g0GREopAXQNff2ekLJmy5fuG2k+n4Y4PJZpMBGKv
vdZcAnC33LUqZwAk8dYZu9PSwX5wVRZh7kklWHxMe2IK60RegaXfn5SMX4wEGWLaxkaVbLCsPrCJ
OrQq86B1pB9chaLI0bdMlYxIIvm8qKwEeY9d3KM52MQollVSfEiwoliye5egRRwnh/MP3eU30Kgs
RheXRCD8ExO9hheMTBjrRJ2/tlYxDkxSNrEOHr0v+souV31GNCv7DBvzVBEEqXB+7FyiIdpk33cx
v21BtCIjPNKs7QbziHk1EisBTYUOs8avjmp4G1X2pKpLpCsqAQKhkikCSGU3lJSmTtyn64GWV6GS
LJaPAD2rdIvnjl2QE3iJhzrbjkRgRMXnORJjvGHRHfiqCkruppXCGenkL9goFx5SEjWJytasKmUz
F5ZxKgneRF1F9JMoDiZi+poV5GSgvgZBiPIjo7aDbiUWUas0T5XqznbRG1qAS5I+xaAeLdKjxBBu
jYGNfUz1iaxl2Kuk0G8V/Kvng1nvvy/nF5+/fPlM5+zPcuB84bcLuuIAuQZxbXZEXKxVMu37+Gr8
wd0coyzkZjLYytL+t18X2o+yp3MZ/yvP9k0It/6g8p7/8U+icPjef+WOzt/yLyGcXCneKu796OvI
9T/e0Yduzf0Cqs2tb4hkO56jlfIcs6RWp70rYMNF2+IcxOQN0c03tl1BrkIwIafJHcVhkV7qBYCR
ukR31EVdIYHH87Gsl8+l4fdHnOy8s5OCB2xtQv6rt76WlWyI4uvKXi7i3LwkihRW3rRv4/nzKucd
YRtu8vEORfF1qaKdo7cf+SlemGvHnc8wd0YyQhfCotIAI14+LW1tcAeM83lyrrvYOeZrnRDSjip/
peN3SLmkjbhoBvZ5fl2FQDGuzHXsbrCwHB2fEFXn9E/8WeaR2qp00/jRYfSo+mjcV3QfM0xWm0Q4
h0EzPJHgvs/w3Ed+/rGnjDaUUf6EfRFCLmO5OT6Ytvaxdez7XECdqfSx5mLuX3l+d+tHmbeder6/
Vr3TinGn28BOfOICPKHZjvpJ1lY9UNqU9tqoU8fUymkLGftyrlMQEj5yWl5k5qYHgLFJI4xjc+3Q
hl1eDhk0EjGU77M5e2lVh3UUaUZIwp2+mEQj59o/d777yknzrmgkp7AxU6QZu+/IEWwHdzh0pnk5
U5o9q/ZsQ/VoT7p50WLarDvnXesPT10cPS4zl4QRj11RIIBSkWSOzbI1ab8mFccfW1LcHUd8n6j/
Y2CrVu+Vem9yhbiF9OGgq+LvmVwbReC81V692BmDUYp7R/RPNEvnh4K47sanRtynTrxDsiU21M0b
quD4pkUf+Kp9vFU95OC1Tuo1tNjUg89Ulbuqs5wS47uVEvOMMnOXUvNuzl88k3dSr/rOC1A2SZ25
w8flq/F7qJIOi60xYdKYyViNZ5d4snDE7n8fleejUp1d/31UBvlzz7vqJ0oGX/b9oETM41aJn0Wd
akqV+H5OWn+AjuBVSKxBmec4wr6dkw4GOUQPKiK+91d+OyeR+cjYIw/yRc55AfkrWsYPp6TFSEi2
6GzQ84nMkzL+8ZS06hFPumN1d4PkeWBr8OzgKXnzM/nJOtv4F4jTJ4ZERIOgkqdKLz11Vr/REn1b
ZuOMp/OO1E9L0K00jOTeWIaTnyULzeB2SrV1OaQsJbj6w8bAyd8b+gfzLNdFUNimo6tUPEfpeZlS
9kQxYIuVc9ruXPLCm5GKK9rzNAYe5ignY+/f5MUXYxY8ZVRQGnfDMuMq5Sg0MblEuFQCu5lcZAKG
tnw74cELyr5gqK4A13xuIt9NtkmS101Q1Yt2HeWJdSzbtbulYiHmBhXVh9VurvRm2URkMk/sa5yw
1nByYMrPdnU+TMGQQzSaoAjl+Xoa+C8+ZKZXPUo9O7WaboQ1AvGHDhQPuAEx+TdrggjSjYu7W+Xq
V9Txykd7cI2dNoDC9otE7jFYMKlqablzeXNsusJChyFzeIzb2Qg1yT0b8i2d68O6bPTVuzZEpWhe
0c3U8at1RivULPNgsroJ8mHZ52Vy5Y7Z42IagZMb1yNksKRCc2CsrAJ3EGzg7F2fJFMI466nUNg4
1H16hR1nDPWeNWo1zE1gqa83Eomkw7AwjXa7o0kxCxPfDwfpbjORgYrv2ApWsU/BPS7G4SFP+uhe
xoZGX9f/C42uPrl/a3TYPdVnjgAC/k/aoC21cn/7mdMSK23KpOvueosKRG7Xy6UU7u8Fx18Ljv9V
v92neZ4+F/8+98RbBdf/Qxl4bUKK9lfN9e+DT//DIfJI7sP+aob4duzZf+CAYB2i1hh/uYn/PvZ0
B5iB4o/gvzc4LH/h2INY9MPH4wyKhKJtcIhylBLp4ht/+/Hw29WN9LKbbqeyktOLiNbyXqsXQ+6s
uWWFuuI1n9rEMkJ5tqAL5UbXQKpumFOp1rPTO//sWIdkbLY7zBI42Stkl+FoO8ZDHaXDuKWmD9f7
cnbAw0stthSMpuYu1uoY6JcXRZ+j2YYdVBPDP6Vu6lFsnTYkEXsqs2nOXdvkNl7Y0obNZMu7yHfK
jW5BzAY4lK2ByJb8UVbcfjJ6xTeMd/LGUyy7aOnZ83JRqnBLGnx/qDnzEPaKgbcqGl7KXS2IzoQ8
xcqzFTUvVfw8zYOkZ6Nm0iYeb6CVdVuU3hdPcfdYvnSoL7D4pKLyRaK9WBx5RNx4WRPFNwPgtw5e
R+79NVdkP1LWM6Fwz98IsH9VMxahhr8CosAIuBw4oAASWFttt52z+jQqfmCqSIICpKCWwBZcq+qp
VrRBPF0xXaDRcohKP+yiBa7eIC50IIWRohXmiltYADBcFclwMWAaGopuWLjksxTvkOg934XWTkEL
DNFVVERShVzgFCixMqKt4603sW86Qadoio7iKsYZhEWINo9and4koBcpKv+o0H387JVXETpjKeRz
ZkcDkiW+vFQxHFNgjpPDgD8NNhl8SDACTMY+0qF3+pp7qzXce6nCu3HGqtvHYn62AUbWihyZKYak
Z/XHIaPAbkrHgFB5HLjcO5PlCRbul0HBKF2FpQR7622GeDxIO7nBU/GgWzlGGmP5MsXqZ6Ewgwmc
y1UBL9Wl1lqiJEh9yJggLz76BNHJ9GXA4SDsmZAz5WzdCxOhahqz0ICt6XSCO70H401pHY3HgF7q
093qzEe3y4BjYMU0FKxzhNqpp7xmyfWl2xyi54JIGuBHeRzGAo8uPEv+Pa2v1oWhcKCl8gir2N8w
0B49xVpF0M27TaGIKthoY6w3zcid31eg0aGqrpy0tSl4Ni8VbHTStEdTwUldKKWFY78TjcrmzeNd
pkCmNkRT3fAOerTgiaR4mj5J8D8Kf9rl2OBNgKgsIz5NjhNvTQVLtYbGC0f4qSYc1TUdQ9caniMF
WIUz9Er4Gngrg4kNgxU7OAmArIXuPYQ1lNbSSA6Zwra6IwDXZMr+xM7z0Cu0q76sX3QD0TOD+pqY
4F+1iT9q4hczOKa7GRUk1oUWaxFH2Lao2L0CyfYQZcXYym2qILN1ur7APYSqmnuY6RWKFqb+awKb
FhYkQRtotVyudvzin4kP4mHBsyA7/tM6M75pIN16XZ5D2G9eUp20XqZwuGiqdzN83GiXDIbYdU3x
UnRJ7labnKB0s2+/NVP93nMq5vZ/zwen5zb9qY7ydjwgQGNSOQ+z+My/4199nw9Mlv06CsZXo6Fa
M/79ohTs/5Xdj/e1wv+83XU6uBMVoUv/RfIPJoQf3pLnPx77qQ21z+SVy6rzx7ekrAYxRlKRIRaF
++1Joaqp3HFIBKs5HSsMjFls1QFAuQaBur6Uaq4vTBRWtIR9wfO25wEpLhNkgCQp+u2qlAGrVW4V
tAIG6mOk1AOpNbcTckLVd3zalcLQITVYSA5UwT+o8vEIKULO2dOgtAmQox8lYkWBaJF6T3oCVidF
zHApTA+LNHp1Z5scLZlfjZk6dTLr6JXTU+ohDy+Ahty8tonsAhWo6HoMZF9+HJL6kZRsG/LnglCe
jX7rlOlrbWX1+lxNHdBRzG+ZaNAuxQwQxV51OMJd6DfKBAeMZ8o6rHnGPctXQnPueBASx1Lr40iP
62LdJoDLYaJk+kYr612Tmj3Nt5La+rwYdqweC7xBJQTY0W8PuJaLQ+dMBT3v83YkApPKhP/r6JPs
kR2Ym6QM5nn4KFkltDY7J7dtP0S995JLIntz3tzOkRyDqc+eGz85ra3+DgecfawFDqPa0p9NczwK
c7pJPCYNMWYTAVi7CUyHuwRSyGu/eA8ODTbs6jjE7Ma98AeyfQs6U+EtHBNFVIQ0X+B1lxfdMJM1
qdddYxfh6CZ3XOv30WqS06137Sy2MpMfMt++xMsG4Ib9SJg7DlcV3d1PRbQT3hDKwjzaEQulqbrU
FVjUGNN715oDtN3rwV/3BZ3vZVp8KGdt3/P2dnQcXX6+E6N/NQI1KV2XHZe1cV0WQiZ6iRG9iwDd
TNjz0ZT024JG5sx6qbNkO03+0V4ECozJzaK+jowPfsXdpfdZuGPhrPPryPUoV+7ri4SOeiGMR0fE
W9Hk8IbraM8mZl8LfC4MrddEre7jYTr0znIztNW66acMA8ucv1qFRTwSQHMBmtWs75oed6ObX8RF
czB146hZ1WOqFw/r1N4XEJ6mZXisG53vX34EdHupCpohNW37qL8GpxN6WrYpy1uy01qhh1GxnCxt
Bk1e7/xVoJx59lVVIs0t9FNbif5p9vJD5o7vo2L9vCYIefN8Mw0iJl4VBwhSQTTYrI3lsXaqG765
vd5NR+nIEzH8Q9Xox84U4WJVe7dNjrOj7TTdv7Rclg7jsMePeEvec5842SmtcejXiFNGH4K8JBsl
bW6uTI5iBK5lFwevsR2ESqhCjhebB9FzUcE4mQasl5Hjhg7K3YKr0MuG7K6b5ZNWOThio/7Ja7gO
4BGUFyTWjbDXCmvvLrZiJ00FpNvsk9P1yXvdjMEWrRbbncm4k1F6inOLY8kor8x0vrFSfi6NObVB
OmhPYHGYZtdV35Uk3sLMnrBapPlNptclUJ1U7O1qSQOzYT9udL690Sz3oc6XamehZrIT6vj+VvfC
kOllYTdQEVpz2zfmu2Gd2y1mXsnaHLYZi+J5z75yozUdsZJCPxW50DY5A7rabT24YqCQRET11hBT
rzSF4bCadbwdO0jAY73UJF/B+BZxexW3dXLwfC0P/RHfbNYkuJus9DrJJ5bFLLHghXvrNmpyb592
w8mrOxAsTX1oenbQdgLrD5pndWj1lOm/s7iJiknDfZjdlrF/l6MVHVMIESDj3UuiEMa2nfRpE/np
iQIGC/NlYuyKtLmLdBq7KVeHA9XIj1bjXWuj1V0MyVLuorm4LQBKuAL1EVE0LPKifi/IocBGd9bt
vHYQ3q0h3Zh2J/mOicProvhiZ+vVnPDMEaFU9/B0N7ruSY/Gw+TOH0U153sh2pk5ZAqKuVx2zlS/
4/ekbXt3PdaAnTeIvFeDZ196nVMF2hxfs859nDkBYkfuUweQWcx80cmoDKelJ2rTEp4pOkxlsR8f
+4VSpbX0lh03sevOs2/jznpY+ugFD2vPyDfBU/NLtBUdqEFlfconC9FoFv5e4qckF2IAb23khaHp
p8q2nyojC+SktWHi9Uc3AzhdlBk47nk65SUvDpcE1aZy+9fUMQ92lHzpdKMkUGMU4ZLFybZvzQtO
Fcj3IGvCqlj9rb84l3GM4bYYh3yXZgap52lpr7OyM3ZGGmNe1qOP/GovG6oCw9l3bzNeRwdPRncg
Cdqrxeidp8ohcF2SXm0s+jhWZrqw6ax3DfGqF3jSx7WrnjXPWgDZp3/KyRw3U99qG9o34g3ZqaNd
5SwTitTbuwOznCLzHRPZMNqVlKHPBqvoWJR7fY02DR5cPgWu2AlipXHWm4hX6OKLzRA90A7feQaL
hJnwWlH3zbb33OQiEvWnGlMRdwABUWtcn+d4qgKbrvibqM+rvZewpcHKNAYzzpKtOy3b3hkTBMIy
v/HSLCfgg3EIxA9BRVp5qF4g9Dijr21qlEg4Dnp5FUXLq+wxBEYtvQW4F6LNWCJGzUK9CLQC2tjq
8s3HJbUI7MK3ZrJcITHmB3PWb9ZZ3sMRjYMYgkRQtcPnQSP0vna8a1iCfcxLUVI7VV7MIzzAJHVt
6PgVS8ye1gCR3azxyshk6FercFlXWFynskIc7Y51MJf2rUj7rL0z2Hv81uq/rjWxyf73Xfwyfy6e
++TfmpXJl33X6vU/PBc/Lrq7ZXswtN5cxhX3Ggon92rU9x/E+q+FPp4OZ0Iohpf4+zJuAIsghwMt
l9nZtHE4/oJq5f7rOg5D13FYqepwGKiW/AcsYkCuzkVWZbfZvLp9UMYLqyxQWr744DjJuBJDVf04
6bkrZzz35lSVg2e2a+f+av1arTPa56IdVOYbh0Yg+WSUZbXe+KqUJ5otVdCTqbKenGrD9rLGKdf2
mPiAlG1KJnlc/OmOH2F1vSQ6LFBsXycS/jbIS7Pw3pUqxt43cBFF1owfSClVCYeH9WWlu2FbGaZ2
hX3Xv4ls7c5K6EZQpRlcs2SHpz1ziIWs8kU0jKq+CnnYTdvQ2+C6TWAsnbmTXbncV1hybnTp1Vcm
CpWKQrYHYRdsAiJbv6+WJH8QEe98flkyiNJ2um5Kv+HGGJFjbRi2C2M4lCoIY7Vy/mQuFd0NItV2
LaWN+6Ips4OEFIlC1nn9zXpO6CzntE4y5LH1IfG8ipE84iRF4XFynR1e1Het+c5hFm+0kzZEvZGG
v5/brzs25tr/fm7Zsb1IHt2fxPIMvvD7k2sgKXMHt3T7PEfzaHwfo8UfaCK45onZfgXMvxmj4do5
KoB3RoS98QtD3eMpo5dOCILi/q88tszL/xqjWUV4tHGR8zNMHM0/jtEgg4woglp/ay42xS9csBgi
y/NEmTNCrM96DrYIZ+D7rkVc6nDw6uvyPoXTFTpAZ0mglo+SG8t2aOSu0yjvmcw4DXTZtVeg3T/N
tUdOi5pQInP+soXGctVBxdhn8YC1aZyu1nipGSHgXLgALggMca+u40d3QhFd9PTF9oF8uRFVLrPm
BiPIbFysy4NT0VGTa3R42LVhBQuRv0vNgKKfduJCkyUX2xqDYVwb+s6ShnNnzbO/JXHIRYVuSVCc
rObygSQ8My0uWWazwY+jqyqyAeNWGFNTx6DJK3nO00lsWrGgm5qoxijtHns0+PxZPMZXnqtm9LHu
NtqaekBt+/00lw9aAW8zczXMvbaOyD0Yn81CXrZyZLAsRj1IkBJ9qd3G42Rs+p43cyLS6yGCHpDW
5NucxPhMRSF3mXyA8Suje5+Cq0NSjIzctfjklSb4hxGFtO1x7S1FtZ+chE3coq1BJqajQYQfs25q
bUdGoLafje2CQ7YzvYeOWcrTuxfUY3szpXN16DtpEUcu031mTnc1mWkKra1Lv+sXGMXDujWF211p
loHLqnjIG/PWtXXI+tYVYa985wj2l5o/79bS1zcetF18zaG+cnHQBrsFrEEATIcF5AIxuXesYV7R
PkV/YS0d9mJSm3J26MGSyQ5XVXacmkpjEos+Oen43miwUvd69t7knr0hgWW95GN5MLXSI2E91MNj
WqfM6xmUAhyORMYDQ4uS0BnPwCLpmbeG3jjHJofpiHHPa/Z8qJ0N74jyMDPI4qFO3CzszpPhuHZh
z6zYyGrXp+mpY4bkGb2NmCmroX+KmDH7FX8MM+cyAatjBi2ZRaHYHzJm086djzU/X98vwBPI4zCb
N8OAVC6SYFTDbc2UWxZ+4DP1mkv/fmIKttU0zFQMIK5mdrGvknWVxEQJy6VUMDBJs3RlyYkD45bP
1AY/KKuG/noaki2mys3KND4xlfvlGs5M6VFf77S+vk+Y3t20fRRM80QGDyvTPd/clv3QnbUgmyW4
0lEBmClfOyULRBajUIdSkKAY2CK/91AQfJsXZYOmQBY0IguaP6Yu3hZUB99IgqTOyf4zGw1jdr1A
IGjRKWomWd/44FD17qNiWKgZVuwdK9QNrXrJ0TqcaLkdlfhhNyIoUUMMFuMAM8OOJ5HAV9BqE4F6
1BNb7poVY6faiShfKypLgYICYGTfoL6MyxLoqDHrWZZBn8lL2pXQayICoCP6TRR5e6kEHV9JO7YS
eTBtXmaoPuVkbrlgo08QdkMVGlCHFosRVslFLbqRQD9K1/XYKEEpV9LSjMbkKbGJ/I17oSsBihzo
bWJFDzh5XzPfYQBXYhVlgRO1TghYBkqWQNGqULaqs8SlxK4F1QvH0GlEBaOCAzkMXUwqgcxHKXNQ
zBolnbGE3E5oaY0iuilxrVcyW3IW3JTyhgLXKikuVqJcouS5SQl1mZLshNUNzMTIeLUS9Nyu2ZVK
4ouV2KcxtLFl4PdtKClwLOfDosRBmr7uVyUXKqeTh34YgZbh2MGkqs1/VXf/Vt9VaO2/bw4fn4uE
RfW/b/zqy77fG7gcwPXEIPi1tObtvcEkggScjUvKVyn97bWB7hveBJRq6mdG1febAwkknDm6q58X
279w2T9T9f82MJwDeOSb2Akokj9hp3+aZrzMMdg1p3c0e0VknqWjbapq0k9thnEGPUmm/ryH2E/k
s3Xw4tuixTRnv6sjHjjRdZcCZSqukahstCpbiVaNkq+YVx+EErSgnTpoDCINLCV3IeCULJGLG6mk
sEqJYjjT9Z2pee+qPHu2ff+5iO02nGQTZpr7J5HfZpOjspWLeWdHxBl0v7BDW0lxc5R/Ap+Dn1/J
dIMS7DqM1qGz8rBLh21C3E1PLT7KTYvS5yrJT6zRTEobGdBXguASI79xx3bw2iEXWu2QHTCvITyf
3zHd5JUx3MvEuq1m+szgr2h3lMitm3ylYoAjKMbeaBZHoElp6JVtccxAuW+nBeNK7o+JFQg/LzkK
eRc2k16F2tpodb3p16rBy+I78UNhps8uSUEs0p0p46s6Q2KcIVy62oeiBB45tIY4NXNtc9ZOVfbU
RtLHm42WY2/iaXZ21K6YhHl/jwJfR3huzv/9QF9U3ec6SX+KpOMLvz/S1FCRRRJc4FmqwdR4Mwoo
xx2NEjaeD+H8EKwljUuwyXX5J/DhHxAdaognPchFUD93V/0S8VG4ylry94Nt65aythgO2VrT5ugx
1LTwxg3n6eRmJyfVb9HABsWkr+J2l6RT87yuhALTDPrGusImvWfcXD7ZWqktpNyM7KUHqc0VCofx
n925F4n3z5YUCV1JS2UAO4uJmtChdO5TklZCt5I3G3Wgzwae+ZrmCpYVEVIpdUxuGXfbEnyHMH15
gcF1uBoJPGzMFMpHl5uHkS30gT67Q61III1igmRJcg/0AuWNI+u6BRwCLy7D+txdwc6FgApbxAYy
sijayDlobg89uqgzHVnNmNy5pwMlntWdZYxcds4h9DOeJFLJdG8RXyDZ3VCV0wYF/IKeEHun0uzF
gJa3VtY07RqVdndV7t21EmoyUQ2kysRrKh3vryVFk93iPCRVf+En6wswvHd22srQtNID3KSnSR9v
okpvkNI1e6cZ8tZk3Rd4AiYx9JKtbGP0ior3cOKVPRtLDjV9/CinpLmiR4gLcN5QllM1r34OlwTT
DmNLlH3MIq7kVvpe9t50n0i+LQ2d4+gX8RVYD/aVsPYPZg54PwMARmH5Q2o5F/GMDaMuAfY21d4q
tYNGwlpiW9/Yvb83yvy6KtJjuhCSkuZ6O/XQd2vjKKqmCPh8owKn2T6t9Qu6w16Lno2OHJ3lQ2H5
EujffKIrnElIavuoaXZ1u37SMzJQS5QytOQgqlO8zb2F6m3ZCuiVsK7QE/MA5YyTVRsxMbJRxf0d
D9Y91oGWT4BNjsdEyZac0K6H66NMTITWof64ynQrnP6h8PsHkjYlWLEtw+Jdlk8YnSMDRod2ms0i
tEV03U5FGjZJXm6ase+QoP2HiPXQBeQvMF+OO23TiAY1qqWuvJ6SCKMcr2VmX9pdqx0BHX+oZzB4
ZvrqVFO6XWnY7WgrJV26bD381PQ3yPkScJRPJquK2Jg5xznG1QhTjvzpJO+9KgrGhP8kgkDvR2u8
w7IEwcbCE0O5Tk4uVC7B4AIkm4v0MpoFkZWK2zwu/UujN+xNsnYFMyDPHr4XeNG6cxWX/WkyvVNv
DSJc8+lpyIbbvHZmdi3Ze2JblxYFnpNDjhTGPS2sFeWi3dQxszUIzRqLoApeTrh4wy3QzcvV4uFt
Cv0DXXRcVrGQ2PnyYYGOvJ1TeGaJHnUHoDhLgNjNJbRybw1/zgL+xpFdTX8v2/Ww4q2isOfFYxxM
/SlwXJfKF0bOSZsrlGp+WC5zPrnFiJhDabuhUUfPdLjudJGzS12tuwl6RJBllICIuPYg/KDx6cuY
Bo7TXwLe3HdckGORGUHtDmAF44eWe4OWTSzihneNG50Gp/xiOXP7+0X41X+pehj++0WI6fonZW3q
a968AxU/lT4JE+0LZMSbdyDXWkEpFJT9bwSJv10luovYBaXKdonYK+7EN/ul9Qf3XQsFjSspEht9
9r9wt/2H+1L5SrAp8pYFsuxjZv9nTTeORIPpuczgDlVM655GGu5U2DGYRt2tbe2aWy2ZFp/T3GEO
vKCjNbA681NWWPHOYFcIo4bxixx7UIg53fQ2K9dU09Zt0bN8j7ylft+mcOIHoztp7CNHtZiMJ1aU
NrvKnJ2lb1L/oKk1Zsk+U5iOvkM3t7Yau05NMydewaw/2R9eOqCFA6lWo1mq3UV1fqvFphaidDVb
sy7NYIXgcshXTu2mMrNTLJqDrxavi5xOg9V5RBRZyhYJt0pEDurIgWxdl112bxtpQYg6L8JELXZL
Nry9WvW6eGCA47D+1dUiWFcr4bq3ehahWbMde7u5ofLooVArZHpw/DYkWayumZPROLv66/XTmGr5
2A6Hopn4Mfq1JmdsNAv3d30Q2bGUstzPEMuLfd2Yy++yt7+M0f/ryEk09ic6teL7vXkwCcVxlVRK
9D/CIMyaMLKZKtUjy+7n22Op9kvEJlzGUNTj87/69lhCj0NONj3mV1ucITK/8Fiq9dEPF1MeRf5q
kz+Iv87jGf/hYgqvzTIJQyOX6vshek1neU2l28bs2qMfv7w5sDifcE+UbxmHxj+uwWcys6Gu3EQH
LUB6ZwDNm2twPs2kstfUucWoeT2J9QpTAp0VifrUS9i5oit13mQaTciDQfPiGYORmPGnPPePTTlu
K1pztt0Ivs3U5/JQeaDbaA8lrFqRQq34Hqk/XuSf7uSMlJT605fGW+IDRw5ZrsWoPlmRayE1Quyk
nAdUk4g8nzHuqTtjnFgtgXSKzOhKrw2/CKueP5V1AfAnFwyU1YpHa9DtLIw1I+h7BYsibWIBnokd
khsLGa3hzJYSvck0aNsw2kNoWPCnylg3V+weWhzqZ0JVc6ZV5e5cv9chWNEB1eJ7wRKSW6v2KTHz
yAsIXKx4FyKXEd5LCOUjwpegR9eCy8pgMf+aZrspnIllt99jvDLdGr41e3fcvYYYT0PvPE6m/rgO
VLVOrnbIl+GGxtgb+q7uRtQtaWZ/DqRWSOpkm3rJcc/UB4yB5EsAlDn5MXHw1vm2Mvpl0HONbGPo
8QeDiotJlMdoBo1Ze6GW9OHgcu9ePf/UgZ7W8nZXSyoeRPZIEy+MViTGvedQy1By720rG+9uCpZK
57Hh9uEkj7VbTiLQEyRNbCG7Qkt3NoUVYEerjWtU93Md7aj6/QTbVdsQhOQGP9C6qzeD9yi6CfVz
nfXjkjQOPRhkOW/iuBWfWrvdlAVlADcY+y+47X4YfAwCQ0prRcyQohvTbZNTipsCfj3oeWqG/DLN
zWD68LjM5tZycg7ZBIxvZa771u1urFkebR347zjPRwfiltmLbep613O8XDHYHTVY0cfes+OwsfQH
nrwLI4WPURrHVow3kJC5vM3sbCmgu6wdr9p3xcxSQ8TvCAi1t5zrV7nTLiNXxGU60mUeOwEohfdJ
ZV6fH8nfMqHBQfffl6nN57L/mUlXfdWbU1sHHkQ02SCRxeXph+sU8zwLb0hEKu3Mv/p2bnNnEjA/
8ef+Zcd9e51CF7DJxsAQckwVT/mFc9tQN70fTm5lAyYvyMgnIO6T5/vx5MZV1oy5XEFggDOGF7la
H1LFOJ58726AKteNuskq7YxCbs5YZMw/a1i0+p+ejSmugDjEBJMe5iF/pIYR79vUX9daeYbkTAH7
oOqAlv2ltLSbCJlsy0ddEXaiZU+WLxTjih9Rt3G01fknE788/jjfDkZks9ADG5Da8YU+jk+dNawX
ns/qvXOtKCjJTpAFm66Nxj6NyXwc5AenPHv7+kBLFkU0FLuoKm5AoEvq67Y5QYLM0Dke55gQwZpe
tFkjL+e+/KC78ROhtJFbGA6uuZiDeBLvJh1bj915ZM6W/tl263XTshLZ19Ict2IljpK52Yuztpej
nOzrovaPi+34p9JdCe/a5UnG5pSC6ouja9t3igBF44r1j6LB/7lGJE203gt13wAJ2F9w/LaHUuO8
5M94V7rNJ8/HWyTj9EWm+XMkpMubIEvvO+InYS1JDpSj0YRTphUXMVfLvm0vhjl97Sf8y2kJ9aMq
rWrbNcZ7FofKzuzGm7Gz2j3taT5bTl6E5rJGR8PIOfPjwdSuIY9zkfbPl+ohtoARQbtfLtOyoGMq
hv/oso3JckmmmQKd97bWOtox7/Tssqq1gE0klW2jVaYXk2lj0JDNdJXrY3/v46aifUnSnRyVfag5
E6ySEs/l3TiYeEFIuTf4F6N+m6/YODWvQHaGqk3BKHzt/x8PK06Ysk/75fj6f/+PsPD5/28H1U37
mUvVT77k2ykFM404EnQFwVClTpU3p5T1h83xhasBmwFD3JvbJVFj+H583fetxfehTwmfik7IhZSg
3K/aIM6Zurf3S1vZl1yuevR+YBcSqqvjzY1PdsMqp8FPbzPJ9OUHHGpzw6dGOjd+VFvWHe00bbev
cr0E4heximdxPuIFldFYTf/D3Jk0t40kUfivdPQdCuxLxHQfJGq1pLZku+2eC4KW2ABILCQ2Avj1
8xVB2uJieilNBHCTRBWBRFVWVubL95r7hWEDFXRAnJ6iFzgrjcfQjZW4+Wi5tTJTz+wZacJ5DVE9
0Dp1+baMF+pzos4FhNUp0ghZJi0ExqRXWkaWL0Mw1K0vM88MEDNeTG8SduV/DZKg2Sm8EO5nhQLK
WQNW+cZBA4riS9CdwRgTP1rQFl0GXUZpz4vVv2YzKABYCLBzwemeU/rs4jkdS51hKh8cVfnsNnY4
SixRU4a9+R6oFkk9zpe3DRjHa6e2qv8up6SMTMhzkRGAWe4xd9xZOCqyhgJu1fneaK7TwnROGxEy
AG7V4XOKRQwSQQ3DNwt/dhHUUXBWBkv7MzDV8gNVjXB6bxFajEDgO39FsB1Qio4amP1ju7XOSieE
vsb3GgqdhVpG7TvHKssUkvt5+8mHagh/7oF8aBs/eEcruu+dFhlIlrOW27+ObD980y2b5hPdS5p1
aZuEW0Fq1OeeDUbrTNWmiXbhlHZIpjky5h9bQlrk0RdTGKqcOrlRiO4zlERctEISv3P/cmdLaCwA
OzAlaBihmdtpwqIbTa0CuDCEx+0/ZdUu7Lc8iU6sPkMIdeTFIRlVlZaPQs3t00SZhv86OUy0YRDN
rorIrC6WAezA1iKqRuBNnIdFZxJopsh+jOjLyx5mkBTftJnpn6rJQntQLG+JR07sG990WnTrcst+
Xs7py2o4kt2z35OgDduMTuxT+JzR81qkCvqxgTpt79S0Intxo8/MJUcFz0rBtJ1jCBMWtzpM52/N
2QI1iy6NNHAgRtSScw3dyIbIHgzyLfXpFBLtMCWdA6uuxskJbjis91CxPVMT0GrnXTJPiagdBX3h
v+O8dlAtywoVMWnP9k9zNSSbZzSNU4zoVSiym2nm01Njz4PwOSHFSA4zdtiCKLInCkV/EEZnvttk
94XiRrd1WoZvbD9djpFesNm1imV13s45U5E7bUN4eVDTofc8ttXwqp3GenbFQTcGWaNBMUtUHyjl
lZonjkDUR2+jptW6s3BRh1PYOf2Ele27jn9qzIlfR5AxcdSgi76ub7suqhYjnb70M1h2K9CwdVIL
IiQlJ6JQUi94a6NjX9C8WSXOXQON1T01QPUynznVKAyMAHQC/Pw1YKC5O4oVJ7pXOADWF7VP3z6b
t2oDOY/d5Sc9KrLL0msWwY2pFo9dU067B69SnpTOS1lTip01MOlNW+u+zIwCkZAFTUsXQdVmn6Bd
UdFMoDvoPRrctNWb/jxPkXE0UWT2lLSk+uHW7Ttz4TXZNTm4cgGWPdbty1gNAQs5U9+4pvE+/3ep
mB+synZpS7CK7h0kIfX8ajkLtew699sG5JOivTGKQr2D21R/MNMl6xEE2TQ5nwZ4M0voHsxaOl8R
oXFvpgpVlZFLQre5bTTQGY5RpB0cBfns0nX94hyYsq+cRbwryr9zsvd6ZxoP9Dur9YVRQX9gs7e/
yWyaaw04AL1zJZonIfJ6jfZ+3pnRiPBR5z3PkFL/nC+c6XiqlsoHI4/rfwpYBPPzPDNN1hrqXTQM
dxwTNVspr/MgMGkxraYFXI3okLzhA2Z1qilzBSo23Z5DY0fnbRLeoGxoQbDdQugzp02xjc161FQ2
wkuFTWhh2Tn9s/S11Fck243s3C+TZSAojJPKvMvSeQW7WerH77U2MP6ul91HkylMKxVtJLwbKtEg
nZbOg21F2igofeDieri4drzUUc/TrtTPY8XygXE3y+YRukDzPobJHdXE3Em0uyW4o7uu7Owp+NHM
+LQom09B01CZKm1I20Za5MfuGV3NVDIA6DTVHTSe2j2U08Uj5T14+CjcN8GD1tR+rtMQGpOYuEoM
p3TQZzEVP/BvwN8v4eB3Z9rF/yVSuoueoM9G8fw/4sD4BKdFHgVhuTqWfP3pcpLdj5NJsfuhrf8p
/lz9OZhko3E53voBElPCnYdqkrePk6KKGX99PhUf3fsrI3Ez64HeZlFavs9+7UPHB1qHYe/b+eSP
38fPCRjgqCjz6KkUOfUvIVqfAtxDnaxubPVMR8eBLIae3We+wbQQilDBdgCZ6K/ff4sznGL/ZwWw
+Am5cY0ACH4Yrj4ufGGpb9ni+GNuTH7MpkcfYdcUJnHk1sn6V0wBPwc6FbazelKVmsO2KfQTqDwI
QQUDNd81QCPsphd+xQioH9HKArXF6uJRt4ygOSeQrIGityDkHvJ8ANksPR9ooED8RpxIVteuKVyA
Go5QJSfJMcz50N/YziL7Sf/AYRCha8iqV9feojBO6PEGTS5KC8M0ArcsPRNMpEXgZ1kbgUfdWhQw
EFKwMAHv9wtwgJ6B3UPSCKjNirqr4EA/uBzYKaAOE0UbTvvDnAm7SY1fcY90TqmwRrJpiguzbs8E
ymAuWdGhzoM9loifNwHzQJT/TPOAK2BurFrSVrYZhEN4GTQdymv9yPPzjr8GTOhnkYSCz+sbuwK+
wCLzTcQ00FVgyAcJ5gmPb1EC3nOERIvsFAAeB/rw69BNbkekecpC9QQ4trh2XQCiECqtmxAODNUP
GvKxEehVuFhoTV1vBrzvbT9onFBoYL/QwKVzDXYx9DcmMx9YDFTWkPKAJ3N17ZpCO9FwisD6+z14
eMGB6DuWDA5oSRYdhRDZ9TbYmw9wC7kqTctmP/cGaAT5CEk/AZYGATUkSIdnAhES0iCAQYa6HPTX
mAkmxIlC9rG3AU5w2zOYJ6aQvkFtaqB7hLErqfUjMYLYBb4GCbp40ZYJuqq/dvcIFLdcMvT09Ax1
OayDeBnHaJxANkwsxBH54HLQPDYRD8qwwUYLgudM0jESLrp098P93l+7EZPIp5hg6laotEGemkRx
VNIIkKna8McJlazVtWsEsRw0dSUZN1CfsD7QySyHlaqATTJlnV7cNQJxI709GkJ6Q/UJ5mvMBMhH
qOND9r26dh0jPgHQG05jHaMOME6Qz6npQjkRjoh1Sl0Ex9tbJIIWJgge3epjkuEZQYg5S/sEQYyN
YtC34gTCZsFwg/scqk+QP0bRH0hhxUPBu98h98JmIkaofFgNzJFB7g5CkVByJvTZBMsETn4wTtDF
YVMkHsEVimuoptD7iSq5RwAZMRAP+MZ8gBUKO8Eus/7AQGfFnujmz4fQQFYd8c5NmnLEtbdTOBQe
aHlH336gRlif8mTmA+k0x/bQgVgfJPZ2ClNsJR7CuOvkw1BN8RrVWZqo2RB46atrzxTaiWjdwFpD
zT3q8pGD8ITIytp9LX7lCrcjB40ajCW0BAY6EdY5UZk1YSFiQyu9uz5L7DkGDhO2aChE736oRuhn
qIwRANE69O47m5mw6x0pxlGmd4C39hmd4YWQApMrGTiAXYH75NtYBUoxmivUyUWXwiCjJ0v+REU5
DgJAnWa83i/uVeVUYkzK80iLbKKrQZpiT9/q50MGoUjvqQj6rTfDA9G0INagMPETW8QPrJwv2DC4
U+PnFSosmiBU9QVa9t0PbMBS+wO8wHz15cutjwqYWD94j4cSP/+5jRpbwZRe/HUDW1p91fr/18+4
/+1bX7Z5sM0vr6JJPs6fhGqxgNKt71SA8v74/Ziu+urThwFuXxzC0bF5mu3ugx4Nt2qTkh38eySP
rzD+EaE26dHRjE4+R+OXVe/eOCKL93UW7EMLf8jyR5qKpe8c4OoBJgFxppK/7SrP2804osFlbRJc
pfTYo0nxFFblpNiM9WJ8gjD58bMqiA9RjgoZMenRj8tnyb7Ty3yclpu7fGEXvK/0nV+N83Ry6KWS
mZIfPMuef3uM6km+GezF3XOUkf6CG5hkD+vavsYy/Z5urux7/R77lez4xwmyZUe/Hc8mm1f49bUa
r7FYb8cHGcFeY6XeRulTFm/13PVeTCTgpOcjox8a+jUW6t04DifVgYUkimvSN35U10h2ptxleZ4t
N3f5da6IOoj8ndNykGbJONyM9WJ8Dq7S4x9h5pG1y7twkifjAxNGQAKlb/w9jUjj5GA0IKS9pcf/
APm++IrNUC/s/hoL9UN6UGhLAM+kb/3jOI6z5aE7f42V+nFcPGWbu3xhlddYp4wNXWJwMG4XrRvy
pgknk/jQfi2O2NKjHydwPb6eDh2uvjSP7B+5Np0xh/5t+0gpPvEUT8b5n/8DAAD//w==</cx:binary>
              </cx:geoCache>
            </cx:geography>
          </cx:layoutPr>
          <cx:valueColors>
            <cx:minColor>
              <a:schemeClr val="bg1"/>
            </cx:minColor>
            <cx:midColor>
              <a:srgbClr val="FF9900"/>
            </cx:midColor>
            <cx:maxColor>
              <a:srgbClr val="FF0000"/>
            </cx:maxColor>
          </cx:valueColors>
          <cx:valueColorPositions>
            <cx:minPosition>
              <cx:percent val="0"/>
            </cx:minPosition>
            <cx:maxPosition>
              <cx:percent val="100"/>
            </cx:maxPosition>
          </cx:valueColorPositions>
        </cx:series>
      </cx:plotAreaRegion>
    </cx:plotArea>
    <cx:legend pos="r" align="ctr" overlay="0"/>
  </cx:chart>
  <cx:spPr>
    <a:ln>
      <a:solidFill>
        <a:schemeClr val="tx1"/>
      </a:solid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data id="1"/>
  </cx:chartData>
  <cx:chart>
    <cx:title pos="t" align="ctr" overlay="0">
      <cx:tx>
        <cx:txData>
          <cx:v/>
        </cx:txData>
      </cx:tx>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plotSurface>
          <cx:spPr>
            <a:ln>
              <a:noFill/>
            </a:ln>
          </cx:spPr>
        </cx:plotSurface>
        <cx:series layoutId="regionMap" uniqueId="{AB4D4B16-60F3-4AFB-A28B-7A5FCD63B7B5}" formatIdx="0">
          <cx:tx>
            <cx:txData>
              <cx:f>_xlchart.v5.14</cx:f>
              <cx:v>Acres burned</cx:v>
            </cx:txData>
          </cx:tx>
          <cx:spPr>
            <a:ln>
              <a:solidFill>
                <a:schemeClr val="tx1"/>
              </a:solidFill>
            </a:ln>
          </cx:spPr>
          <cx:dataLabels>
            <cx:spPr>
              <a:solidFill>
                <a:schemeClr val="bg1"/>
              </a:solidFill>
            </cx:spPr>
            <cx:txPr>
              <a:bodyPr spcFirstLastPara="1" vertOverflow="ellipsis" horzOverflow="overflow" wrap="square" lIns="0" tIns="0" rIns="0" bIns="0" anchor="ctr" anchorCtr="1"/>
              <a:lstStyle/>
              <a:p>
                <a:pPr algn="ctr" rtl="0">
                  <a:defRPr>
                    <a:solidFill>
                      <a:schemeClr val="tx1"/>
                    </a:solidFill>
                  </a:defRPr>
                </a:pPr>
                <a:endParaRPr lang="en-US" sz="850" b="0" i="0" u="none" strike="noStrike" baseline="0">
                  <a:solidFill>
                    <a:schemeClr val="tx1"/>
                  </a:solidFill>
                  <a:latin typeface="Aptos Narrow" panose="02110004020202020204"/>
                </a:endParaRPr>
              </a:p>
            </cx:txPr>
            <cx:visibility seriesName="0" categoryName="1" value="1"/>
            <cx:separator>
</cx:separator>
            <cx:dataLabel idx="23">
              <cx:txPr>
                <a:bodyPr spcFirstLastPara="1" vertOverflow="ellipsis" horzOverflow="overflow" wrap="square" lIns="0" tIns="0" rIns="0" bIns="0" anchor="ctr" anchorCtr="1"/>
                <a:lstStyle/>
                <a:p>
                  <a:pPr algn="ctr" rtl="0">
                    <a:defRPr sz="800"/>
                  </a:pPr>
                  <a:r>
                    <a:rPr lang="en-US" sz="800" b="0" i="0" u="none" strike="noStrike" baseline="0">
                      <a:solidFill>
                        <a:schemeClr val="tx1"/>
                      </a:solidFill>
                      <a:latin typeface="Aptos Narrow" panose="02110004020202020204"/>
                    </a:rPr>
                    <a:t>Marion
 -   </a:t>
                  </a:r>
                </a:p>
              </cx:txPr>
            </cx:dataLabel>
            <cx:dataLabel idx="27">
              <cx:spPr>
                <a:solidFill>
                  <a:schemeClr val="bg1"/>
                </a:solidFill>
              </cx:spPr>
              <cx:txPr>
                <a:bodyPr spcFirstLastPara="1" vertOverflow="ellipsis" horzOverflow="overflow" wrap="square" lIns="0" tIns="0" rIns="0" bIns="0" anchor="ctr" anchorCtr="1"/>
                <a:lstStyle/>
                <a:p>
                  <a:pPr algn="ctr" rtl="0">
                    <a:defRPr sz="730" baseline="0"/>
                  </a:pPr>
                  <a:r>
                    <a:rPr lang="en-US" sz="730" b="0" i="0" u="none" strike="noStrike" baseline="0">
                      <a:solidFill>
                        <a:schemeClr val="tx1"/>
                      </a:solidFill>
                      <a:latin typeface="Aptos Narrow" panose="02110004020202020204"/>
                    </a:rPr>
                    <a:t>Sherman
 2,650 </a:t>
                  </a:r>
                </a:p>
              </cx:txPr>
              <cx:visibility seriesName="0" categoryName="1" value="1"/>
              <cx:separator>
</cx:separator>
            </cx:dataLabel>
          </cx:dataLabels>
          <cx:dataId val="0"/>
          <cx:layoutPr>
            <cx:geography cultureLanguage="en-US" cultureRegion="US" attribution="Powered by Bing">
              <cx:geoCache provider="{E9337A44-BEBE-4D9F-B70C-5C5E7DAFC167}">
                <cx:binary>7H1Zb9y6svVfCfJ85S2K88HZ50FDD57HTC9Cx+loFiVq1q//Sp677Xg7jj9cXOMYG9hIqylSXKpi
1apF9r8v+39dpuuV/tBnaV7967L/+2NY18W//vqrugzX2arayaJLrSr1s965VNlf6ufP6HL91w+9
6qI8+MsyEfnrMlzpet1//M+/4W7BWu2ry1UdqfykWevhdF01aV09c+3JSx9WP7Iod6Oq1tFljf7+
eKTXgco/bn5u/f3xc7hep2v98cM6r6N6OB+K9d8fNxpbHz/8td3Ho/F8SGHIdfMDGhOyI6VgFuPI
vPrDHz+kKg9uLhvIMncsRKTFGZNXf7edH64yaH8zog+OavJ6uL325MCuhrX68UOvqwqe7Or/j2+w
8TQwE6e/nIW7Pi+nvqfJDwCHvz9e5FG9/vHhrF7V6+rjh6hSV4PTg6OmJ744u5qivzbh+8+/tz6A
Sdv65AHC2zP8T5c2gXwO4FV1qZ6dxd+El+5QKSRnCF+jJ7bhRTuIC4mlgDfn+q26AXYayd0UP/O+
/QLWjeYvAXWjwbuCNE1Vt7qd3SdN47dBJRZhFr3BVLItUBHfsTinklLryqbRbee30F6N6E/A3bzB
i+DdbPKOAAZ/M/nqZ0zkt+HFFqGMCnntksEyN1wyEjum4GCxCKz5oc1ejeT1sG42fwGomw3eE6QZ
LJBp+sZGy7jFwBnfrKPyMapccCJNQbZQvRnMHwC7fYeXYLvd5h3Bez5hmymV3E70GzllykzCTfaL
QArvCCwsCKW23PHdaF4P8ONbvADhx43eEcRn4Vpnqzd2y0RwREx2AzDAuOGWIVLm2CQSYuXb9+p6
vb0Zy+vh3b7BC8DdbvKOoD2AFCtX2Sq8neW3sV6KmIm4vEmDttdcy9phApFtaO/G8npwH9/iBfA+
bvSeAFZaq+5t0cUUE86J+EVEJXcoxZQKTG+7vTbdg6uh/AG4m+1fguxmi/cE60q/caAM3AWWQMqQ
R6QF3jGxxOCqyVMJ0MHVSP4A1c32L0F1s8U7QnWx0vn6eeLnN9MfvEMFB1uEWPiWcdpYZ5HcMSG3
FZRurbPXQ3k9rFvtXwDrVot3BOvBKg3Xjb71hm+xxOIdSFkZeNlrH2xux08Ta0EQ/HHgMx6mtTdj
eT2w2zd4AbLbTd4RtPtR/qZxMdlhmFET4W1ALbyDIBuytu10GsDrwdxo/QIkN77/vmC8VOn/ByQp
4ehpz2sR8LyEUFNeM1NbiSzM9DSiP4J24wYvQ3ejyf8BgJ8f4sYzT5WC01tn+IQP/t1iD7hgLJgA
e/0FwCbEwQJdmfJDD3xbj/olx3ldDntU3Lltt/FQ18/0/Cz8nyra7K/y9TMgQSr5uyU5k1qIklt+
H8KcjQAI/KopEZIEXS+l22YIw/kDG3zY+gncNj6CkuT08He9vSNQd9c/f6519bbMPiyVFrhOSqxf
2B9U4yBrwQLBS/PQAO9GczfVvzRF6xe2+PgWG1A+XWp93Og9Qby6TN4YYGsHW4wSdFO5MQHGTdO1
dgSHug3hW0TD7vVY/gDerRu8BNytJu8IWkcpKP0/YyO/6ZIhkuVMYjxZ7/T3KNQlO0gIKTi/sezb
zq9ppGk4r4d2o/ULcN34/jsCdaHUjw+nUfu2Ahi6w6GaCtjhX0CLdqgF5LDE23TD3XBeD+39I93d
4wUAP9HqHcH8dZWFUKC7taAnwt7fjqgoaJhM05L0Ztndrr1OmSrU5TAyn+QLb0Z0B9EzfuVpNcz2
DV6A8XaTdwSwq5ogXb2xfwaAiRQCUtPp74mQGRNqAb+/FSzfjOX10G7f4AXQbjd5R9DO9Sqv39Jy
yQ4GxQQU1vnT3hm0MBK4J4uxrYDqaiSvh3Wz+QtA3WzwjiC1V8nbLrhkBwpxwCGRmwV3O0YGHhjW
YskFBjf9MAm6GsnrId1s/gJINxu8I0jdNeidmyt17DNL2W+GyBM3KExxU3F7IkRGOxhRRPiWvOlu
MK9H9vEtXoDu40bvCOHPqyoEyXr9tvQFiIktLIlgN874UdnVghKP5FiQrQrO/XBeD/IT93gByk+0
ekcwO43Wb1p7tXYIsgjm5FdycbJDrEnhJrZ889VIXg/uZvMX4LrZ4B1BeqzSN5UlgkYCmGJYb2/F
4tuMFAa3zBjH1paYeBrI6wHdaP0CPDe+/47g3Ifo6TaKeYtM1pp4Jga6/utE9TERZe5AoiNhc8AW
gzwN5PVwbrR+AZwb339HcO6qal3AyvrGmBJickzELT3xhIlaDJl4Wzl8N5rXA/v4Fi9A93GjdwSx
A5vjKlW8pdEyMFppSvOWHH6CnRAgT4Si3hbFeDOW18O7fYMXgLvd5B1BOwdaMVplbwktMIuYo19v
xQJROBJUEEK2/PHNWF4P7fYNXgDtdpN3BO0ebOhY1W8qCbd2LNitgcStWOKR1aIdDnwjhb1at2/U
dbXnZiyvh3b7Bi+AdrvJO4LWBo7ibfNYskM5YoTfchXbDBSUA2D/JDctDBnuBgN1NZTXA3v9KHft
X4DrVot3BKuj33gDFlDFpmViZolf1ADMHai7IwvK79df2MT2ajx30DzDiz1d4tls/gJkNxu8J2BV
2mTfo9Xt9L5F2kN3BEMCKjy/2nsFugpkWiAe3spinZvB/AGw23d4Cbbbbd4TvCnIRmCxfdP6Hd3B
lAskbuB9SjfDYGMsRFFb9TuIVq9H8wcAP7rFSxB+1Oh/A+Jfn1Bxd+aHu6pX3tVpIQ8OqXj+6u3p
FltNn5XTXPvL5Y+/P0KhHXOw1Aeqx+lGG+voPSt76yQ2W65XVf33Rzh8xNoBKpKDTwfKGSQaUDro
1jeX8A4Q0SaHDQVQ94V9tx8/5ErXIRxpAooOLils5QMWBI6+oEBGV6q5uYQRtyDZxoyALl2gu3Nc
gIAa4MyVu5m5+feHvMmOVZTX1d8fJcQJxfXXpuFO3UtEsUlNUGoS2LACHRWXq1Mg3uHb6H/8MPST
eKiiE5oIfFya2RDYpuGHHh5iVTiJDvQiLiJW2X1TNJ/isUxbz2dDtcS+CrwU5fkyI5Xh0iGOHJ6q
XZiF80LWy7rpiG02KLStLiiWI+kLb0R4WFDODNdverrMwyL1WOvHSwL6FjcWudjVwZB4OPWThWBG
y5yuG7t5NfSZF9NyKByDcd8VSZbAfcu+Oib+IDxL5irldoZ5Hbpx24qVbgvVeCOrzwMzyfdLOubL
Qo++G2hLLAydht4w0HJZkyDx6qqIDrSm1Vyhkrk15sHPqMK5RzuRB3ZAat9lndksaz+LPV3XdWDz
Mk9ORmKE39s03y06U3l1GmfLPEOGOwaWsSiqNJ53YQ5zU0GfeED1aVFh7DEmil2S5ZVHslCZnj+W
RlHYV/eo+ihZIpnmXt+UEXGCoWg9XIWGm+gxWzJdRl4w4mxJ0izwkjEny6rmo51KeZL33FRO3Fv4
OBglLZ2Hp8hsvDyXqhh0FIQ35wDd/fM/5yqD/66Olbn/cDpG6P5f87Wacohq+0uTod996/5omsmw
7s6p2TLX67OIfmHLz178PUOHBfdO3vyUod+fZ/PAxqdV+tbGgbGEaFwIAbtrgQV7aONoR4BtUbgG
5xPBprANGwcfQ6ANtaQFZyrc2zjZgZMxrqJ7YoLQFi7dTsIGTHB20xM2DtWNDSOfbJsh2BBhgg5B
EkgJwNE8NPJKxA3Ks6o7TjIWumYTJk5CfOJyQyo7U/RoKMYvlDWWW8VNaat+yG2G09zxGS/tSGbV
rh8GP2WULw1V7g5p5hnZENpNJMb9pE0Sp67D1B6E6pd9gWdQX9O24N0ejnRsV0mTu4HiysnTZD+i
YWAbVvPVt/JPfunPqhA+SETSzgqZL4eyXbC+0U4Rc2oXuV4bZWq5IIK9EK344SfKyWhFXFqGF0PS
HURyyGaJ7L7Ct46oyjM78NtZhFjgGEnCZz62nKjBg0diw1G4r5yGsvNKaeExs+xs1Rqfhjr/FCXZ
aWWoy6hB1iwKyiD2LGzq+kCq7HLoqddXwdexbOZV5Pd2G3e1jeLqdPSzxEmH6FAz61sr5QUOhLR1
l+xSji95M1Y2Lv3GzkcRemGrTzraHAxpxWDa62PSNTDRVRMteRZ2bhNGnomb4zo3LkVrlja28top
+mFRDX4w6zpu+zz150kVun0e22F+0FRqdCrdXpiaDPYQDtjp9efQ2NNjDfAUTleZtvE5CYLzUKfn
dSW/DqRLHcILz1eFDT6PukP1DenYRYmwQ1O5Zm3OyhCbNpO13YXHKGkvg6KdhV1xGmWtw8PeLUN5
YKaNEyLzuA7zpR8PX4jZ7dY4mmV8LOwxSZZt4ZdeZZZ7oq4Wef0T1/zQVPVRnPrHg8+/V+XwAzSL
a9/0L8jAV3E5HumEn4uoO6tU/HOIA49G0ScdZiejH8DBZQmzNZefRhElNu/HzIkkWbOxz51xlHuJ
qYXdkcaNODrnRnGQ1CR2mzhaJDha9joMnNQq91k/Sieqaefkmv6MA/+8UwWyy5YkHjEjaReoMb2i
ztY99wenrOFxCj5+CSmB2xf83Mrx16ZWjZ1olcyssv4+VZQd1lYHeIxT22hHw42rwsmYOE4w3YvH
htsyN2ZB358wpRwsM+pGQhwHWTMbMCptH/RD9qjjwWlMdNTIYrfrg29VPVyUOWmPZJZf6KxbFiHK
HBawb52l5tGAO6fjau7ndWeXutiNUincLh1XEUtmfRiWtonHlTDVMayv2On81gDr7i/8Wn31UVza
Q8LWJR5T0HsxPIfL2g0SvvQpWIzl8xkKZeO0ZbXOuiH3SMSXpWkpN4jDaLfDOJ13RmV6fcoPYhYd
tIao7aoZmd2IQNmlDwMIEpLOMwVj85PKHnRH7WCsk/1KR2A5OinsGjyRP1TfG2Z9HspqqfLSdMPR
jx1kdO0ijNB3Eurok5n3MP9SIJtUvXUpa58fI1aUx6JS/rlfBskBz1iVOG2jcltxFu/lSQVw4qiw
u7yI9lNuRTPNg2ivbmGdtzjSB4Fu+bckKDTzaBYNX5BZ5gurAg8UZmH+raqw8SNP6nAPihvpMoWo
R3ppRLAr2Si1mzalEdqqK6RappWeJTgNa3uMx1E7IhH8fOShGg7KMsg8rrmAZgkNIXoYZkXa+A6E
hZFdFsOaITbCVAgIN6zosKmjyg5YhewwlccS90cQJJgOprqy+RjthQ1at02nnRzz2OFtTB1Vp2cE
VXN/jIQXtwV8kWvDiYI22OfFmDp+agq3xU1vl9bQeUnUWbZQ4aqMGLItFXmq9lunloG/L0VLwCD4
cdLQwLZkldqgmsGzRtfSxX0vXZogdhIMjTkzrUq6ozS6ecnMXR8pZpdpleylY0eczBDsmA0UO7Vo
z5qc5DbEtdxhfn7EZJy7zDC+t2HeOSrwLwqiazvkrNmr/OJkgNjHrdK2228z/bOqRzxPcrJPi3h0
ky6CW4JG00my9vuYVHq/xUHkVNUIs1gms7gbarfg+Sfqd4Ndsj73Et1diKH+UkWBnlaJC7Mk0qF5
9KMruto1kYYVLYw1OP7sU1znX/MC5s/M0sLOI4Mc1IZZHZWJ3LeGlCWeUXzxWwjeG7vJyjh2a639
0QtrM0oXOmBLI+k7dtjrAsnCKRpwJd//G49dJ16QhPw6Hrs6seuJnGvS69zEY9M2bFBTMgzby6gF
Adl9zgViSwYJFYfjBGH9JlPQdZ9zAUFjQjomr2IuAQHebc4FCgQKCZwJ56cg0A9BgPcb8Ri0exSP
cYgHoVYKXSGQhcL4HsZj2jD6mPVdcmxZEbjo7CrhUW6c6UMZ0EULHspDCRZuFPJlYbSwDIt2hlPj
DCf5uR+3ngoh91ggmnthVsyL0ihPhRkXrtD8dCiti6bzF0E45m7ip+CSVbkvsRE7Y0Z+orw7HQpj
joLxuKrMQ1gIW/C0/HsWWeWcZkXiosA4r/1mQYbCcowirz+3pCgcSwl4rcE6kW/A5wKlNhFlNmt7
TDycYMPmGDVHYM6JK2T/VUQktXFBck/GiXbixt8NayLdIdZOgySaVbkobAPWTWdsDGWng3TKtPlO
dQ5BBgrsprIudILdvpMzo+PrUrJ5Rtjc16lwsz74Ehr9jGoVOH3RY4g5/L3aMk5M5oPz9EnmdHF3
2hQqsetAOoUVHhSZdoKQ5ofKiuakIu2sRgT8N5WLnhVLIxq8IDb2QIjvpDT8imkxjyrDYSbeTYne
VbW5N0TwmchdFWQHMVEe1hyyWfAoBl6kdJhhLr0sEYeMGbMcQqQqb2c6L+cx1bOuDAevxZVldzST
dlyNu01f79UpOy8z46DojYOojQe9aik8PmkprFKQeaT+ftizHhaBzhIalh+aVEcqUBGz0VDj1K7E
aMS2EVRx6rBG0wXvB3Lc96NeIAV5bIKEtcAo84/NMhQ/JCwuqKz4UoXEcPtxhFSAZHwRtUl7QTNE
Tpoo6xaD7tPBKxLaJLYYjLiYQ+KfLODfKLFxXY9LEMAWJ/nQrkhVCzdP4t6FKekClzUs9USnx0Nu
cDV6AdfxYc15Tb/4qC5TO00QDd2yacLDPMnlLNOhWBocMm0I0Mva0yLlHaQeZmR6ipL2sDRbnDna
/FT6hZ/YCYWlxDL7JnVbmoWJLUNDJLBUUbtrA652TbP53lRZNA9okdm8tuJlOhqWm9J62DOKrlHw
HjYC4vOqpuk+JNJzOaTUMSAniiFOsY5QVAWhPQ4iRF5ZJ0AEsHqEl0omeR0voojwaJ6MZTfL9VCd
Zo0R+m4X53us0H1sFz1EgmZeOcEY7/Gu+RKJLLENTfZIj35KoXZx2M0wUBjOAK+JXag+sBWuv0gT
oqYsqKlTlT49szix26HN54msPo1FdFH46ojiOoYpaJc5nELkmRAiOT6NfsCe9yOWZ05hptpBpTl4
eIA3PCv2w1QvjVodd7r5lDfxgR/JY84h2mRM7TVwsC8NIRXBoaXtkVHPzNmsjjh4AlydK21CnpCf
4JQktp9R7lDT+lxXlNv/XdCuFzTI+p9Z0G6OKXxiTZuqsvdrmgTxBaIMOIPpCLcHa5rcIRj0VHAu
CZR7gdG7X9PYDuw5kAxOx4WNQfRquXuwpsEJNLDdb1onryjG31jTpsXxAY84UQycImAq4BReoBGF
gKrjwyUtjjimY5iVxyViCEJ3X8btSO0e7KHJjMh31WQkEMJ3s6E3RDQPO6HjBb+yqEGbGdCOV5ZG
SwFWVzbmkX9liWFZUifv6ZyLiKf7URRKcO7lZL/JZMrZZNRsMm+DgKHXk8mLoPoeQLagdhH4A3Hl
GYCkBS/RJE2bwqLIc1tf+RFaT+k/WDVJ4+4wvvI35ZXvsXBXe4GYPJJPCrHUQSNnenJYyZXv8n0f
/Fg2Bkd8iDK8XyV+sLDKqEJLyKwKu5VGFpROInxizfIiK5FrWHkzeiCIhUCxZiPSR1YaHwaoBpJU
RI15XKFxzGwrYSUYo4mazBZkiGubRDhwgjYTHqFB+6Wqy/oS0ziN3Ur7rWVrnWLDaYtMYDttErdL
WtY5ScCRjVkJGRqJLBLMFW+FuEhTo67AM0QysEMoVxyFo9l+ho1JbbMcgApWdlGUDB2WnJf1UspW
zwJGosTzB3TwX4u/tngI6X5t8XfHVj5h8tDw1uSnGj4cxQjHusHJ5rB3E7zBXekAtipAqQlRbsFm
bSgS3Js8lA4ExsAbwh5uE9wFMP63Jk93TFBFc8kIAbPH8rdKB1Nl4GHlANgOCrQlHEcHsj/Cpj0R
Dy2+SIYSxb4qT2K9xOJbl1qeTg/1WLkPpuYJ+hLJyXfc9wS9gJfCJgb1L2gewLtM4fSDGoXJR9GF
eMhP0vTUkAMNL/2gofu0s5JPlZ/IAyZZ9CViHQvmrUbWQQ55v9d3RfCFD1KCqTd5tMhNnqRO33CN
7FGUdeYyc9BerHSyl7VVFuwL0w+AiVHpChxdcNYaclyqBGwlatNyt+4l9sYqbE7JROcHFhQ9yoni
HyayX020f690tiynUkADNYFhKg6IqUxQXlUMmql4QKcyQnhdUJhqC/FUZigMHfxUWcfAnKEI0Uzl
iKKDtGCcShQ81MAdTmWLcipgDEjnSxU3+b6QzbmR6aKBAULJA6gAqH5kqebf/DgcWq9g1UGUjmN4
qnBb1k6p+G4aIMPOwto/Nccmb86MvisTO9LhnlXVP40c24bR/kyqeIGL8IvfjS7R8d4AcbQ/ZPMs
bCmwm1UJ5Gp4YiSBqxs0Jyib466YqQ6tIKbqbJ/k/oKXBpszxRI37elpKzoa2zmu3DDkB7LL9hvg
zGa5Wc4TZS3DoRsulFXbgWpTuwiiU93Wrih902H9IBw/4We1zxCwm8apKilUVzJqzEjPDacbCuKN
uGoPA0r3NdUYSinpMuZ4GQR0Vho5MBIQpOOOnxWwFtpdZCw7queyhve1AEaoNGO7R9ESJ3Gxl5Q1
AgbRD+yBUNfKIRUYm7Y4J2VWxQ4BZtnmeXeYB3hGGXA/Y1xqm2DhVMial0a6MLL2Bw3IwsSJrXPZ
21Dl8aJG9Oco8L+RWvoOKyLlVSmWP1SqIezuPhlD4CILOHJgavxFwibuHYBpRlTPgWNYNzAWUfe7
dRl/QyM/U7GVzDsza9zUymzaScMj7GvNZOm17fi9HKOhBlj7+jjXTeHGKBydpPWdKA+PSBV1toGS
b7iuDo1MrkpGR5cGwyzVwUXMlA/sv38W5b4Dryu8Nyk5U/D6DayM1s8bN/ipZ00bSuMPTRuWRSMI
ZaBOdP851WcoO2sK78+62PJThkGhaqqhC+qvwvE0gOShaK7XMahY/aLE8uRjMNibS2GLLsRnm4+B
aWYYAijPE279ZBYQemrxmoe472Aq4z5wgSmODaAjQ3WSoHM/+JKgWQCW+HwfECY+i8VWH6THUOkR
Rn7SIxeFLt3jp6Fw+szt5/jrn3W1FS0CXyYVCWG+DGQPu+04k3SXn2SNRz5Hn5/v6uk37H7mtrqS
YR7yzISuCnXe0os+/qzz3Vd0QQjDIKKdTnycVsoH4Ix9XPlCADgce7Fv2UDLQE1l7/lOphrd9iI4
RdhwXCicLGlaW+gURKDQYFidWFXmJfmu7D7F5qr2IcFMz5/v6qkpgyO0OJr2m1tYTNcfPI+SndXH
aChOEpwDJe2QmoIj+v58J088j4BsxSImBZIUfuRhs5O44L2RoaI8SUNhA4Vm07JzGutTS04S/x9C
iM1Q5SqAgL6A9WMUg4nS6c1/8ECDpaWfTH0Zge9k5X6JgRyvLnH7D1a6mQQ9DlS2Ji7wJSxWsN6c
6Fm+bOZm4hXKhdWnJoe/PXkbEdHWG8fKWjRdBC91gHfl5+QgMWYxWshu/nw3aJOovH2gO+OZdjM/
nDih8YDjLlIn+Cg7HcZdKGfNyZHpLwdux//Q2RMgwTPd9UW2Xoh2JEnU9NCXLF3SuSo+ZM2cIe8f
HunpYPK+m63lgIdW2PsgozlpvHxJrHkN1MkSH6DdIHcKByKMwrkx3Rvl0vG1lV6rbh4KHB7qHd6n
cIICRr/OcrZ+6eleOjE1u81x4CRc2AoGJ4bB+QeSggd9kOOYO0TCggpnI2N6nf7cU/XwooAXhLQI
TgK0QAN1l+NMElrGJmpdgLpp2hL4G7QGbByFN/ze7V5JJxiG0cHZKrAnGJRSmxbAmlYVEW3K4yFj
6SxqmGbr3k+GyBuhQD8GwG2yNo7piuA+/9SyWpmHIrfkflhTtGDMT8xTZOkQL3SoPBPJn1DLPBuH
gHZ21gx8HpQDSmZ+pvLTgA1hd1k15VkWi7Sc51WYcmWzMDntQaKQg1SBTpqFKkiFV4OMIZ/0DEr5
Tln1g0dLC+Jk0DxAiRbUD7KdyTTJ7EiZRzEIJMJJKRFVzQEB6YRV5MSVIKYARuBHDOKKWBrIVSC3
QAWmNp0UGD1IMeo2W8aTNkNk/k8Jag05qTZAvTH4/s8M5BydYSlHTwoPa9J6iHbYoynXtmzJDAiY
HtRJoAwBGVni+PUw7uuyDe0eBCSQOe4KEJRAPXUdTgoTOWlN6KQ6CSwEOdukRCGTJqUHcUoKIhU2
qVXiSbcyTgqWeNKy4CIFwULYXqrWmnFfIRs0brvU1F97BdKS0vqhQsNLoHY9JP3MyJt1Ibp53Ggv
TPEeyftdIGMOQmoAaWqYrlBj6dEw2x+UwnaGQMbGu3aNgn5pJjIjC1rkSWo3+cRXSTFGFIqFXzRp
gh+G0YCYrU1KE+gqv8vj7xkkHK2dmhVhS0EjK752Zf91K1P4/Gu3cve7AU+QJ9Dw1rFYILyCLaZQ
t5t4zyvh1R15Anv84RQ0DmSCAGkmrNL3foVb06HcVLDpt+KmIOueOyHYAu0inwRUV61+y69M4dq9
X7nWXSIMP4EEu2/gLMXtjCGgQ03z0A9PeGnCC2XGF2DiUKeI2gsu/O99qYxFZIEWsE7C2aCBDzZt
PIDaB2oT0q93y6QfRg/EH6w57cAuAigkplwEx7GBkNMMBgZ11/CpNzBys6II7bow523rp4uWRMf5
kHzv6gqYhwQUSqUY0CLO+gMB0bIdcaHtPE2XoFzI3IbI1GngrXbNyLgIm+wcqXqPWJYbp2zlN+oY
j6x18yzcDVVC7IG2pgM/L7IcW5AAQHaeQa0pJuxoLMHXSauCKp9RXxLaR3NeQZkhLcJTVLNhXpVd
fxL0DXNyZbUe6zAoT9tAH4X1oBNwnUPsglS0PuMDpq0tgPE8ayDcqh2DWD0U/Ct2AYQlcCqoQea+
CMsUxFpd+DmyoEhUYcs6qOquP68yqCJWeR6ddWMc1gvZ1MnuwDXbp8CGxhCsyToED2iSQ0MY9bEV
D/Js6KLhstJj+DkfS3ogZaU/p1AU3c3LEgpvLcbNQVdU3Ry0rSBatSb9aq4qKOySTuwCfctdOulc
RxWnnpy0r0DJG67RGMNimJSxaNLIih5EdTQziS2baglq8vMcZbvAAEeOFYOONJnUtmMBsig5KXBz
opLWs4xc5HbB1AJEdOTyyrT+62MwxO7P+JjNo+PvQ5ep2a2HQWxHACM5neMPh+tB8HIfuoDKADZe
AZcE8k4Iah8qu+H0CfiDswy4IPBbLQ9Vnwh+xxK8zkTf3tzwd1zMtOHggYuB0AV2/sHWPjjLBBhk
0H5uRbpGHlpATdHhKPRplbikt5KhPuZink6K1U+891v/oqzlqDkUTilIp77LLkpm2hDVMi6jZLeK
hO+0IiM2htRq1gR5PqlrBq9r+8gZy3zcDXsouqOG4r2izSvXhOKNx1PWHXERghDP1N0SUT87KCuW
U9tQfr0MxmA456DZWhgDhtr82I/BeuxAww0eDpWJY1TE8sa4ZyAqa9WyzfOsBKfQZh5L+HDWNZbh
iLQaPN764ZGKJVbA60KVBdSvZF6DcsB3EjUW36LCh9ILqPsCW1uqP5Fj3zbu6Ne+ZxYZySDeMLho
PAWc214GonCvmQrlfWFyF9jv5KfIysoD3XW1hHQLHiwYc245YToObs+zbG1UQMgqk5PF/2PvzJor
tfEo/omYYge9Anf1dr0vL1RvBgECCYGE+PRzcNJp+8ZxV3deM1WTqZqOWwYt/JffOdIjV2fSGaPt
NI1yU7CQbEXBi5UbgSjS3COZpNYFGwqxqlg37jga6KvIjkr0WOdvxsz46wWrdhiyu6Q9Mc8TIYBQ
qYq+gKMLWBLWzVUbcE2u8EVpZvB1rTgrZ5AWt5iOCuXVooz3Eac07lIaS0+uNHVI2joUaPm28L1u
KziP0M0u1GTd/XdS/NHKQeXin0+K+09vrsb8cVIse/7VSYHqEHY8sV9aNd8DEXBKBCLNMMK6XHIc
7NDvkchL4xbBCOQhDv6VBWH6EYnYCBtg5ooGDu57gjbkV44JsmQwbyIRD/rgRUmCXAoX0bx0dl8V
R7oIfUWnMfEF9ftu1QRxtWO5bx/8UfhJy4ceFEaYJ26Vm50Zqq8G1RMAoMFhDIc+UzpmiKsD/7Jv
5VVt52gNSN6uVQz0IZ/xCSaCJCH2TVq0YsrAW8ukE3W0hQ2TnVZtFd6UuSoSGcxmSiok7m7i+uWc
+B2jiT1XqZnxj0I0Zxat+mvTBfNX9J6aTHMxbecy9NIgACJlx5wkNADgQwde7ePebID10QRHzh2R
gcnAmlJ0faOvukPFXpQzAJwZmI3FABIrwA61a060qtdcx3eyM7dj0LZp41jownZ1AMw7PKGKNHvm
N3bq2Gw7yPi8ohwNi9z5Kou63AVsPHOjiWa96bYoopdAQEYOrLo6eKjJJ3OJ9ggf4k9RSwHCos/R
8N4Gpc4B3pYNP9N+pdHODYezeUD0VMVetQIgTHe5mPwru3fDjEvbXTkBW4hOP76pWFmccwtQqafa
fW6LIfGaAn+540VJ6Eo3BZIIPgaY58Xssmfl6m0oBZhErssEoqXnCQxkMpH+YUKklXBbTqnXtdEq
HqLxUFHrm5MHKyobEDIypqnglpWBNg1Sry3xkhW7H6qWrVxg8lvexCgadmVtp0EZxClqlnw/68HO
rLnb12Xcr+2aj5mvbJ6YgT+prn0wOoLQhzZo3MjQByoQAKpx/MdBTOdmrB1z4eARLJEMnTAbUpH4
i+LKufa1VGU6aNvwfVh2YrhqK6uonsKXhjwWqn1wLGGP12h/o5z0QiKRFyhpwZPoC6nEFmgJDBCA
MnBMSkl+2XvOvKuhpwDuIsN6KxUI4g1hQtXJ9MJEDQse5S+gVLkgU+ECT5Fq9DMtjZXZC1olpEzm
BbZyX7ArXXtbe0Gx9AJloUzoH0w/B9v8hdnqX/itgMVuk7QvXBdKJUxeoBIL3itXQrKHuPTjekr+
O7VfTm0P5cV/PrX/vObj7xnk8mPfT22031FGwv1bvotLE2H2+CO+wy0iAEGRVLr+C4uD0Ov7wb30
2F80vq6DsvYb5Z4PST5c05eAbHHbAMLzCwf3Ukv+cWwHyy2d8GmHrscN/RBx3vLnr45tKYWSMogZ
9AR3c/VYAVrDkfDH8vjHvpazJMOvhonRaIiQZ0Q+YINFPBQeBZG1w3jA/LG69IYOWMmoyz2I+eui
JtF4aQf5kMliEtuet/aCrxXB5dz3BFKDGOGNBUp8FVduuWO2Gq7ieTztPFHViVJ+CwEB7lrac26l
pSTVSWj1obVDp+6ubuoaxCHl63ISN9QuCUmHahjZpqvrduOMgH3wxQr6FWd1O12PcwlAfQ6gvyjy
BQ+Y8FssvUrRA9M3dVKQ5q4FsxgU+RfftDvlSERd1sYNHoUxpwIoZszKi1aZsyAE7gKKxwZHw4iV
1LZ5CLy+38d1802x6tHrpHvqzMy+x4FwX1t5/STVNUXJCS0FN20h/6H2SJPcy7dGlauW5dlgNc9l
JcYUKr11DwxV9fw8mvR9N85PVfwczx4O7WE4jwYU7No8Pjhd9y3g9vnErB14nTtqOddW7Z3F07zI
Ai54a/aiCk4H3BI7N5DFcDFsejffq8Dbgan6Jmb3sgzkCjqb1A+iC4JyWK15BgAaOHvl+hlF2Qql
SYL2hAOAdgTS6rGeJDPUL6lrVeiT9/OU2nH8PDsdSZV0TNbozj3Ynfjqaw2acbDyHZX2GaLoKivR
H0fRge0tYTGx6iZnNyk3K3UjVtPgqnUrySWprKTgc4/63rzvS4OkAgvHyvNwndtc3Y12DrWN05+H
ajiLJBClsfIOVtl7K9ifO2MaVl2+k71TrpCI3ALmRmuqTkNMVRgMK6W7k3y4gbjuotfToSuigwj7
O2L3a6koqpL1HVYY4CuFjGBIfddCZWBe12W0R4PtQSsnqbXeNspbA8BOFKQKds+3YGD3LUHCHue/
3ALHDiMeDAlhSIktjd7e2408krnAwi/YZTlscvJAxNptn14dboc/ToXXKt93NvGbIZbWy6uzgree
oiy3mss6WDv2l9y592c//Y0xQMY7HryOI3c5SF+PAda4ESLk7JKY8wKF5QkSqjn4l4Mgxn49CFAV
WRRRyy5HaDVMtCL4IObeTxpR774tEJNI7uG1gXP+7SChP3mWCEN26ZcQyBQ7RfE/PPv117VwXR5E
3O4Cd70dxGeAnlDxZpeRSttCJwS9Qs1/cnwv7/zHN+Ll8EZZ4scgS7/y1bxHtFIRR6J6yeNtRG4G
fx0156O3e3mU/2pEy6R8GEP8dXPZj7Rv+Zm/Agi4K6HUCYclmAZD1YQo4Xvmt6B9kJPYqCLAIxqu
ED8CCHhLY+0tNvAoX4Pgw6R+z/wQdZClrYXPNH4y/rXeFqpBb5bH0ttyYCTj4hpKmAmAKzha6HU7
t6KUnBxy39F7KOpZl+Rjsw0JMinfUhCCVUaMnxS1opOBxs7n0a3tyy4n6qrufTeNlbhzabmDQAwF
EiRFhVe1ie86z/082lkUtfVWybDfDI11MQZTuQqshqJz4z8oM7lJw7yvtaxPp1YjR3QDFHC8w6gV
zURurqrE8fFRK4Cyt0GVvmhlSNCSDZv8Nm1DSVZERW4CIc2dq/B5J/b4rKFsXTtDZ53qhltLWau8
cInaIaO9lZ3zPLLuEd4KDZSeFTTKfdtlrmFXTAe73IGngJS9zHrt32pbmsz1+zCNW2jgSmldCKtr
M6v0vkkIwBKoU/HZ9eRnJ0QGOAkNVQ5O4SxndA0JDt86odgytOK2JpcPeYFky2qCm0jbE2rg/tnU
otNM53VTxGQ7cgnlm8Xu495ZI13ayVnt+ZDb+D/9rZiHR+GWX0s1nVtRGUBPI/iQFuGjVm0FyWDe
6dSCJPjT6De9uu8EvoagNjOAil+1rdcUStQMKmkrySuvy8LeeypUP2Y1dKLJqAI7AeNxYkHClrpS
ntUCD4pkxc7yGd/T2IGPAbKflDFIGKgrz8JAXXeq5Ink3aawuw0j7Z228HqneJ2jKA39SJ1I44aJ
ZB3EzBhKupldRJApTpexKSaIlYerELld5rfBXur8TBqDTLjtKbqII8RGL3+DmhLZ1G2S5+P1IhLN
I3yWIU9otqLWD1HrX8UKqsV5br72pdobLs9mVaL0hiSXdiqzZ30ZxtSDHkiqVLfQ4nUy3FHd1knX
o3YfhQrzrMbVWLkXuqpXIhQKHGZxL8n4gLLljbT9vWbB3hV+kRpvajLThlBaBSes1Vu81UwUEC3X
npeNoD0TGoY3QEm/uuHwyYktxFJsTnLK3JUMG8Q6Dfvi0aHqL4NYNhmW8Znl2jvhN4iLW9fLFLoX
VqTapHWrC9pWN8ACq3QQLkoQg6BpgzSftW6LNgt5tCX6K8pCzl3M/bcyiAqUJ6citaf6yp8gB7Ec
yBF7aCi7uoewq42gH41MMlgsSozbyTRqJwvynjFPxgYirHrIqyRv9VdS9e3pUIYa2xBBYuPzPlUt
pNMDAvqkcnuWEFo1WeS2zcUYIhGPtQGd2jqZsPFVIyXaGtbQdJuwbc2FKXSXjkR/iqkJUlH7NLVc
/rmUc4mjpxOZnrChsR54Eo4RQ6XExbedqrSsBi/JY+vMwWZfg/83iTPnYETddsPoaG14nie0Bovv
GDeAPm2RqzAagz1tKAQ38y4ggDmnobcSu7RVMnX0qSC+2dmy+9Rbaocr1NiXXvo3dsPyVe+Dxred
udnDDGQdRlbw0GCznJI6v6zn3NoaEh16FzUYJn0ojONHVJmHk7qVztrRpj/HsgMAXHbNupDaRm3I
P4HimWQ2JP8r1H/GZAqcPWVRAUEAitq2gt2C01jfUMra6rr/qgSZweCjfgu5xNloWYjY6xEC/UHu
4iXtaZ0q7XrvIWDz2Sxq5CYGIUoUDmk3uWQToCWXGtv5HAAc1XE5rZpKKPAB0ZAYL/riM/d6iIND
0EOP38aIwQ2YRV00JXwIpJ/MUY+3ZIZtvGj3ggJlHCrFJ79kGzJ5KYpOd4UpzqtotpetcCoqjyZj
NO/oqK3MiPamnVqz7jqVem6P6ko3NZtOqkessu0YRWdSluuqoWE6tG6c+qPlpJ70PpPCAZ/Khr0f
dU0SxWzEPDRe6po530EBr7ICGQFUgX6/sfKoSJpWFLteOLctWmFZiRZBIvUUJMNEv0LOt/dFBY8F
l+0jo8RK1JSuaqljHJ9+eYW/IMK/Tj9VBf0iPSz9ue0+D3N0A0W4hgiD9xBA9vuZOEk+xMiktJ3G
JnrSZtyMXn/aeC7EYJVLzqVkmoIKVu0ZzA/SKQjJWcPJrreb4DyY+xMaVV9cZ2qSrvZUJhSB+BCa
bIjLBkjn4hKab+w/S7k3cO6dUt6ZdQkbG8xE8dDQ5l5Uoj7hVblXUyFT1U8o0zHrvJqiadPji5GX
RiSQWYPVzd2Nys8bo3FeBWc4Sc9ZAAMKr+KQduX5Plq6m7HVzPuaDg+UW5jz+DC60kOvkgSpS70q
QU3zM0ipOXEjZQONLlYFvsgbGgUiGa3ayvqQXOQdey617LZAoXVKfCrBbQ3n3WS5Gz02d1KU2wYS
Orw0yZOmt59Y3Mwr06I9o/piTqIepzEcDmHc4KPKbBXXtjDfanjYALM/c7ErU9jd4IgWRCa9g384
rDyreF3sSKNPB7gkrPPOy1Binj/9F9O+1MVcIHz/HNP+uJXr76Wx5SdfRbbwewaa5bgvXUwEvX9F
tuhiuqBGYXmD+z/d5RqjH6UxFKvgkoP6F0RpUfgqsoUHbYCL5xCJouD2yz2NhRp7lfiAroDYDVdQ
QiqylOfQCH2b+DhtqcraMuEB/+XmTPpdfGO/eDI0L/4MDE4NSLfg2VC/+DfkL14OHAqPjDMqyKoz
Ir9Gs7DU0ENi35shRARbCebsoqiB0wpEpgfApk5CPSm+VSxSBx5oJlNoq+YzZWu9yTvUr5NIU50j
YjGoyPczByBcwI9kYSCsGDSEARbByHg3OWOSFyzxYnoSA58wrEc4vRAVDGjFLByVEcAWFNBF4TsZ
bFROCsAYM6CM3KttBLFBk5qF2Ji9alcuDEf0QnMA6+AL39EtpIffgoRigD9GQCDjQoPwYt7kkpWJ
XkiREMjIsLAjqDc5ab3wJPkY9BnCKxiutGIVQz5gWmIjnJrWZhygVGVNs3Yb/zQM7M+BcA7WwK6R
UEDbHslTX85zFsPGBKGNf9J5XZS2vrmcy5ZupMTTKTp12xyIXRLZ8ks/FJt4Cq+NmE4sq3eyiNKz
rsa02K4V4u9Q+ABac6rCkmfasG7j9gA4JZMjMnXnpnfmzw5S3myCTmPLHZ3FL3YbXl6QjC8eHP8d
E38cE4AZ/vmYSCFRNO+cEPihv04I739oXLqoUiOP/aN/+dcJgStkUe6CIRZEq6iDIy39fkIAzIKG
1UPPEw6of/RKv+e+Cxyx2OQtxaWlrP7nHbE/9Bkf2d69LfEsxXMP8Cj+4zk4H3AWvT0fVEFt5L4R
OfTRriZZTJ/y8GeigMW289UhtFRf8CS4IgrFMFjrIXV9O0jjcdgkjLV9yGfx3Ef5WTzeFLWWiZzt
dVxV1yIaH8BoOIjtpwxWERszqpPamWFjAolm4hUo26gSgUGhyJzGs39pj9xPLC3XQVx8lsqKVoMq
0Z5cJDsEGVM6WVOXKBv7bSLNVl+NlkzJNK9YDNw9EmdNP2/NIK9EOKnMJROEui3y/1yO69owg9+E
DdumC3GWmEFkYWPuTTPG6eDzLz1q3lYZ8lTo4MRE+lBUY7Oae3mhBTKK2lXd4tjAEl5jVD13QdJV
0W5g1h6V4VvGwylV1XhoZ/Mw+qO7Kiagl+0A7Mw/VZbo0xrAW0pnyVJ3cHBeiuCk7gy0SpPLU8Po
CZNCrHHph4HcPcLv6LAqhdcCgldfXcZudatL2sNwDNiZrq8kzxEHFwI94DbcmRYvye9g+cJ8WJMR
B69raWBm0gR7e/JPqOhphmbqVwGSVzTOfSh7a2eP3onbKsR4FHYXJDgNOxjvQQ+pMyThYL9EEO7b
3rqGYA1RStm0aChLugrd/LwqxcYW1j7KHZCqc5vMrricm6mGo0VCePwwWurarmk2jPwxqkPMZAwC
r2m8/ejBugocsZvWEo+kp/DKbixIsYKnzgLZ60OGVo/+1itBhvhw0kkAwFAIhdEHmhrwuT4Lk7pp
GmR6zuccTQ1SW5uqcWRC6XTW+KReS9LO981gFfAFgRNX6OwbWm2YKhHwjiPcM7izQw30pPLmAxqo
PPPnaheU7Tnx8o3t9SYp0EwonGJnGb5RvA1SvxR7IeI93IKuTc7jNTwGMtfp9bZHUWZVxuVpZZtx
R4qCJHXXTVd20dwC+0ksyR5DzVDOaVFOQaP3a90I+H+1tkzsohencWUeaQm/hq7kwxpkS1q3VYnE
SWQybvvdbNwR6HCNejkL17DVFKeTrS6klz/0Vb0loa5XfRXcTJ7zpQnGPcKU60KNaBtos51HfB1b
BoI5kAz5YwjnMq/X+1rm3QpNOC8VQT8lw+j6J15c8cSvnueAdZ/dBl9Gg3LBltXjc6xDFSfhUNdP
PrxE0qiLUW9gxt7qCnSwb0/tNvZh88bR3MsM+uCsITtS5Z9eWCGkaqZZd+gGwJWiBWNQS2sdG0oT
CR+MRLnzae5NSDC9c1QpbsOJl8ihqNA7FvZGJXpwTgvH6Q9WRG8GNqFgQODaAQCSneDAPakCblIV
DBet6+6moryCpGkPtvS6NFax6juU8jTAw0bo0yqKz/3BzZCmXuhp2gFcW7DweicjdJ+8eVPQwUqC
sKngJiUPyiNVYneuh/mgHmL8Sm0NLQFwuOPB78wOPToNSTwqB85Q31Pf2XcM2NoFWk5JWfTuZ6sK
q4uoinmR9iiYtInoXXcDs7KziLRbKvlDQNRpwe1Vq+PLqnWDzeSQzwLuTn3O1KYZ4HTns+6pqcvb
pvfvh8aAMIW5C59974qVPqxRpnxez9DZbgqHqm1Hu/6RW/lDWYs0qM3nwg3wy0ApiBydG7EhGqrO
Cgt1jipsQb2Fyc22wOckEVG+9/D0qFqWIZxCGrWGo8muidvLaIDl4IBKCcB9x6CbJ1ZtiRQ0Jt8A
TXzWqNog0xtXodTkrFURMuygQCUtpsNmaPUzr5sHOoDwKCqTQLeJ5D8CJMrpldXEz4xWWxkNdKd9
+txY0e0SUnEyrTv4/1FerCcyXzoeds44ld/GPs5QHLgshjHchhatz2iBdoAinnlSrpN0c36iYPdX
ispfmVknlRi2fRzcFsK3AQHzb6Fubn09nYxl41xadDqtBwcIhwOPBpQ+dvlkdoWkm4YWl6CMio1T
F80KNgYTrBi8SiVljEIo6H1kuPBaadoQVafW3Xe1DVO3MF+xwr/rYLRAJrNWKKlF0bc4J5CqygdG
ulUgOdiWeQTTy2AcFPopcsmNH+KALYW34Zw91fawt/CFnblBQZVNaESih2Y6V6bcK5Aew1tnkmvb
iKt5Gu5nr+0Saw6fRddf9pytUXk9OBRChcI/GYW9sct47RpgeaU+aBHuu3JeYRvt595Dpybc+AXW
fO/PcJOrHwx00Ckakyg0edMX3anb0kwoBdDh69ABZ5qgaeA5fAc9dzdItfWt8KCrAP3iah3bSwF5
hFeRTxFIN259XsbOSa3by0C59wCY8ZWd124eoxZrXVLHSnMR4GNmuS6Mdd2tjVpA3hsXn0a1gvlm
5gXdcxsBBPSDvlqNEnm/6lBLI0U8Aags9y4+/6rv4BEkUejqghXY4i2qc5uWYrlyNcMQwsbulWkt
DOx4niPGr3lQUdDe1Eq5n/fZhAZtSFAjQ06yDRdvoNyPZzh5tDhfUf3DKdQVsLOxd5PbF3JroxRJ
1S93tlwPl1bgP7jqDYanR60LgbqSY1fCO7T6PhQoXRKAVN8GWvxknAVveNtBezvOUVezjbU9dSP3
Dk1xFbm3Mb94FTfjS7P4Mb/uzL779weQG3gOfF3c4xjRNZDHRJ72kGb5sDP6Qn+md3sb6f4RhMJB
4q8Bll/gVQsQdaAuaM3oHZzoKgJQJ4cTzTcfP8TPxjiaDMcvJDI84x3gNwggcNzUrAOZ0K//3TBH
cxFrMjaCKO8wEHBY9i23U9vf/s4YmAiyiDPC8Chmn0SP7S7RhVKFD5x2546XEX/+eIz35/zHGEdT
gtwEDl8GY5RQG7D4tO3oT1bt+xPyY4SjCYml4TVKEhjBuefxjSyfuun03z3E0WTQubThuIAhxHyj
w6+D9Vtr6scjHGVoPe8tEskAj4CjMXDO3fjZxF8/fobldzze3LjAF3B87PqxHR21x/E5nPDR7fwD
MfezH2FN7fjw81f13my8HuaoGDXmRWcLF8OExQOJ1lX8AK/Mj59keRsfPMmxQ4pfKRinKgxB5YHS
IQnpbdg9tHov5eHjkd59GMdGcBwtgve/+cV3Uw0Dtt4/qO7RgVUhySzxk/3xsyGOpp7OrIgVFf4h
Vp+6GDZyfAdPhfTj5/j7JlwuY4BFDgyGIZI4/oA0InKqjjj+wSmaTMBcF1nixyP8/TGWEeDyCNMu
VENfyLpXJ29tof8cRzSAqdNTCx5XRpt+jP/lIEfbkGk1Dz3uKz6oGLBvuEMkmtr26jeeJFhgc4Rw
4ACPDsU674ERT21w8MqTeNzSYRc6t/9uiKMzcQxGzmXUBAe7v4pBBoafS7H+d0Ms8/VqPoQ/tLQI
u+DQy5tQ77v8dhTXHw/x9wMFr+jVizqaDd/i0L+OGMIW66HW2STPYy1gPHPz8TjvLq1X4xztkJAi
ysXFAsFhtr9U+b3NtzR6/HiIdx8FyAW844B/wkzq7duaGqkqV3LMeXQrzaMX3njRyah/Fl+99ySL
Lz3aCATLNDx6EuZ3wo2ZHRyglCm9z+GIVuXvbMTXYxwd827tC6cFBnPopykpmNnCfxw54+/sktfD
HB3zhsLeEpWS4ND1qF+Qm749D8jq41k5amz8Gc69inuP9onSfaG4zbxDXW/ZHYr89YrdwojRPOpg
BXekOUX14uMx3zkpcd678DWBHwigpaOVUDvwn1ow0UMco6rXFqniv74z34xwtG2CISpjt43DA0yS
U4esY+i7KP/lyA5NoVePcbTSSNPD3nvyw0OLhJM/zeLU/fU4OHQcNP6XOx0AZftHCy1saCTCjkYH
oPopMvg5Rxs5/o3neD3I0TKrBmjlVTiHB1h98/CyiDayuvx4xt/ZlHgO3FmD92Uvxmtv9z7kdZD2
tWF4YPS6JNdOff6br+rHEEfrmOilnIabGLCOr0FjpR3Z/Nbhggq/j+Nl4dfxEX77HGVe+U2jgQCr
cNuGFy0519FPqvzLqnkbeC3FP5ho2lDTAIU+mo05nk2ZCw4gpEJVoYcpMy6giD7nZKfF5uNZeedE
fj3Ui47r1ffLLwarg5V4dGikA+xgT6zzOjgb6s8fD/Pe5L96ohdo8NUwlkMmFcxddOCQRrmUZ1Zw
Ezi/seNfD+K+nRkEZBDQeHiWXNzK8hNhsG1LP36O944tKGnRfllEtqCr3w5Rt7QVDqnjg1Rk43nV
fhTzb2zFiOBWFwSRrucca/iDGX7UXSzig9Wdhc25UDdx8AeH8I8CjHdn49UQRy9qhjQhDzmGsMs+
AY+UOHrV6J+4l/1skKN9giQIqKfdxweXbpna2eKi0T/ZJ+8NAZEjQYcfHCyJjva7rx3Wd/CwOgSQ
jfVVCIkaLKTbn8z5z0ZZ/vz12g3nxokDjOKGD8F4AsdVPn759WWF8x3YNnIHHClHnxE7KIa+LEh8
qJZuy2DDuiH7eIT39jkk5XhNPiznsX6PHsKXdVhpQ4AXrKrh0sGFJDS8bfxfTuQW1dCPYY4+Vvhr
y4lCA3kIyk2df7OaE3u6+vhJ3jsccY07Prs+3hcS7LdPIueCTTbg9wMa/ajoBmmh79vywRgIMf40
Q/mljfJ6rKPHodSpwEa55BBbp31xOlmn1viTWt27E/PqcY7OejVXRWzhpR4sMBfxHevPFARXrPud
+f8xzIsn16tFzHzwUxHAmoOo9pW88emdsZ5g9Zl8PDnv7hVcIroQMsjpjmUnRSUbrkB8HQTdG71Z
ZIv+T86Vv9mH2W4IY7fFjBbX4AVoh79dAE5oRqZLtNnjKI0/5WqHi1ISOPqIC+j05U9O43emx8VX
eFloYJMw6NvBcE8Tw2VBeKCRfynmJsnLA4OMmNSbj1/cMs1Hn/w34xwdMsAbcYHQjHGipkrFtK9K
3JTEvLQOnwzQ2Xk8E8Mf3n//KSyWSfpnzOT0U/3t75TJ8jPfKRO4h0E2D0dE6CWgYl+M/f6iTBz8
EdQTsACz4VG8FPe+Uybe/3CZTohLD3GEw+THwU+9pkzgaQxy7DcuV3yxx/uxVBYHDgj3F4shHOUE
v83RUmlsMZhW1+Uh8qZhYA/zZJR7FVtcdWcOsOCBdcCrR+6YiKeNJSsg4vU45Luyx/1dl55dwVkU
mjs6qKue484Nmg+QNSQBmfijR5tOXtOctjhPTew9BqDV0miGUSXEd0OEAxCGNeFa8BCBEMDaoDoh
E3LhMskbQtccNNt8Edq1rh+k0dBnDJBvoTvnqCpKJQmH02JU1E/GLpTdE1rErrzsfZJbJ2YaRuys
bibufS1JTss/Dqf/FryPI/CfF/x1+a1nn95RFS0/9n3Nu7hs8E+28sjWyvmfDZ4J8jviw6wO6qC/
Vjw8wZdFuBRYcN6/0RRBrxzjVgwbXt5//tEviJJRiXhzOi7kpY8Ib9lwC/5E7KPvcM6sbrAizxzM
1O9wa80l8JUog/O0Dexp+GIPstnwyH+SM72wuVVkBM3sLIj6s9Yxn+xOr3Pd7/wYZDAdELwb6Cj8
voFMlPKVKXBfDAG/UQ0jrrdTrM5GPu3GljgZrCfOuqZts9gqt3qw6I6BS0tEiFvHioXu8Xic1r4P
DwIGswjpPo8S5ZJcjNfEKp4gZRrQ5wch3jmQj7Rq6+KaHdxpA8Ix7/Zho65FUXgJfNdP6in/SsD1
4P646ZOq9covuzPtWAcfLNLKVwCsCx+PZoj8bDyxMARTNmo4U4Ta2Whw1yt7Alxt03wblvDU5Fyl
nZkuR4Yq7ljGN3ETnvozQn5tkzswDFsbKBSNxwC/DD/NS6hlISrSiTHORY8/hsvCzVTgOrkWV52x
CSLikUGhs9gDugXEL53r7+2cXqCipzI8zyNe/Z3oB1ymWIX4P6C4wi1ELW5JK57cEk1eBjdMz4FC
SfF5B2zlkuI6VahEalxFBBGugeA3cwXfF4BqHBS/E9sOryDkWTEPd5mwCVxWjusXhOkeRdHDNtum
FLfxwMZrwu9EqQspCCZGFWGYdsp5rvWgtg4fr6sGbw+Xk8gQcW8scC6qIJ/SyatYYuNmOmJIkTqx
fzpbQ1rT5oYF/BRX7OzqHEyVKGFVGxqsvM7+ZGwlNzGjF6CHRJZb0cHFZULJaGx4ttfVV13nXlpE
oV6VDnssXfT2g8bJT3FPhMqqrv1E/8/emSzXbaRb913+ORxAop8COB17UqQocoKgKBF9j0T39P/K
o2tburZvhOceVEVF2RSpQyTya/ZeW6MrnfPNjFR+HS6cl0xBxrvs1iqTZy3z5lt74THoZy2PZhz0
IUlqt1wtMU4n44jG0VRKe3OHPvWlmuY5XBdgKG7ORxAb842oXSJqDeTFOnrgoHasE2wyJ8Q9nR+M
zLiqE35tpWgD2cdQg+L1mPEQRt266NHkll+QMbYB3MnbvMKjMRfuEBqI/Px4HiJzqy+mLHuEuKGD
VWEmac1ttTMN82PMMamvPUFwPK99MOrfNCcZQz3Rnmq8GrA54veuqU7ECl6UpPGFBb6Yw5JaQ+S3
JsRxe3ufTWeIOpuBsOMNnzHYy8scjnngTPjLirqIQ21ah0M+j06oGxoOt2WEUuf1cicGsw9nHGvF
gh3KziVAtGoIxER8XJeI+NklIgCApc6RCm1QMFUwS3N8dZKJHqLciubkNP0pyYyvugoITFRUoOUg
gu48An0d8Wwj/kvAPBcgX4CpICpMQApcdevA0wEsICj5feJw51WkIgpHFVbYSxVbqAIMM5IMZxIN
52zTCWsyy4OGkumiVcGHzaZ8goDz+rX9DphAhgYpidTsMLF0++SrAMWGJ0ZprvB29eb3SpIpUGnl
S03uIlY1jfAB5GQumYxFubytKT+AY+T7idTGbiXzqyXHUVjtHMxbfSDQk4hHWR/WyXzteE5DSHOn
VCueHDlOt14xw37izA7NRWVut7oKkBSliWfDZFjAzGjfMVfdxtQmwBiy5oxMkhzKTAVS6hmvsiF/
TWbiKpH2EeBqdqit+OmMbvxaxCnhlok6zpb+0mT2Y0ZrjfJp+7LqPJOrCsccjfz7uJJhbJmxF/Tn
CE2a8IDEmcd8ER+dr89hZkoUPSRvGn2ZhJiFTiOZnAT65QjO2+vUNR4nUjsBx3jBuvmXiCLqMCXZ
c+qnKlxV2Oc0u597Ff+pVfG3jjzQ0dZgeSvRWv5RxOMns/cfM/JDrTJ+88kTpWr83nfrt4Wc0W3m
oZNLtJE9OlO+JAa6+Tt3HI5Aii65IXZsgiAscj5JLQWaSj3Fk6kjKNENzHXZcTX3YtG/DCSdou9/
WPWrlgBUTwNgVIWdRn7a2j/Mct633hJ4yOrHctiVfH/gRRbinzoajPrSbFcCBeRwmcV6GQ5ksZZL
/ZiTzRo3KbYqbd9StJKD0z5uPXIub1ueZEpcwFJ4R18lv1oOAagqCxZq21GodFj8OV0wEBiri/lu
RFnoqCRZW2XKmjw3FJf9HcsctPMEzyIzva9UEq1QmbSO0jwai/PeEVcrcKEGve4+dQTZgre9WVWy
LQ/nA8kKJMgtDo5N4m9nYnBXae0gGr0bpt6P15o/dv+hTf+fcdbVK37wP9d/F2/vBBn/Tf2nvuyP
+k/8BvDYMynmzkgx5PN/9Dy4yhESoWpnOfiDLfh7z4OyXnEZVKw0mqlfeGKCjCj2Oj4dOnoL/Dn/
Bkvj/9qGq56HOtLn+5hCGDgA/lcBCJ2yndZyk3d952Xxl2ExzfFL6+YQOVxfIxx001IikhiuHRz8
i2U4l0M+feoN9gHHZdJ2szCI5jWaYrCIbU1qY9vpMFmPMe5s5OtoBe3RXBH/JoTellm3gCzxE27s
dh2OYDSTXYbk7Li4cD6Whv9vGoE96XNcZIepSdrdMjWwmKBNRXYu4qOtIfDziV/6plfra+FrgtPv
a98cTHA7APbFQdDhdy5nC4Zad8xSO46M2ZXHeWvtSCs1eE71+riNcjjOybRhcWzdAGxYvttkDjmt
nIpdWU28KuLOey3ge+5H9JxuBFSZFPs2WY8eyX3Udnp5XHjHDymmXahsaBSH5GsyWWJhITYftVgx
B2WZgqSKjTtbX782duNh/za+MlAtw37A6Spx2RHBWn+4egmZx6A9bHLk4t6Ci9KQ/AYWiNSh3ixt
iBHSkYS/qRh6rbFspIF1tQ4vbiW5NWurjHpdo6j1HKG9aO6A73AkpTCqycxaDxr+1PTHlO2/1k/B
hP/56Id90xR/HXaoL/r94J9R6QhKQAVy+j21mfnj4Bu/MWXF0s9o+i+8UZxwYEqFQUaczRziz2EH
cxAm8SAq1Mjs3Ev+i9bv70JNdUftQlzlvmPI/+v8jdRignVtp7nrMZAy9xMiD7HBzbuK1F/9MCZm
Wh+0Df8dcW5GaeyaMqVt2wqtPWWLrKy7zurNbUeaMyVD1YSJ3/v4Yro+DnLpwF1fra0kKUSRtCtd
UbVrUxG2Xd0v8q9bT95cmLAeR3+sgNzO/AVwa27v3MWwcmKZavzo4AJHApdLf+hw/NuyjKN49vr7
Mq+LNZCmjOXONpc0ylajtQ85UTvdvs9b4OhxUn5O3UZzqSMU1rRbJvzfZWrO3yTIZoBCftF1RxfX
iRtNreeHhrPobVSDrnNpLdssPiRzu62vcVZMy44AzlWcAD5jJ9ymZEey1Euq4e8px9m54yu3/6aI
Py5VwWLhn0/WoX+rx785WXzRHycLXC/EIrWioClTYLY/TpY6dBjOEMKQUsAsj+Hj71cqocA+cBdO
EPpa6kluut/HiCY+Nmb01MqerSLY7H9zpZrno/PLHNHkwnct1BeC0aTp81L4ea/V09GTs6WVd0Of
owCBfe2R6Vel+koMqNkvjXbYAF2E9jYBuAcDiRFpzMz1Q7rmd0lz2Rzl6nX+hWV93aANWKfmzJEV
efEggM2wsy4+7GW2fDgpPX5v/Gc4PqryJHuSzzwr383knGKVsCM7ye+q0elDYgVp98EXhlkzXM6b
7dB/rdipZjr3dZBYyev8G04OSR8CayWzSRYsUieif1IQDv+b32Ties3p/UBmuKjU6+5osDTYFVPz
jgOhDSU0zhgQ5Upsy7rCOZnXJpxX52ke4SFUGNc9/EHhKkr4trjRQkNONSxtmYWtmMvQ8/oplIl/
Z7S0WR7T4NAqxnY3r94crSlzkrXNv2FkpyGdnasZaO5Vxs9TyOVpTUqseukCk9x+IALhizW2DQwz
7WPbvGt3rr7Hbc3SBPh2ls4fTuJExFved0Ox1/OcUQvjWpXUHIPX6Ee6hbi5a4sWcoPHyKHT8Vd1
2dFz0qPUS2YnihfMjMUheT0RfF4DUZmbBYPSn+o3K8YXRgDUjxFMMhJuPuBtVpr9o7XIcK5SP0j4
tnPuf1NAFb1LXvWZuYcsjVtrXT/W0aXfEZQZnXJRqVZvyJu7AcZM2Fn5nlLug5s929VJ7ocx3UZQ
TeIZ5JZOqm0y7pxpzg9Nhx8lbphbELZ3K0RHxw9Mphiz29hYVuQuGYkTsvdCYbPh7Yi0K6p6Rd+R
XRSCusn3aNwnLghpvRtb8zHWPflqWvVulBV02HkkC3qFAe+npCjb5Sme6k9pzYIdmBBs9mr4OtCJ
mJi0Irk0l83cHKQkNwp8jQ3hZNcwy6sb63JemCAO+hzN9vY26xmfEh8wH3oc29/ngt+AixHoNLa0
rZuD/yYzvTuyNO9XG+5MrMmTVXpbCNf+WM3VhWdvIPe7j7R37w0WgYBvtptubT/rBtCJuElEZJF2
rdKpHz0afWvzsIxp5vMwXa8xoKFRfDCYPyF2kzDyKyAQuISkjtGw2Bp+AYzQkoRG3qrJn0/9u2JA
z2VV+VE2g43HEY9DuYB6yYwsPdqFI3YF3Gejm9wj580Pm5ld5JCvT2vKh9+0uhPo2CubtMFBbjuv
s6l/rLoKo8u0iSeJvyQVwX4wcAgKG+KNU/Forrr5Kswi22eu8zo0WjD34x298H0sgZBIFfnr6OJZ
jDpUQRUHPJALbGl6IMgJtlNBYDBIfwhxjESJEnZUqHClkYZV15ceVkDGje7dBgBxIYc4OfvZ+5Mk
n9gip1h0BBaThtAzXuT3RJaxyJNvhVSY4D5D92BPJ8fkjYev/VZLSaojEXlW0cgUD6S8rvanuGns
MFYBylYxf+lUpHKnc6gsFbNskbeshpIWL8aEq9txIVF6Mx5cEpoHBmCdimx2W5XerP2Irx3rJp3x
htFwDR/kNWBhtCeCx1UJXYi9PQ/Age1zyEui8l6GafCvcmut9Bsah/qzfY6GwSRCD0OfXsPGLPaa
p+qaTNah7ucz79FWECKTTIV1R6ZkulyQCyO/nK+8/6pq1V/+891/fOvr7+vfXP581U+XP0IIViqQ
ToG0qW3g72U1lz/+bbUNxI6J65y64M/LHxM54G5A3Ejl+N9/Xv7KqU737WEs9yjT/x3m1VJ3+y93
v8USxYZC6yhYG/TrX+9+w4flnPBD3Bp9Wlnf0J9o6cSN42xM8P3eM3apArs3PyDviwK+O6O0CPj1
ugoQvCWdi/kHHt4oyoQXhNZj/40bAPIpDgus2pXufB9+1AtNmuL/agpQNKdaPYZETEBKCyiCYhaP
Vp/hHIV7kXDC1boxG40Xxy0YGKkatho+GcTEv6Q/1pSDWlkum9ZND+QZeWqVWQ3GeN+fd5yYxNl3
jj+Wn1DC2IS2m3PpxQyKWaELTW9O/x2C81RJpVb98yGIvg/vqRy/D39zDn7dpUOcNAmgQK+hhJ9/
ngPxY0SEks5wVa/Iw/7nOYAcqAvk0z8wD/yBfxbBNIICNSwrdpW/8y+aS3FWb/xyDNCK0t4qoaXj
CLrZX49BW7jdPHdGdVcsRdqFjMZ4BOVCC5WHYHmDVfVLLX6Vu9IcrWCkmTKh72p5Xq1BCqRNnPD7
0Hal5xZskEQBHppzaybObdqsOjbwcL4bDedGbjo3dZXq7/pzq6ef277s3AJqNIOTU3Pt11SA3X6u
09I7jc0cJQ0u6VDaA2uXzR41aQQGfCP5Ijp3P5fbRwkqLxnqQw86r1YMvcwYPzk+bAZF15vOnD1f
5gcf9F5twuDT67yOpN5dx4rP1xC1MU4Q+4qUfNmkJgE28+1XX3H9iPnSgrSC9ceqBNCw981GnxDV
4AB7LW1Og2fiXl/fpNadjLFzdnlGmtXIqhC4Fu2vkEcmCI9d01wsc3+dsgAoevtkF9NRXbGr1Z3q
zDnFthGiaBhICIMcNdZyrzXa575fi9CMh5smGYCzYj0z0+lLU5MbKwDv+8aUkMe7vplDc9cMFHxS
7Uqy6t1PyDZyZokzvmBFMYxfHKvoQ8+ShB2vQ3KyBuuhYqMQNBPFqqgbXmjpMam9DEyOvGHM+Nkt
/WujMm6XtH4Z5/ZqjOvPudt3Ef/l7TIYifvZi9+9elrCzs3CRtg32tB2bAznF1lsD0vHx+K4PUZX
Wvm1W7Aekb+7JtaT0Xh7rB2X67jdWxjy/Xy8y0sEWdXYf/XadtfhuQ1qC0rQYjYBvYUdujiywnh1
e2ze5mHcCmquuHlEXft13rJu723zt3quLj29+p5LAnqTAjOwa62fEX+JN/BcN7WAmlDU7a3RLKSr
zf1Trw8vMBIvl6l+wfNJIYnIJfDZY6Rdf1GYFb+mupyJ7OxhXVuEtWXepZiX7yDOT3HuwtPTihew
CluAY/i+zUs9mKFRsBOzqNxGOi2z354rwM3wFz4I5ox6DdezGddtoOfTrWXXO6uvbjyzkLArCzOy
0vhx86nyGBJ+ne16n+sUo5sQD0ID0St5+R/imTyIwZ8e09wlo8hKTxohjDe+KvlWgrphFlLMW6zJ
7B5ijz+kVej0Tc0xj/nXp08YOOx1F1MikbSwrQT4ZoB/B5fRaRU2maVFbEGsi8UUMXg/LUanF/Zu
u1iv5uJc+ehivH2r18Z9U3nGvocfsozBf1fL+WpRMZz/fLVcN33fzH+9V9RX/VFf+b+hCUEdj2r2
f1C3v9dXSFnQBbhUXaAeXBD7f94rNhQxm65HR0mC01vNQX+/V9TcxTLp1Q2QYWom829uFrhB/6u+
Yu7DnMZBUoNJEyjVrxfLymKA6LN4uCM+vRT7UheU99a51PeHyRs+zLR0dnFvXhM7joABpHm/7123
G0/lVHrGzTrFDDbASy7yxMZ4evZp9mi5M9jltpFMw64lZNF7Ym4JHwFxFqObMnGNoFkblyW4LKKc
AaLJLTVlYJqdFPSPPxffrG1cwFzOrR1sWVJ+WavRfk26NBv3BEF09rFqp+JxaJtkiRj3W3s+4/h+
dMaxhfmzggTN04T0ZhOu4r6zNr86+lk5TpFhbJ+aodHlSdgZWMAk5V2z90x4aBfZYC1wBzFoBLSf
7T0EA/x4iRULYzdsXvMAXUWHktO7BwYy9hyYxFkWbF0YlZBveU66tM5t0X8H7MdGEAXVPx+wq7f6
7ySQfM3vx4ucQ/oQSiNACDAEfp5dqpQKHmsd/JTwfj1eRFH46B+JMkRLgW7yl7INwSJuFkcHRn+m
9P2Lwg3e1y/nSznWHGoGVhY2fYz3l9klWX61aPJO3FlMxpvASJKuibKsDjdgteaxmd5Ly2na+6yq
bZtUhsaRl7gqpmhN3DKYVhvJRzymISTKPSu2iyLpIey46d6J9S+sui6E3zxbtfvhuegsZb7LSo4j
48dLFwBRUNrVveb5T3PlXJUZ6YmZO3yVeEFOkwM9d7Y+tZ7xXJTOaxOjwXG2+cbNNckERST7Ultk
kHv50Z7ka7NqT1BRilO3tXFgeMs1R/XDaljC6zGRCY0+PPl6uhvwGlKcWVPQljZg105m+zzDDDpb
pBok+TvbilfCkmrOoTNHo7r4LHUFVjNhYzG3YpJxPZbqovQn7zhyc8baVO8lrJxD5Uk40rb1UE8Z
wgBuXMJgv+rqCibm7GlUlzLKbhna3NN8sDt08beWusDR05hhxZ3OC+SDDczJNY1nxhgekzCu/6ZS
o0bR6ChAl/tSFQka1UKsxzAMqR+qVv8eU0/4mraXqsCQzFPAkMjpWNrtRUwV4khUflVNZcRQ5sWp
xOVAxRJb49PSizrKqWVQ2czHpNpu3K4z3+rc+JyqwmdatxZMYPudWdul123fmqLt9luXvJdUTYMq
n2zqKF8VVCyEmSd2kI82VW71K9DYVLPhabW7OJFfzTXh386mO5tazZHGvU3ttkz+fqOWs7xRVQ/b
m6Z4RCJJB3i1KyK+7WGd15fcGPhlLO5NT404WMRfLFSNmczSfZ2v3q5QJaWktpTUmCu1pqDm9Kg9
vTF5ppS8mZsiP01Up9IiG1KVq/GKpq+ZnQdn1ZMTc3uKWlis4WxPXzyA4uhbJlKAKIGhI76Lc1Gc
tu8WVfK86m+xKps7KM9Bo/tHi4raGc1nSz0FvS1vBlV0J4j5RCIl2HEG4qowBztOYeScHJLrhGsR
HTcdSU0+ZVT0K5V9xm+MicNjlc3HmOnwWS5YqGZAqLZAABq26BM8QG9MpJpT7NnN9LzldvYmpim0
zD7xkiDhl3sGked8j10CnLwFUt4V/UsCtBxEGU1KJi/qDGxxqe+NrXjmsI5Bm/JXGUGfj1MTtrC+
rRYBkmtHRey/urF41BQsfYOaXit8Orkix60DqO5DVm8VYt3vwBkLB05YB3+dcSyYcRbZQc8z2itI
eyn9W19h200FcF90UO6gtZ8mk1l8mnv7HgUCgb5HoJInE/y7rzjwFqh5RFErW3+zfBnk+iFS88kE
Ho8Km5zBqoQnr8jySWMAngU2byrqfOlUn+MJDj0yaX8nKDSB00GpP49MhSLXDyDs23Q6+MFDD9de
LF0WxfA/utnaow/3gxIGfgULv6dyCAro+IafZggfAeYvtX+bN1t/8BRM3+QUkkzI/HJL6kD4iR6a
sPdNwF3+1H0uxCbCVuH5JRq9e6mQ/TkplJdm4gEaFlbsX60JaTdoCOjoprIJRDrOF6MC6GqQdFMt
7/YxbN26pe8S0HYHhd1ldcQqRKF4ad6qUIfOW0LpLXLjewbHsFT4XgT1l5NBzc6CCrCxgvwyLIKq
kM1Nr+8Q6IsyrPx2x1jtPs/95SKVzWY9m1V1O+nl0l04Q3vR1zYxZLRf13Pl2fKe2dGnOYkl6CLy
h3yVvtI3hhalXfLYJ/W3ljycLJ0+9342kDXGYrhHyzd7xclsFZh65XXBpgzVLktnAMV2Ive6WTs7
z4gJUBQ1AUFbEvWtX0Zx/C13fbhl7rpCc6ujEfCYA/k7t4mbJuX2Ok/aCx+FaNF61yDMPoF6epiA
byCl4nU5a04ZJXN9J/gVVhxPdJ31NLw5xXZoPVDhlf5eMzCMhmVygxklNVNrS8DV6+v2o1iHZ3Px
32fWY8EkveZNF6t7LNt1e8sIp3Oh5a0n0nJ5RtPS2hm6BmyNYJdgg1F0DQasvraXhEDI5JaPF5Gw
A6bQN69qY75ddPtqmnSyMpcrIQ2417171an/kVgloULrbWcN19nSPaYNexfPPKJPPnmkhbRWA58q
92+HpN3LRbP0yJhsaNNJavSBHFlhoBquyh1sqPGDuU1/x++m/aAwKS+XdSgXflwiLMWayRw92Zqe
lH2mijIBUJsHUbNYSYgBnUqqDW9usm75p6lJ5X0MVTJsk24xEd+A1g0NSzOBxhdYbdxhWk6mMNLk
Une3Mjn+VGPd/Rgr/UxlOk+Tfp42UcZgGiVPyGTAy1CMWdjPC9eMVkb9sfl9y0rxE+TOA4PMx1MW
pHvzpryUbdB98W63XbevIjaPkf7wX7X7Y1L5f1a7USOT8u3v5pS/FrxIUAHQeMhNgMVSuv7RT1LW
MuIzldP/f6WqsJG3bDAFCsVK7Al/3u/tpEAFQ/HsC7pQ11P/6F/UuxCef6l3bZ3ht0rwdS2sx2r4
yabh50dnXPpyNNZS3HkcV8NdxlDEbK4XNMZHx2guZ5PM6UYvL1JdXsnOyHcdwWZjm8JbdGW7q/P8
gQsyDZpqNL7Wk3/M0UsfvcU6iky2X/oCHVyWSXkVl0ZxQTbbt1qWQzRtRsZyTim+kH6NSgPG8ioN
3K4pQ5zjX2ulFHOQjDH0FMSED+kxVnqycoOEiM54CR1GLIynxEev9GfAVam8UaQNktWiyJr1yLcG
dBdDuoh6OYu9dpazKWGbqTRu61ntpnRvGdECwaK0cCYUkSMEskfX5RrnXWlHaQMcsnTdOOqF1R2d
pc52laBytPHqrS5M2UXp7/iPAPi+vnpKm+colZ6l9HogbsxoVhq+Wan5PL+ssgPMoArCHd+rEhL2
4WwtR3HWAipVYF2xcKVPXkn8PMsGsaisIVVvmUZr43fyFcWAfTA7A3uDucSsoMdll8/FafLZe7Ko
vMktf93pDmID3UXf4JSUurqHk8RzWQBbBhrhrdX2upzvRW49d0n2rVjsi25r+nDAn47gv72Aifve
eBgcSINB/4xZJVcaAk3E93G5HYgRd3dNh9Ghn+Z9JeMNQbpbhPR2JTUXUWSaw6rfo/w1FoJU1HZ7
c9jMOxoJGHJxjq6Tf9Jbf4Q+gbZXOugazvvPdMztfYvMN62+iVZmkWUwW5ALA+esidEiA9aNKsua
7ozKDpFTRrqTsOMvqVzswktCc53zKAFNGcQOW/Y4NuIDmW0QNx0U7ZzIyDE7eZVB/9xnmvW6YucY
XFLOZ2oqJ8EJYvfXnSwe9M15l3Nxvaz5LZrxJ7t2HhiDPNVLeh276cOiMSu/zM/NIMt0GkOzftfP
rWJJ3AJcsxYVPr57Wsnzm5+0IW6BAWfccoq5G8T5lujPN0Z3vj00dZHM6krxzrfLcL5pGMcMx2Ti
+nEATs6B++NWUhcU9OsxJ/Yndt/ZlRAxtjhlBR6Yaw3da49OjatuUZfedL7/LIRrQZrW3IrkKnND
9tyVCeBUHxl4gHD7xqjXk5jEUXVbObdslvTXjGhum6S4RtnDfcwFbZ7v43G6mrmpaduvGm7upBZX
QJeTncaNnRvazejEV5a67Fd17TctS4DW1vXAUEVBm8RdoLV2tZ5yaoZW5NubZ3VoBFRBYce1e1Fq
adSNwOVJhtrNQ3zw09Z8cBGFoDihzZj7+qn0CuiUxKrwHoOXusYG6Ndhs5mdDlEs40vRUWDl5Z03
ODvSfoEEAVeQTKk+tpkAmi1un9pYycK3YjXyj1T9BbbVEFvk8mGhdR/noUd/N8B9H5d8LD75bqW0
pud2kMXkMFu7YUTEFGmxEVrahgSpSfXPTsnYrapgBFk5+qBBcgZ3IvGvLK3x0rDnz0Xrb36Rs+Ef
6AkqhvI184C5lNYXM/8Qit27mBrb/5ZoIRviRpgrxi/D9otOUX+tAYJOpUjAq9LHZ5vFew/jNxFE
SVcfyzrfoqzxvEDzkshZXT/ASLmEteuj1wFyQOHnTISU9GipKJvauUbPMNIlWtuH73IJpAsDRlS0
TBsam02Jp03NvXoJV2DU/xtL/4/k7/8cS4cN4Zxfs7e/DqbFT4NptpoMuSgVIE+5Pzj0fxQS5m8M
pS2mVQyglTrgz8G08xtbeFTyDIwtS+VZ/FlJ4LJE8m54f37Vv6gk7F8LCZyUrP0RHSgRgetQSCih
/U8cACSn/rZuU3Hft2heiomBwtJu0IC1WbuO+2oj37M3HV78o5KT+ct9m1TFVY004D7zJ7Yvdqb5
V+M81q8K4lQEvVsTLNRwmt5zrvM7zx3eJ/yaOR6XJLFJcnIxm3TbxASn6wFglgW8ZhNjFKK9tU/3
7TCnqNNaxLOR7w+EZ07LQHWBAasiTWsdHqpySPt9rNFhZUWMNkZ4+oOjJSIUBtvJk9AkP0iu1fqz
HidF2G7euDP8uindwGRUshN1Ndy5BWF0gVshGMtsVFbsAvuKGGS8Tz8QBf/pYlRs4D+PlQOc9f1f
T4f6ot/nyobzmypjmQo5NhPkn+fKhvebzfqFA+BjG2FK/OfpUG5inZEzI1+18v+jyKYwZ9rMCwwg
BAgxFAT/5micw0R/7s9sxsmGzlaI1RDnU0lvfzkbfuX2Y+2kd7XXleTdesTkip67tk8c/6TlHzzu
1dEy0460LlgjsmXxDgiou5lXY+d0VQ4ufkt37Sy+11tC3qBJXHE9zpI5J9m1pBbdLa3pR4ab97vV
oKRMSty66yKHQ29I90hy73RtgXJmD81jOrtU0sIhzS7R+mT+MrkkhT2Oc5buJhukulsx201EW37M
re6iOS/MI8YRkPDqOvVLRykqrbycqHAWr3rufNyZfjvW5LHl/rHf6vjUOdadTIUkALiP91pueIHh
G9+T2HP2xKmNj/bUjCG+2S2apvkzDGigAnq+d9c23XmLP+DtmF9FzeS0dMdmr7ngKhZdjlGScfuv
m0vyLrG8wbJW19bQf/E3P6YoIOht6gUfCn+/y37Ij7E/VJf66FQ7R0loYYFLUp6b7sKaxyIy89gN
8sHpgrSzjIMLr//g1V3OVth6SIzhsmJCtcs8Rq9NYtohG+vk0il456Sr/lSQR98TMhEIS/IWmuSM
B4cJy6Dlz6Nb2IGoUA9nTnVljRSdzAECu9zuYkyoMORcFMPoo9sUdhXDFCK1hP/E2/VTaVofhVnU
p9ROzSDXXWx7lsMwCmR9VG2xuGw2MhTiTGARJDFBmS9ram5EpBVJ0njN28t5WBn0SC1cG1L+cOsW
jEDr8pFO6gVFpB+CHrrNmuRp8tPvjtTW/WzjV+8yJ93x+c2HVJl/S8oqb3CvsonWR2fXJvMJkSyg
omGUz16ufWH4YBFGL/KIeUd8YqXYR7FVPsaocA6ijNfLiQWFQZZBWJjWdTX173CRqyD1x0cyfeww
1/KHXBTpPe3lbumT72XdP0Lmvi5yEtbQd+ZRa+T19dCkxilORR2MXtyeJqyGyBs1PtYyi/z0HDev
TSp7vpz9abnFeZhTfFZO69C40NR2eCD6N4Yo132lXcvSeWx7ecnL5MIS/F1ncyDOoUsZwsXDfqi7
gzfMxHdIDODpAXz8Ta/Fu1Tb9vMqjpokFHpwotpuqWOr604jyyhrDzMJFJXVXzhEMOaDxtSfuEk7
fRkcI9Qy7dJNFsTI7akZvKM04P3bgzXticQ4pKld33T0QP6YX6MCx8zeFMFcrQ9pbOGymtyB59+/
Nyfvcm2ZM6E6SMJMW/YkKH4RNlYPKe1D7ztoGNzvBnEWHesVketPU8Vf3+qZ3i/912JFOdR4TZBP
/RB6msXTiyZqv+REl9qrHxUyvmhtrQt7xPc7vOEli5PppU+zIiJEonydF9Pa2Qj29onPPxQEx+BM
56NEKw7pv21Das/x2V5bRMOxPIpEe0SwC/4glt1BaC7JS8RbDst6s6QLry7tYBfygcjuj1R38eGs
zZUOoZIuZatBdCvugP7k9+6DN8dNNC5b95BU7cG2qp0nn4lV3CFfxZrqf5q8aT9uWEDXxT4Bt/dQ
yLi8TxL7aKoU89Ruoq1iL45KmJfGXY9q2GmtV0PJiB32arYSFsdzOUXeRoSKjeq4VPLjhJBIQlRR
c09ok+Paeq2VWLmwvOtayZcXJWT2nOmJ9PmSGSPBLULJnXV9enKUADorXVI3lCg6xp8ejEoovdS4
dXO003EKXA5y5U7TtJdWyavBJzThiOI68wFlKgm2ocTYTWufvI3anEY82xAtKeW2i4SbteSjedZ0
Y3iKiEDnp23qzz3C79Rm3z229r3T1R8+0nChFReuqx2azdxCnO4nJRUIBuTknenc0UvTdAyOh6MX
zXlS6JiiKvM7IE/sCN6RnT63yPLW09AjH8McgYAdrdOLc1a0K8EXEvemqQ8jknfVoERsJ9jZDF/Z
CqCHbo3mWvTlpxLBPIbn3cQJDVulpRdKVa8jr7fXihoMwb2wjHei+nIeUe80CD+qlTTfIKwkW9i/
KtV+qvT7hlLy+0rTnyPuVxIzg3dYMIuMLHluK6KDAdEoT8Ck3AGJyWaixDDA2wHngPIQEASYMff/
/+ydyXbcxrZt/+X14QEE6sbrJBJZkEyWEkW5g0GREopAXQNff2ekLJmy5fuG2k+n4Y4PJZpMBGKv
vdZcAnC33LUqZwAk8dYZu9PSwX5wVRZh7kklWHxMe2IK60RegaXfn5SMX4wEGWLaxkaVbLCsPrCJ
OrQq86B1pB9chaLI0bdMlYxIIvm8qKwEeY9d3KM52MQollVSfEiwoliye5egRRwnh/MP3eU30Kgs
RheXRCD8ExO9hheMTBjrRJ2/tlYxDkxSNrEOHr0v+souV31GNCv7DBvzVBEEqXB+7FyiIdpk33cx
v21BtCIjPNKs7QbziHk1EisBTYUOs8avjmp4G1X2pKpLpCsqAQKhkikCSGU3lJSmTtyn64GWV6GS
LJaPAD2rdIvnjl2QE3iJhzrbjkRgRMXnORJjvGHRHfiqCkruppXCGenkL9goFx5SEjWJytasKmUz
F5ZxKgneRF1F9JMoDiZi+poV5GSgvgZBiPIjo7aDbiUWUas0T5XqznbRG1qAS5I+xaAeLdKjxBBu
jYGNfUz1iaxl2Kuk0G8V/Kvng1nvvy/nF5+/fPlM5+zPcuB84bcLuuIAuQZxbXZEXKxVMu37+Gr8
wd0coyzkZjLYytL+t18X2o+yp3MZ/yvP9k0It/6g8p7/8U+icPjef+WOzt/yLyGcXCneKu796OvI
9T/e0Yduzf0Cqs2tb4hkO56jlfIcs6RWp70rYMNF2+IcxOQN0c03tl1BrkIwIafJHcVhkV7qBYCR
ukR31EVdIYHH87Gsl8+l4fdHnOy8s5OCB2xtQv6rt76WlWyI4uvKXi7i3LwkihRW3rRv4/nzKucd
YRtu8vEORfF1qaKdo7cf+SlemGvHnc8wd0YyQhfCotIAI14+LW1tcAeM83lyrrvYOeZrnRDSjip/
peN3SLmkjbhoBvZ5fl2FQDGuzHXsbrCwHB2fEFXn9E/8WeaR2qp00/jRYfSo+mjcV3QfM0xWm0Q4
h0EzPJHgvs/w3Ed+/rGnjDaUUf6EfRFCLmO5OT6Ytvaxdez7XECdqfSx5mLuX3l+d+tHmbeder6/
Vr3TinGn28BOfOICPKHZjvpJ1lY9UNqU9tqoU8fUymkLGftyrlMQEj5yWl5k5qYHgLFJI4xjc+3Q
hl1eDhk0EjGU77M5e2lVh3UUaUZIwp2+mEQj59o/d777yknzrmgkp7AxU6QZu+/IEWwHdzh0pnk5
U5o9q/ZsQ/VoT7p50WLarDvnXesPT10cPS4zl4QRj11RIIBSkWSOzbI1ab8mFccfW1LcHUd8n6j/
Y2CrVu+Vem9yhbiF9OGgq+LvmVwbReC81V692BmDUYp7R/RPNEvnh4K47sanRtynTrxDsiU21M0b
quD4pkUf+Kp9vFU95OC1Tuo1tNjUg89Ulbuqs5wS47uVEvOMMnOXUvNuzl88k3dSr/rOC1A2SZ25
w8flq/F7qJIOi60xYdKYyViNZ5d4snDE7n8fleejUp1d/31UBvlzz7vqJ0oGX/b9oETM41aJn0Wd
akqV+H5OWn+AjuBVSKxBmec4wr6dkw4GOUQPKiK+91d+OyeR+cjYIw/yRc55AfkrWsYPp6TFSEi2
6GzQ84nMkzL+8ZS06hFPumN1d4PkeWBr8OzgKXnzM/nJOtv4F4jTJ4ZERIOgkqdKLz11Vr/REn1b
ZuOMp/OO1E9L0K00jOTeWIaTnyULzeB2SrV1OaQsJbj6w8bAyd8b+gfzLNdFUNimo6tUPEfpeZlS
9kQxYIuVc9ruXPLCm5GKK9rzNAYe5ignY+/f5MUXYxY8ZVRQGnfDMuMq5Sg0MblEuFQCu5lcZAKG
tnw74cELyr5gqK4A13xuIt9NtkmS101Q1Yt2HeWJdSzbtbulYiHmBhXVh9VurvRm2URkMk/sa5yw
1nByYMrPdnU+TMGQQzSaoAjl+Xoa+C8+ZKZXPUo9O7WaboQ1AvGHDhQPuAEx+TdrggjSjYu7W+Xq
V9Txykd7cI2dNoDC9otE7jFYMKlqablzeXNsusJChyFzeIzb2Qg1yT0b8i2d68O6bPTVuzZEpWhe
0c3U8at1RivULPNgsroJ8mHZ52Vy5Y7Z42IagZMb1yNksKRCc2CsrAJ3EGzg7F2fJFMI466nUNg4
1H16hR1nDPWeNWo1zE1gqa83Eomkw7AwjXa7o0kxCxPfDwfpbjORgYrv2ApWsU/BPS7G4SFP+uhe
xoZGX9f/C42uPrl/a3TYPdVnjgAC/k/aoC21cn/7mdMSK23KpOvueosKRG7Xy6UU7u8Fx18Ljv9V
v92neZ4+F/8+98RbBdf/Qxl4bUKK9lfN9e+DT//DIfJI7sP+aob4duzZf+CAYB2i1hh/uYn/PvZ0
B5iB4o/gvzc4LH/h2INY9MPH4wyKhKJtcIhylBLp4ht/+/Hw29WN9LKbbqeyktOLiNbyXqsXQ+6s
uWWFuuI1n9rEMkJ5tqAL5UbXQKpumFOp1rPTO//sWIdkbLY7zBI42Stkl+FoO8ZDHaXDuKWmD9f7
cnbAw0stthSMpuYu1uoY6JcXRZ+j2YYdVBPDP6Vu6lFsnTYkEXsqs2nOXdvkNl7Y0obNZMu7yHfK
jW5BzAY4lK2ByJb8UVbcfjJ6xTeMd/LGUyy7aOnZ83JRqnBLGnx/qDnzEPaKgbcqGl7KXS2IzoQ8
xcqzFTUvVfw8zYOkZ6Nm0iYeb6CVdVuU3hdPcfdYvnSoL7D4pKLyRaK9WBx5RNx4WRPFNwPgtw5e
R+79NVdkP1LWM6Fwz98IsH9VMxahhr8CosAIuBw4oAASWFttt52z+jQqfmCqSIICpKCWwBZcq+qp
VrRBPF0xXaDRcohKP+yiBa7eIC50IIWRohXmiltYADBcFclwMWAaGopuWLjksxTvkOg934XWTkEL
DNFVVERShVzgFCixMqKt4603sW86Qadoio7iKsYZhEWINo9and4koBcpKv+o0H387JVXETpjKeRz
ZkcDkiW+vFQxHFNgjpPDgD8NNhl8SDACTMY+0qF3+pp7qzXce6nCu3HGqtvHYn62AUbWihyZKYak
Z/XHIaPAbkrHgFB5HLjcO5PlCRbul0HBKF2FpQR7622GeDxIO7nBU/GgWzlGGmP5MsXqZ6Ewgwmc
y1UBL9Wl1lqiJEh9yJggLz76BNHJ9GXA4SDsmZAz5WzdCxOhahqz0ICt6XSCO70H401pHY3HgF7q
093qzEe3y4BjYMU0FKxzhNqpp7xmyfWl2xyi54JIGuBHeRzGAo8uPEv+Pa2v1oWhcKCl8gir2N8w
0B49xVpF0M27TaGIKthoY6w3zcid31eg0aGqrpy0tSl4Ni8VbHTStEdTwUldKKWFY78TjcrmzeNd
pkCmNkRT3fAOerTgiaR4mj5J8D8Kf9rl2OBNgKgsIz5NjhNvTQVLtYbGC0f4qSYc1TUdQ9caniMF
WIUz9Er4Gngrg4kNgxU7OAmArIXuPYQ1lNbSSA6Zwra6IwDXZMr+xM7z0Cu0q76sX3QD0TOD+pqY
4F+1iT9q4hczOKa7GRUk1oUWaxFH2Lao2L0CyfYQZcXYym2qILN1ur7APYSqmnuY6RWKFqb+awKb
FhYkQRtotVyudvzin4kP4mHBsyA7/tM6M75pIN16XZ5D2G9eUp20XqZwuGiqdzN83GiXDIbYdU3x
UnRJ7labnKB0s2+/NVP93nMq5vZ/zwen5zb9qY7ydjwgQGNSOQ+z+My/4199nw9Mlv06CsZXo6Fa
M/79ohTs/5Xdj/e1wv+83XU6uBMVoUv/RfIPJoQf3pLnPx77qQ21z+SVy6rzx7ekrAYxRlKRIRaF
++1Joaqp3HFIBKs5HSsMjFls1QFAuQaBur6Uaq4vTBRWtIR9wfO25wEpLhNkgCQp+u2qlAGrVW4V
tAIG6mOk1AOpNbcTckLVd3zalcLQITVYSA5UwT+o8vEIKULO2dOgtAmQox8lYkWBaJF6T3oCVidF
zHApTA+LNHp1Z5scLZlfjZk6dTLr6JXTU+ohDy+Ahty8tonsAhWo6HoMZF9+HJL6kZRsG/LnglCe
jX7rlOlrbWX1+lxNHdBRzG+ZaNAuxQwQxV51OMJd6DfKBAeMZ8o6rHnGPctXQnPueBASx1Lr40iP
62LdJoDLYaJk+kYr612Tmj3Nt5La+rwYdqweC7xBJQTY0W8PuJaLQ+dMBT3v83YkApPKhP/r6JPs
kR2Ym6QM5nn4KFkltDY7J7dtP0S995JLIntz3tzOkRyDqc+eGz85ra3+DgecfawFDqPa0p9NczwK
c7pJPCYNMWYTAVi7CUyHuwRSyGu/eA8ODTbs6jjE7Ma98AeyfQs6U+EtHBNFVIQ0X+B1lxfdMJM1
qdddYxfh6CZ3XOv30WqS06137Sy2MpMfMt++xMsG4Ib9SJg7DlcV3d1PRbQT3hDKwjzaEQulqbrU
FVjUGNN715oDtN3rwV/3BZ3vZVp8KGdt3/P2dnQcXX6+E6N/NQI1KV2XHZe1cV0WQiZ6iRG9iwDd
TNjz0ZT024JG5sx6qbNkO03+0V4ECozJzaK+jowPfsXdpfdZuGPhrPPryPUoV+7ri4SOeiGMR0fE
W9Hk8IbraM8mZl8LfC4MrddEre7jYTr0znIztNW66acMA8ucv1qFRTwSQHMBmtWs75oed6ObX8RF
czB146hZ1WOqFw/r1N4XEJ6mZXisG53vX34EdHupCpohNW37qL8GpxN6WrYpy1uy01qhh1GxnCxt
Bk1e7/xVoJx59lVVIs0t9FNbif5p9vJD5o7vo2L9vCYIefN8Mw0iJl4VBwhSQTTYrI3lsXaqG765
vd5NR+nIEzH8Q9Xox84U4WJVe7dNjrOj7TTdv7Rclg7jsMePeEvec5842SmtcejXiFNGH4K8JBsl
bW6uTI5iBK5lFwevsR2ESqhCjhebB9FzUcE4mQasl5Hjhg7K3YKr0MuG7K6b5ZNWOThio/7Ja7gO
4BGUFyTWjbDXCmvvLrZiJ00FpNvsk9P1yXvdjMEWrRbbncm4k1F6inOLY8kor8x0vrFSfi6NObVB
OmhPYHGYZtdV35Uk3sLMnrBapPlNptclUJ1U7O1qSQOzYT9udL690Sz3oc6XamehZrIT6vj+VvfC
kOllYTdQEVpz2zfmu2Gd2y1mXsnaHLYZi+J5z75yozUdsZJCPxW50DY5A7rabT24YqCQRET11hBT
rzSF4bCadbwdO0jAY73UJF/B+BZxexW3dXLwfC0P/RHfbNYkuJus9DrJJ5bFLLHghXvrNmpyb592
w8mrOxAsTX1oenbQdgLrD5pndWj1lOm/s7iJiknDfZjdlrF/l6MVHVMIESDj3UuiEMa2nfRpE/np
iQIGC/NlYuyKtLmLdBq7KVeHA9XIj1bjXWuj1V0MyVLuorm4LQBKuAL1EVE0LPKifi/IocBGd9bt
vHYQ3q0h3Zh2J/mOicProvhiZ+vVnPDMEaFU9/B0N7ruSY/Gw+TOH0U153sh2pk5ZAqKuVx2zlS/
4/ekbXt3PdaAnTeIvFeDZ196nVMF2hxfs859nDkBYkfuUweQWcx80cmoDKelJ2rTEp4pOkxlsR8f
+4VSpbX0lh03sevOs2/jznpY+ugFD2vPyDfBU/NLtBUdqEFlfconC9FoFv5e4qckF2IAb23khaHp
p8q2nyojC+SktWHi9Uc3AzhdlBk47nk65SUvDpcE1aZy+9fUMQ92lHzpdKMkUGMU4ZLFybZvzQtO
Fcj3IGvCqlj9rb84l3GM4bYYh3yXZgap52lpr7OyM3ZGGmNe1qOP/GovG6oCw9l3bzNeRwdPRncg
Cdqrxeidp8ohcF2SXm0s+jhWZrqw6ax3DfGqF3jSx7WrnjXPWgDZp3/KyRw3U99qG9o34g3ZqaNd
5SwTitTbuwOznCLzHRPZMNqVlKHPBqvoWJR7fY02DR5cPgWu2AlipXHWm4hX6OKLzRA90A7feQaL
hJnwWlH3zbb33OQiEvWnGlMRdwABUWtcn+d4qgKbrvibqM+rvZewpcHKNAYzzpKtOy3b3hkTBMIy
v/HSLCfgg3EIxA9BRVp5qF4g9Dijr21qlEg4Dnp5FUXLq+wxBEYtvQW4F6LNWCJGzUK9CLQC2tjq
8s3HJbUI7MK3ZrJcITHmB3PWb9ZZ3sMRjYMYgkRQtcPnQSP0vna8a1iCfcxLUVI7VV7MIzzAJHVt
6PgVS8ye1gCR3azxyshk6FercFlXWFynskIc7Y51MJf2rUj7rL0z2Hv81uq/rjWxyf73Xfwyfy6e
++TfmpXJl33X6vU/PBc/Lrq7ZXswtN5cxhX3Ggon92rU9x/E+q+FPp4OZ0Iohpf4+zJuAIsghwMt
l9nZtHE4/oJq5f7rOg5D13FYqepwGKiW/AcsYkCuzkVWZbfZvLp9UMYLqyxQWr744DjJuBJDVf04
6bkrZzz35lSVg2e2a+f+av1arTPa56IdVOYbh0Yg+WSUZbXe+KqUJ5otVdCTqbKenGrD9rLGKdf2
mPiAlG1KJnlc/OmOH2F1vSQ6LFBsXycS/jbIS7Pw3pUqxt43cBFF1owfSClVCYeH9WWlu2FbGaZ2
hX3Xv4ls7c5K6EZQpRlcs2SHpz1ziIWs8kU0jKq+CnnYTdvQ2+C6TWAsnbmTXbncV1hybnTp1Vcm
CpWKQrYHYRdsAiJbv6+WJH8QEe98flkyiNJ2um5Kv+HGGJFjbRi2C2M4lCoIY7Vy/mQuFd0NItV2
LaWN+6Ips4OEFIlC1nn9zXpO6CzntE4y5LH1IfG8ipE84iRF4XFynR1e1Het+c5hFm+0kzZEvZGG
v5/brzs25tr/fm7Zsb1IHt2fxPIMvvD7k2sgKXMHt3T7PEfzaHwfo8UfaCK45onZfgXMvxmj4do5
KoB3RoS98QtD3eMpo5dOCILi/q88tszL/xqjWUV4tHGR8zNMHM0/jtEgg4woglp/ay42xS9csBgi
y/NEmTNCrM96DrYIZ+D7rkVc6nDw6uvyPoXTFTpAZ0mglo+SG8t2aOSu0yjvmcw4DXTZtVeg3T/N
tUdOi5pQInP+soXGctVBxdhn8YC1aZyu1nipGSHgXLgALggMca+u40d3QhFd9PTF9oF8uRFVLrPm
BiPIbFysy4NT0VGTa3R42LVhBQuRv0vNgKKfduJCkyUX2xqDYVwb+s6ShnNnzbO/JXHIRYVuSVCc
rObygSQ8My0uWWazwY+jqyqyAeNWGFNTx6DJK3nO00lsWrGgm5qoxijtHns0+PxZPMZXnqtm9LHu
NtqaekBt+/00lw9aAW8zczXMvbaOyD0Yn81CXrZyZLAsRj1IkBJ9qd3G42Rs+p43cyLS6yGCHpDW
5NucxPhMRSF3mXyA8Suje5+Cq0NSjIzctfjklSb4hxGFtO1x7S1FtZ+chE3coq1BJqajQYQfs25q
bUdGoLafje2CQ7YzvYeOWcrTuxfUY3szpXN16DtpEUcu031mTnc1mWkKra1Lv+sXGMXDujWF211p
loHLqnjIG/PWtXXI+tYVYa985wj2l5o/79bS1zcetF18zaG+cnHQBrsFrEEATIcF5AIxuXesYV7R
PkV/YS0d9mJSm3J26MGSyQ5XVXacmkpjEos+Oen43miwUvd69t7knr0hgWW95GN5MLXSI2E91MNj
WqfM6xmUAhyORMYDQ4uS0BnPwCLpmbeG3jjHJofpiHHPa/Z8qJ0N74jyMDPI4qFO3CzszpPhuHZh
z6zYyGrXp+mpY4bkGb2NmCmroX+KmDH7FX8MM+cyAatjBi2ZRaHYHzJm086djzU/X98vwBPI4zCb
N8OAVC6SYFTDbc2UWxZ+4DP1mkv/fmIKttU0zFQMIK5mdrGvknWVxEQJy6VUMDBJs3RlyYkD45bP
1AY/KKuG/noaki2mys3KND4xlfvlGs5M6VFf77S+vk+Y3t20fRRM80QGDyvTPd/clv3QnbUgmyW4
0lEBmClfOyULRBajUIdSkKAY2CK/91AQfJsXZYOmQBY0IguaP6Yu3hZUB99IgqTOyf4zGw1jdr1A
IGjRKWomWd/44FD17qNiWKgZVuwdK9QNrXrJ0TqcaLkdlfhhNyIoUUMMFuMAM8OOJ5HAV9BqE4F6
1BNb7poVY6faiShfKypLgYICYGTfoL6MyxLoqDHrWZZBn8lL2pXQayICoCP6TRR5e6kEHV9JO7YS
eTBtXmaoPuVkbrlgo08QdkMVGlCHFosRVslFLbqRQD9K1/XYKEEpV9LSjMbkKbGJ/I17oSsBihzo
bWJFDzh5XzPfYQBXYhVlgRO1TghYBkqWQNGqULaqs8SlxK4F1QvH0GlEBaOCAzkMXUwqgcxHKXNQ
zBolnbGE3E5oaY0iuilxrVcyW3IW3JTyhgLXKikuVqJcouS5SQl1mZLshNUNzMTIeLUS9Nyu2ZVK
4ouV2KcxtLFl4PdtKClwLOfDosRBmr7uVyUXKqeTh34YgZbh2MGkqs1/VXf/Vt9VaO2/bw4fn4uE
RfW/b/zqy77fG7gcwPXEIPi1tObtvcEkggScjUvKVyn97bWB7hveBJRq6mdG1febAwkknDm6q58X
279w2T9T9f82MJwDeOSb2Akokj9hp3+aZrzMMdg1p3c0e0VknqWjbapq0k9thnEGPUmm/ryH2E/k
s3Xw4tuixTRnv6sjHjjRdZcCZSqukahstCpbiVaNkq+YVx+EErSgnTpoDCINLCV3IeCULJGLG6mk
sEqJYjjT9Z2pee+qPHu2ff+5iO02nGQTZpr7J5HfZpOjspWLeWdHxBl0v7BDW0lxc5R/Ap+Dn1/J
dIMS7DqM1qGz8rBLh21C3E1PLT7KTYvS5yrJT6zRTEobGdBXguASI79xx3bw2iEXWu2QHTCvITyf
3zHd5JUx3MvEuq1m+szgr2h3lMitm3ylYoAjKMbeaBZHoElp6JVtccxAuW+nBeNK7o+JFQg/LzkK
eRc2k16F2tpodb3p16rBy+I78UNhps8uSUEs0p0p46s6Q2KcIVy62oeiBB45tIY4NXNtc9ZOVfbU
RtLHm42WY2/iaXZ21K6YhHl/jwJfR3huzv/9QF9U3ec6SX+KpOMLvz/S1FCRRRJc4FmqwdR4Mwoo
xx2NEjaeD+H8EKwljUuwyXX5J/DhHxAdaognPchFUD93V/0S8VG4ylry94Nt65aythgO2VrT5ugx
1LTwxg3n6eRmJyfVb9HABsWkr+J2l6RT87yuhALTDPrGusImvWfcXD7ZWqktpNyM7KUHqc0VCofx
n925F4n3z5YUCV1JS2UAO4uJmtChdO5TklZCt5I3G3Wgzwae+ZrmCpYVEVIpdUxuGXfbEnyHMH15
gcF1uBoJPGzMFMpHl5uHkS30gT67Q61III1igmRJcg/0AuWNI+u6BRwCLy7D+txdwc6FgApbxAYy
sijayDlobg89uqgzHVnNmNy5pwMlntWdZYxcds4h9DOeJFLJdG8RXyDZ3VCV0wYF/IKeEHun0uzF
gJa3VtY07RqVdndV7t21EmoyUQ2kysRrKh3vryVFk93iPCRVf+En6wswvHd22srQtNID3KSnSR9v
okpvkNI1e6cZ8tZk3Rd4AiYx9JKtbGP0ior3cOKVPRtLDjV9/CinpLmiR4gLcN5QllM1r34OlwTT
DmNLlH3MIq7kVvpe9t50n0i+LQ2d4+gX8RVYD/aVsPYPZg54PwMARmH5Q2o5F/GMDaMuAfY21d4q
tYNGwlpiW9/Yvb83yvy6KtJjuhCSkuZ6O/XQd2vjKKqmCPh8owKn2T6t9Qu6w16Lno2OHJ3lQ2H5
EujffKIrnElIavuoaXZ1u37SMzJQS5QytOQgqlO8zb2F6m3ZCuiVsK7QE/MA5YyTVRsxMbJRxf0d
D9Y91oGWT4BNjsdEyZac0K6H66NMTITWof64ynQrnP6h8PsHkjYlWLEtw+Jdlk8YnSMDRod2ms0i
tEV03U5FGjZJXm6ase+QoP2HiPXQBeQvMF+OO23TiAY1qqWuvJ6SCKMcr2VmX9pdqx0BHX+oZzB4
ZvrqVFO6XWnY7WgrJV26bD381PQ3yPkScJRPJquK2Jg5xznG1QhTjvzpJO+9KgrGhP8kgkDvR2u8
w7IEwcbCE0O5Tk4uVC7B4AIkm4v0MpoFkZWK2zwu/UujN+xNsnYFMyDPHr4XeNG6cxWX/WkyvVNv
DSJc8+lpyIbbvHZmdi3Ze2JblxYFnpNDjhTGPS2sFeWi3dQxszUIzRqLoApeTrh4wy3QzcvV4uFt
Cv0DXXRcVrGQ2PnyYYGOvJ1TeGaJHnUHoDhLgNjNJbRybw1/zgL+xpFdTX8v2/Ww4q2isOfFYxxM
/SlwXJfKF0bOSZsrlGp+WC5zPrnFiJhDabuhUUfPdLjudJGzS12tuwl6RJBllICIuPYg/KDx6cuY
Bo7TXwLe3HdckGORGUHtDmAF44eWe4OWTSzihneNG50Gp/xiOXP7+0X41X+pehj++0WI6fonZW3q
a968AxU/lT4JE+0LZMSbdyDXWkEpFJT9bwSJv10luovYBaXKdonYK+7EN/ul9Qf3XQsFjSspEht9
9r9wt/2H+1L5SrAp8pYFsuxjZv9nTTeORIPpuczgDlVM655GGu5U2DGYRt2tbe2aWy2ZFp/T3GEO
vKCjNbA681NWWPHOYFcIo4bxixx7UIg53fQ2K9dU09Zt0bN8j7ylft+mcOIHoztp7CNHtZiMJ1aU
NrvKnJ2lb1L/oKk1Zsk+U5iOvkM3t7Yau05NMydewaw/2R9eOqCFA6lWo1mq3UV1fqvFphaidDVb
sy7NYIXgcshXTu2mMrNTLJqDrxavi5xOg9V5RBRZyhYJt0pEDurIgWxdl112bxtpQYg6L8JELXZL
Nry9WvW6eGCA47D+1dUiWFcr4bq3ehahWbMde7u5ofLooVArZHpw/DYkWayumZPROLv66/XTmGr5
2A6Hopn4Mfq1JmdsNAv3d30Q2bGUstzPEMuLfd2Yy++yt7+M0f/ryEk09ic6teL7vXkwCcVxlVRK
9D/CIMyaMLKZKtUjy+7n22Op9kvEJlzGUNTj87/69lhCj0NONj3mV1ucITK/8Fiq9dEPF1MeRf5q
kz+Iv87jGf/hYgqvzTIJQyOX6vshek1neU2l28bs2qMfv7w5sDifcE+UbxmHxj+uwWcys6Gu3EQH
LUB6ZwDNm2twPs2kstfUucWoeT2J9QpTAp0VifrUS9i5oit13mQaTciDQfPiGYORmPGnPPePTTlu
K1pztt0Ivs3U5/JQeaDbaA8lrFqRQq34Hqk/XuSf7uSMlJT605fGW+IDRw5ZrsWoPlmRayE1Quyk
nAdUk4g8nzHuqTtjnFgtgXSKzOhKrw2/CKueP5V1AfAnFwyU1YpHa9DtLIw1I+h7BYsibWIBnokd
khsLGa3hzJYSvck0aNsw2kNoWPCnylg3V+weWhzqZ0JVc6ZV5e5cv9chWNEB1eJ7wRKSW6v2KTHz
yAsIXKx4FyKXEd5LCOUjwpegR9eCy8pgMf+aZrspnIllt99jvDLdGr41e3fcvYYYT0PvPE6m/rgO
VLVOrnbIl+GGxtgb+q7uRtQtaWZ/DqRWSOpkm3rJcc/UB4yB5EsAlDn5MXHw1vm2Mvpl0HONbGPo
8QeDiotJlMdoBo1Ze6GW9OHgcu9ePf/UgZ7W8nZXSyoeRPZIEy+MViTGvedQy1By720rG+9uCpZK
57Hh9uEkj7VbTiLQEyRNbCG7Qkt3NoUVYEerjWtU93Md7aj6/QTbVdsQhOQGP9C6qzeD9yi6CfVz
nfXjkjQOPRhkOW/iuBWfWrvdlAVlADcY+y+47X4YfAwCQ0prRcyQohvTbZNTipsCfj3oeWqG/DLN
zWD68LjM5tZycg7ZBIxvZa771u1urFkebR347zjPRwfiltmLbep613O8XDHYHTVY0cfes+OwsfQH
nrwLI4WPURrHVow3kJC5vM3sbCmgu6wdr9p3xcxSQ8TvCAi1t5zrV7nTLiNXxGU60mUeOwEohfdJ
ZV6fH8nfMqHBQfffl6nN57L/mUlXfdWbU1sHHkQ02SCRxeXph+sU8zwLb0hEKu3Mv/p2bnNnEjA/
8ef+Zcd9e51CF7DJxsAQckwVT/mFc9tQN70fTm5lAyYvyMgnIO6T5/vx5MZV1oy5XEFggDOGF7la
H1LFOJ58726AKteNuskq7YxCbs5YZMw/a1i0+p+ejSmugDjEBJMe5iF/pIYR79vUX9daeYbkTAH7
oOqAlv2ltLSbCJlsy0ddEXaiZU+WLxTjih9Rt3G01fknE788/jjfDkZks9ADG5Da8YU+jk+dNawX
ns/qvXOtKCjJTpAFm66Nxj6NyXwc5AenPHv7+kBLFkU0FLuoKm5AoEvq67Y5QYLM0Dke55gQwZpe
tFkjL+e+/KC78ROhtJFbGA6uuZiDeBLvJh1bj915ZM6W/tl263XTshLZ19Ict2IljpK52Yuztpej
nOzrovaPi+34p9JdCe/a5UnG5pSC6ouja9t3igBF44r1j6LB/7lGJE203gt13wAJ2F9w/LaHUuO8
5M94V7rNJ8/HWyTj9EWm+XMkpMubIEvvO+InYS1JDpSj0YRTphUXMVfLvm0vhjl97Sf8y2kJ9aMq
rWrbNcZ7FofKzuzGm7Gz2j3taT5bTl6E5rJGR8PIOfPjwdSuIY9zkfbPl+ohtoARQbtfLtOyoGMq
hv/oso3JckmmmQKd97bWOtox7/Tssqq1gE0klW2jVaYXk2lj0JDNdJXrY3/v46aifUnSnRyVfag5
E6ySEs/l3TiYeEFIuTf4F6N+m6/YODWvQHaGqk3BKHzt/x8PK06Ysk/75fj6f/+PsPD5/28H1U37
mUvVT77k2ykFM404EnQFwVClTpU3p5T1h83xhasBmwFD3JvbJVFj+H583fetxfehTwmfik7IhZSg
3K/aIM6Zurf3S1vZl1yuevR+YBcSqqvjzY1PdsMqp8FPbzPJ9OUHHGpzw6dGOjd+VFvWHe00bbev
cr0E4heximdxPuIFldFYTf/D3Jk0t40kUfivdPQdCuxLxHQfJGq1pLZku+2eC4KW2ABILCQ2Avj1
8xVB2uJieilNBHCTRBWBRFVWVubL95r7hWEDFXRAnJ6iFzgrjcfQjZW4+Wi5tTJTz+wZacJ5DVE9
0Dp1+baMF+pzos4FhNUp0ghZJi0ExqRXWkaWL0Mw1K0vM88MEDNeTG8SduV/DZKg2Sm8EO5nhQLK
WQNW+cZBA4riS9CdwRgTP1rQFl0GXUZpz4vVv2YzKABYCLBzwemeU/rs4jkdS51hKh8cVfnsNnY4
SixRU4a9+R6oFkk9zpe3DRjHa6e2qv8up6SMTMhzkRGAWe4xd9xZOCqyhgJu1fneaK7TwnROGxEy
AG7V4XOKRQwSQQ3DNwt/dhHUUXBWBkv7MzDV8gNVjXB6bxFajEDgO39FsB1Qio4amP1ju7XOSieE
vsb3GgqdhVpG7TvHKssUkvt5+8mHagh/7oF8aBs/eEcruu+dFhlIlrOW27+ObD980y2b5hPdS5p1
aZuEW0Fq1OeeDUbrTNWmiXbhlHZIpjky5h9bQlrk0RdTGKqcOrlRiO4zlERctEISv3P/cmdLaCwA
OzAlaBihmdtpwqIbTa0CuDCEx+0/ZdUu7Lc8iU6sPkMIdeTFIRlVlZaPQs3t00SZhv86OUy0YRDN
rorIrC6WAezA1iKqRuBNnIdFZxJopsh+jOjLyx5mkBTftJnpn6rJQntQLG+JR07sG990WnTrcst+
Xs7py2o4kt2z35OgDduMTuxT+JzR81qkCvqxgTpt79S0Intxo8/MJUcFz0rBtJ1jCBMWtzpM52/N
2QI1iy6NNHAgRtSScw3dyIbIHgzyLfXpFBLtMCWdA6uuxskJbjis91CxPVMT0GrnXTJPiagdBX3h
v+O8dlAtywoVMWnP9k9zNSSbZzSNU4zoVSiym2nm01Njz4PwOSHFSA4zdtiCKLInCkV/EEZnvttk
94XiRrd1WoZvbD9djpFesNm1imV13s45U5E7bUN4eVDTofc8ttXwqp3GenbFQTcGWaNBMUtUHyjl
lZonjkDUR2+jptW6s3BRh1PYOf2Ele27jn9qzIlfR5AxcdSgi76ub7suqhYjnb70M1h2K9CwdVIL
IiQlJ6JQUi94a6NjX9C8WSXOXQON1T01QPUynznVKAyMAHQC/Pw1YKC5O4oVJ7pXOADWF7VP3z6b
t2oDOY/d5Sc9KrLL0msWwY2pFo9dU067B69SnpTOS1lTip01MOlNW+u+zIwCkZAFTUsXQdVmn6Bd
UdFMoDvoPRrctNWb/jxPkXE0UWT2lLSk+uHW7Ttz4TXZNTm4cgGWPdbty1gNAQs5U9+4pvE+/3ep
mB+synZpS7CK7h0kIfX8ajkLtew699sG5JOivTGKQr2D21R/MNMl6xEE2TQ5nwZ4M0voHsxaOl8R
oXFvpgpVlZFLQre5bTTQGY5RpB0cBfns0nX94hyYsq+cRbwryr9zsvd6ZxoP9Dur9YVRQX9gs7e/
yWyaaw04AL1zJZonIfJ6jfZ+3pnRiPBR5z3PkFL/nC+c6XiqlsoHI4/rfwpYBPPzPDNN1hrqXTQM
dxwTNVspr/MgMGkxraYFXI3okLzhA2Z1qilzBSo23Z5DY0fnbRLeoGxoQbDdQugzp02xjc161FQ2
wkuFTWhh2Tn9s/S11Fck243s3C+TZSAojJPKvMvSeQW7WerH77U2MP6ul91HkylMKxVtJLwbKtEg
nZbOg21F2igofeDieri4drzUUc/TrtTPY8XygXE3y+YRukDzPobJHdXE3Em0uyW4o7uu7Owp+NHM
+LQom09B01CZKm1I20Za5MfuGV3NVDIA6DTVHTSe2j2U08Uj5T14+CjcN8GD1tR+rtMQGpOYuEoM
p3TQZzEVP/BvwN8v4eB3Z9rF/yVSuoueoM9G8fw/4sD4BKdFHgVhuTqWfP3pcpLdj5NJsfuhrf8p
/lz9OZhko3E53voBElPCnYdqkrePk6KKGX99PhUf3fsrI3Ez64HeZlFavs9+7UPHB1qHYe/b+eSP
38fPCRjgqCjz6KkUOfUvIVqfAtxDnaxubPVMR8eBLIae3We+wbQQilDBdgCZ6K/ff4sznGL/ZwWw
+Am5cY0ACH4Yrj4ufGGpb9ni+GNuTH7MpkcfYdcUJnHk1sn6V0wBPwc6FbazelKVmsO2KfQTqDwI
QQUDNd81QCPsphd+xQioH9HKArXF6uJRt4ygOSeQrIGityDkHvJ8ANksPR9ooED8RpxIVteuKVyA
Go5QJSfJMcz50N/YziL7Sf/AYRCha8iqV9feojBO6PEGTS5KC8M0ArcsPRNMpEXgZ1kbgUfdWhQw
EFKwMAHv9wtwgJ6B3UPSCKjNirqr4EA/uBzYKaAOE0UbTvvDnAm7SY1fcY90TqmwRrJpiguzbs8E
ymAuWdGhzoM9loifNwHzQJT/TPOAK2BurFrSVrYZhEN4GTQdymv9yPPzjr8GTOhnkYSCz+sbuwK+
wCLzTcQ00FVgyAcJ5gmPb1EC3nOERIvsFAAeB/rw69BNbkekecpC9QQ4trh2XQCiECqtmxAODNUP
GvKxEehVuFhoTV1vBrzvbT9onFBoYL/QwKVzDXYx9DcmMx9YDFTWkPKAJ3N17ZpCO9FwisD6+z14
eMGB6DuWDA5oSRYdhRDZ9TbYmw9wC7kqTctmP/cGaAT5CEk/AZYGATUkSIdnAhES0iCAQYa6HPTX
mAkmxIlC9rG3AU5w2zOYJ6aQvkFtaqB7hLErqfUjMYLYBb4GCbp40ZYJuqq/dvcIFLdcMvT09Ax1
OayDeBnHaJxANkwsxBH54HLQPDYRD8qwwUYLgudM0jESLrp098P93l+7EZPIp5hg6laotEGemkRx
VNIIkKna8McJlazVtWsEsRw0dSUZN1CfsD7QySyHlaqATTJlnV7cNQJxI709GkJ6Q/UJ5mvMBMhH
qOND9r26dh0jPgHQG05jHaMOME6Qz6npQjkRjoh1Sl0Ex9tbJIIWJgge3epjkuEZQYg5S/sEQYyN
YtC34gTCZsFwg/scqk+QP0bRH0hhxUPBu98h98JmIkaofFgNzJFB7g5CkVByJvTZBMsETn4wTtDF
YVMkHsEVimuoptD7iSq5RwAZMRAP+MZ8gBUKO8Eus/7AQGfFnujmz4fQQFYd8c5NmnLEtbdTOBQe
aHlH336gRlif8mTmA+k0x/bQgVgfJPZ2ClNsJR7CuOvkw1BN8RrVWZqo2RB46atrzxTaiWjdwFpD
zT3q8pGD8ITIytp9LX7lCrcjB40ajCW0BAY6EdY5UZk1YSFiQyu9uz5L7DkGDhO2aChE736oRuhn
qIwRANE69O47m5mw6x0pxlGmd4C39hmd4YWQApMrGTiAXYH75NtYBUoxmivUyUWXwiCjJ0v+REU5
DgJAnWa83i/uVeVUYkzK80iLbKKrQZpiT9/q50MGoUjvqQj6rTfDA9G0INagMPETW8QPrJwv2DC4
U+PnFSosmiBU9QVa9t0PbMBS+wO8wHz15cutjwqYWD94j4cSP/+5jRpbwZRe/HUDW1p91fr/18+4
/+1bX7Z5sM0vr6JJPs6fhGqxgNKt71SA8v74/Ziu+urThwFuXxzC0bF5mu3ugx4Nt2qTkh38eySP
rzD+EaE26dHRjE4+R+OXVe/eOCKL93UW7EMLf8jyR5qKpe8c4OoBJgFxppK/7SrP2804osFlbRJc
pfTYo0nxFFblpNiM9WJ8gjD58bMqiA9RjgoZMenRj8tnyb7Ty3yclpu7fGEXvK/0nV+N83Ry6KWS
mZIfPMuef3uM6km+GezF3XOUkf6CG5hkD+vavsYy/Z5urux7/R77lez4xwmyZUe/Hc8mm1f49bUa
r7FYb8cHGcFeY6XeRulTFm/13PVeTCTgpOcjox8a+jUW6t04DifVgYUkimvSN35U10h2ptxleZ4t
N3f5da6IOoj8ndNykGbJONyM9WJ8Dq7S4x9h5pG1y7twkifjAxNGQAKlb/w9jUjj5GA0IKS9pcf/
APm++IrNUC/s/hoL9UN6UGhLAM+kb/3jOI6z5aE7f42V+nFcPGWbu3xhlddYp4wNXWJwMG4XrRvy
pgknk/jQfi2O2NKjHydwPb6eDh2uvjSP7B+5Np0xh/5t+0gpPvEUT8b5n/8DAAD//w==</cx:binary>
              </cx:geoCache>
            </cx:geography>
          </cx:layoutPr>
          <cx:valueColors>
            <cx:minColor>
              <a:schemeClr val="bg1"/>
            </cx:minColor>
            <cx:midColor>
              <a:srgbClr val="FF9900"/>
            </cx:midColor>
            <cx:maxColor>
              <a:srgbClr val="FF0000"/>
            </cx:maxColor>
          </cx:valueColors>
          <cx:valueColorPositions count="3">
            <cx:minPosition>
              <cx:percent val="0"/>
            </cx:minPosition>
            <cx:maxPosition>
              <cx:percent val="100"/>
            </cx:maxPosition>
          </cx:valueColorPositions>
        </cx:series>
        <cx:series layoutId="regionMap" hidden="1" uniqueId="{00000000-22F1-4C64-B2DD-A07BB1415DEF}" formatIdx="1">
          <cx:dataId val="1"/>
          <cx:layoutPr>
            <cx:geography cultureLanguage="en-US" cultureRegion="US" attribution="Powered by Bing">
              <cx:geoCache provider="{E9337A44-BEBE-4D9F-B70C-5C5E7DAFC167}">
                <cx:binary>BMFRCoAgDADQq4gHcBV9SXUXWTMFdeEG7fi9d6BFbJSms96GRLTTF9U3AggW6klCrzhZOGtA7sA5
VyS4Z/rqeGBb1h2wpKlk3sH1AwAA//8=</cx:binary>
              </cx:geoCache>
            </cx:geography>
          </cx:layoutPr>
        </cx:series>
      </cx:plotAreaRegion>
    </cx:plotArea>
    <cx:legend pos="r"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ln>
      <a:solidFill>
        <a:schemeClr val="tx1"/>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1.xml"/><Relationship Id="rId1" Type="http://schemas.microsoft.com/office/2014/relationships/chartEx" Target="../charts/chartEx1.xml"/><Relationship Id="rId5" Type="http://schemas.openxmlformats.org/officeDocument/2006/relationships/chart" Target="../charts/chart3.xml"/><Relationship Id="rId4"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microsoft.com/office/2014/relationships/chartEx" Target="../charts/chartEx3.xml"/></Relationships>
</file>

<file path=xl/drawings/_rels/drawing8.xml.rels><?xml version="1.0" encoding="UTF-8" standalone="yes"?>
<Relationships xmlns="http://schemas.openxmlformats.org/package/2006/relationships"><Relationship Id="rId2" Type="http://schemas.microsoft.com/office/2014/relationships/chartEx" Target="../charts/chartEx4.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20</xdr:col>
      <xdr:colOff>291623</xdr:colOff>
      <xdr:row>266</xdr:row>
      <xdr:rowOff>61436</xdr:rowOff>
    </xdr:from>
    <xdr:to>
      <xdr:col>23</xdr:col>
      <xdr:colOff>286860</xdr:colOff>
      <xdr:row>278</xdr:row>
      <xdr:rowOff>98428</xdr:rowOff>
    </xdr:to>
    <mc:AlternateContent xmlns:mc="http://schemas.openxmlformats.org/markup-compatibility/2006" xmlns:a14="http://schemas.microsoft.com/office/drawing/2010/main">
      <mc:Choice Requires="a14">
        <xdr:graphicFrame macro="">
          <xdr:nvGraphicFramePr>
            <xdr:cNvPr id="4" name="Year 6">
              <a:extLst>
                <a:ext uri="{FF2B5EF4-FFF2-40B4-BE49-F238E27FC236}">
                  <a16:creationId xmlns:a16="http://schemas.microsoft.com/office/drawing/2014/main" id="{03559337-DDDC-4305-9637-9F99962674E9}"/>
                </a:ext>
              </a:extLst>
            </xdr:cNvPr>
            <xdr:cNvGraphicFramePr/>
          </xdr:nvGraphicFramePr>
          <xdr:xfrm>
            <a:off x="0" y="0"/>
            <a:ext cx="0" cy="0"/>
          </xdr:xfrm>
          <a:graphic>
            <a:graphicData uri="http://schemas.microsoft.com/office/drawing/2010/slicer">
              <sle:slicer xmlns:sle="http://schemas.microsoft.com/office/drawing/2010/slicer" name="Year 6"/>
            </a:graphicData>
          </a:graphic>
        </xdr:graphicFrame>
      </mc:Choice>
      <mc:Fallback xmlns="">
        <xdr:sp macro="" textlink="">
          <xdr:nvSpPr>
            <xdr:cNvPr id="0" name=""/>
            <xdr:cNvSpPr>
              <a:spLocks noTextEdit="1"/>
            </xdr:cNvSpPr>
          </xdr:nvSpPr>
          <xdr:spPr>
            <a:xfrm>
              <a:off x="15682594" y="33085564"/>
              <a:ext cx="1820704" cy="21839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264795</xdr:colOff>
      <xdr:row>223</xdr:row>
      <xdr:rowOff>6350</xdr:rowOff>
    </xdr:from>
    <xdr:to>
      <xdr:col>22</xdr:col>
      <xdr:colOff>133193</xdr:colOff>
      <xdr:row>230</xdr:row>
      <xdr:rowOff>21324</xdr:rowOff>
    </xdr:to>
    <mc:AlternateContent xmlns:mc="http://schemas.openxmlformats.org/markup-compatibility/2006" xmlns:a14="http://schemas.microsoft.com/office/drawing/2010/main">
      <mc:Choice Requires="a14">
        <xdr:graphicFrame macro="">
          <xdr:nvGraphicFramePr>
            <xdr:cNvPr id="6" name="Year 7">
              <a:extLst>
                <a:ext uri="{FF2B5EF4-FFF2-40B4-BE49-F238E27FC236}">
                  <a16:creationId xmlns:a16="http://schemas.microsoft.com/office/drawing/2014/main" id="{E00827CF-56B5-4B16-8E24-A55459CD43ED}"/>
                </a:ext>
              </a:extLst>
            </xdr:cNvPr>
            <xdr:cNvGraphicFramePr/>
          </xdr:nvGraphicFramePr>
          <xdr:xfrm>
            <a:off x="0" y="0"/>
            <a:ext cx="0" cy="0"/>
          </xdr:xfrm>
          <a:graphic>
            <a:graphicData uri="http://schemas.microsoft.com/office/drawing/2010/slicer">
              <sle:slicer xmlns:sle="http://schemas.microsoft.com/office/drawing/2010/slicer" name="Year 7"/>
            </a:graphicData>
          </a:graphic>
        </xdr:graphicFrame>
      </mc:Choice>
      <mc:Fallback xmlns="">
        <xdr:sp macro="" textlink="">
          <xdr:nvSpPr>
            <xdr:cNvPr id="0" name=""/>
            <xdr:cNvSpPr>
              <a:spLocks noTextEdit="1"/>
            </xdr:cNvSpPr>
          </xdr:nvSpPr>
          <xdr:spPr>
            <a:xfrm>
              <a:off x="14897576" y="17998599"/>
              <a:ext cx="1082837" cy="1263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1892428</xdr:colOff>
      <xdr:row>262</xdr:row>
      <xdr:rowOff>53634</xdr:rowOff>
    </xdr:from>
    <xdr:to>
      <xdr:col>17</xdr:col>
      <xdr:colOff>292336</xdr:colOff>
      <xdr:row>287</xdr:row>
      <xdr:rowOff>91258</xdr:rowOff>
    </xdr:to>
    <xdr:grpSp>
      <xdr:nvGrpSpPr>
        <xdr:cNvPr id="7" name="Group 6">
          <a:extLst>
            <a:ext uri="{FF2B5EF4-FFF2-40B4-BE49-F238E27FC236}">
              <a16:creationId xmlns:a16="http://schemas.microsoft.com/office/drawing/2014/main" id="{DFD2258E-042C-B698-D122-9C713868A3B7}"/>
            </a:ext>
          </a:extLst>
        </xdr:cNvPr>
        <xdr:cNvGrpSpPr/>
      </xdr:nvGrpSpPr>
      <xdr:grpSpPr>
        <a:xfrm>
          <a:off x="7282872" y="54451967"/>
          <a:ext cx="8362353" cy="4976513"/>
          <a:chOff x="6601229" y="25041174"/>
          <a:chExt cx="6723080" cy="4439053"/>
        </a:xfrm>
      </xdr:grpSpPr>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8D126A79-9E03-A80D-B03B-9B68D6AC76CB}"/>
                  </a:ext>
                </a:extLst>
              </xdr:cNvPr>
              <xdr:cNvGraphicFramePr>
                <a:graphicFrameLocks noChangeAspect="1"/>
              </xdr:cNvGraphicFramePr>
            </xdr:nvGraphicFramePr>
            <xdr:xfrm>
              <a:off x="6601229" y="25041174"/>
              <a:ext cx="6723080" cy="4439053"/>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601229" y="25041174"/>
                <a:ext cx="6723080" cy="443905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sp macro="" textlink="'Rpt-County, status, name'!$X$34">
        <xdr:nvSpPr>
          <xdr:cNvPr id="12" name="TextBox 11">
            <a:extLst>
              <a:ext uri="{FF2B5EF4-FFF2-40B4-BE49-F238E27FC236}">
                <a16:creationId xmlns:a16="http://schemas.microsoft.com/office/drawing/2014/main" id="{C5488982-EA96-7A11-7F38-B4420899C267}"/>
              </a:ext>
            </a:extLst>
          </xdr:cNvPr>
          <xdr:cNvSpPr txBox="1"/>
        </xdr:nvSpPr>
        <xdr:spPr>
          <a:xfrm>
            <a:off x="7779074" y="25069502"/>
            <a:ext cx="3219939" cy="535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8698257-9AEB-40A2-AC94-50F48B642C9B}" type="TxLink">
              <a:rPr lang="en-US" sz="1400" b="1" i="0" u="none" strike="noStrike">
                <a:solidFill>
                  <a:srgbClr val="FF0000"/>
                </a:solidFill>
                <a:latin typeface="Aptos Narrow"/>
              </a:rPr>
              <a:pPr algn="ctr"/>
              <a:t>2026 Wildfire damage by County                                Homes destroyed:     26</a:t>
            </a:fld>
            <a:endParaRPr lang="en-US" sz="1400" b="1">
              <a:solidFill>
                <a:srgbClr val="FF0000"/>
              </a:solidFill>
            </a:endParaRPr>
          </a:p>
        </xdr:txBody>
      </xdr:sp>
    </xdr:grpSp>
    <xdr:clientData/>
  </xdr:twoCellAnchor>
  <xdr:twoCellAnchor>
    <xdr:from>
      <xdr:col>0</xdr:col>
      <xdr:colOff>152399</xdr:colOff>
      <xdr:row>215</xdr:row>
      <xdr:rowOff>111125</xdr:rowOff>
    </xdr:from>
    <xdr:to>
      <xdr:col>17</xdr:col>
      <xdr:colOff>257053</xdr:colOff>
      <xdr:row>261</xdr:row>
      <xdr:rowOff>129728</xdr:rowOff>
    </xdr:to>
    <xdr:graphicFrame macro="">
      <xdr:nvGraphicFramePr>
        <xdr:cNvPr id="13" name="Chart 12">
          <a:extLst>
            <a:ext uri="{FF2B5EF4-FFF2-40B4-BE49-F238E27FC236}">
              <a16:creationId xmlns:a16="http://schemas.microsoft.com/office/drawing/2014/main" id="{B98C1465-831D-40CF-8DEB-E2B6CCFF2B77}"/>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132452</xdr:colOff>
      <xdr:row>262</xdr:row>
      <xdr:rowOff>56727</xdr:rowOff>
    </xdr:from>
    <xdr:to>
      <xdr:col>3</xdr:col>
      <xdr:colOff>1773606</xdr:colOff>
      <xdr:row>287</xdr:row>
      <xdr:rowOff>108638</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E46A728A-4828-6E38-C058-1809B04B8C6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32452" y="52812527"/>
              <a:ext cx="7038654" cy="481441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788307</xdr:colOff>
      <xdr:row>262</xdr:row>
      <xdr:rowOff>14942</xdr:rowOff>
    </xdr:from>
    <xdr:to>
      <xdr:col>3</xdr:col>
      <xdr:colOff>1465059</xdr:colOff>
      <xdr:row>266</xdr:row>
      <xdr:rowOff>38100</xdr:rowOff>
    </xdr:to>
    <xdr:sp macro="" textlink="'County chart'!AF45">
      <xdr:nvSpPr>
        <xdr:cNvPr id="8" name="TextBox 7">
          <a:extLst>
            <a:ext uri="{FF2B5EF4-FFF2-40B4-BE49-F238E27FC236}">
              <a16:creationId xmlns:a16="http://schemas.microsoft.com/office/drawing/2014/main" id="{ADF242B2-3F01-4E69-BDFE-4740F5E25E63}"/>
            </a:ext>
          </a:extLst>
        </xdr:cNvPr>
        <xdr:cNvSpPr txBox="1"/>
      </xdr:nvSpPr>
      <xdr:spPr>
        <a:xfrm>
          <a:off x="788307" y="39829442"/>
          <a:ext cx="5540852" cy="734358"/>
        </a:xfrm>
        <a:prstGeom prst="rect">
          <a:avLst/>
        </a:prstGeom>
        <a:noFill/>
        <a:ln w="9525" cmpd="sng">
          <a:noFill/>
        </a:ln>
        <a:effectLst/>
      </xdr:spPr>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fld id="{7E056C08-B4B2-42E2-BC28-D6665E383B70}" type="TxLink">
            <a:rPr kumimoji="0" lang="en-US" sz="1600" b="1" i="0" u="none" strike="noStrike" kern="0" cap="none" spc="0" normalizeH="0" baseline="0" noProof="0">
              <a:ln>
                <a:noFill/>
              </a:ln>
              <a:solidFill>
                <a:schemeClr val="tx2">
                  <a:lumMod val="75000"/>
                  <a:lumOff val="25000"/>
                </a:schemeClr>
              </a:solidFill>
              <a:effectLst/>
              <a:uLnTx/>
              <a:uFillTx/>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2026 Wildfire impact by County - Acres burned (large fires)                                                        Approximate total acres burned (large fires):      1.369 M             </a:t>
          </a:fld>
          <a:endParaRPr kumimoji="0" lang="en-US" sz="3200" b="1" i="0" u="none" strike="noStrike" kern="0" cap="none" spc="0" normalizeH="0" baseline="0" noProof="0">
            <a:ln>
              <a:noFill/>
            </a:ln>
            <a:solidFill>
              <a:schemeClr val="tx2">
                <a:lumMod val="75000"/>
                <a:lumOff val="25000"/>
              </a:schemeClr>
            </a:solidFill>
            <a:effectLst/>
            <a:uLnTx/>
            <a:uFillTx/>
            <a:latin typeface="Aptos Narrow" panose="02110004020202020204"/>
            <a:ea typeface="+mn-ea"/>
            <a:cs typeface="+mn-cs"/>
          </a:endParaRPr>
        </a:p>
      </xdr:txBody>
    </xdr:sp>
    <xdr:clientData/>
  </xdr:twoCellAnchor>
  <xdr:twoCellAnchor editAs="oneCell">
    <xdr:from>
      <xdr:col>24</xdr:col>
      <xdr:colOff>423317</xdr:colOff>
      <xdr:row>266</xdr:row>
      <xdr:rowOff>141309</xdr:rowOff>
    </xdr:from>
    <xdr:to>
      <xdr:col>27</xdr:col>
      <xdr:colOff>439985</xdr:colOff>
      <xdr:row>275</xdr:row>
      <xdr:rowOff>173217</xdr:rowOff>
    </xdr:to>
    <mc:AlternateContent xmlns:mc="http://schemas.openxmlformats.org/markup-compatibility/2006" xmlns:a14="http://schemas.microsoft.com/office/drawing/2010/main">
      <mc:Choice Requires="a14">
        <xdr:graphicFrame macro="">
          <xdr:nvGraphicFramePr>
            <xdr:cNvPr id="9" name="Misc">
              <a:extLst>
                <a:ext uri="{FF2B5EF4-FFF2-40B4-BE49-F238E27FC236}">
                  <a16:creationId xmlns:a16="http://schemas.microsoft.com/office/drawing/2014/main" id="{CBF9DD89-C24C-F5BE-B65F-617CF1FBDF2A}"/>
                </a:ext>
              </a:extLst>
            </xdr:cNvPr>
            <xdr:cNvGraphicFramePr/>
          </xdr:nvGraphicFramePr>
          <xdr:xfrm>
            <a:off x="0" y="0"/>
            <a:ext cx="0" cy="0"/>
          </xdr:xfrm>
          <a:graphic>
            <a:graphicData uri="http://schemas.microsoft.com/office/drawing/2010/slicer">
              <sle:slicer xmlns:sle="http://schemas.microsoft.com/office/drawing/2010/slicer" name="Misc"/>
            </a:graphicData>
          </a:graphic>
        </xdr:graphicFrame>
      </mc:Choice>
      <mc:Fallback xmlns="">
        <xdr:sp macro="" textlink="">
          <xdr:nvSpPr>
            <xdr:cNvPr id="0" name=""/>
            <xdr:cNvSpPr>
              <a:spLocks noTextEdit="1"/>
            </xdr:cNvSpPr>
          </xdr:nvSpPr>
          <xdr:spPr>
            <a:xfrm>
              <a:off x="18248878" y="33167342"/>
              <a:ext cx="1836420" cy="16411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130969</xdr:colOff>
      <xdr:row>322</xdr:row>
      <xdr:rowOff>95250</xdr:rowOff>
    </xdr:from>
    <xdr:to>
      <xdr:col>17</xdr:col>
      <xdr:colOff>174783</xdr:colOff>
      <xdr:row>369</xdr:row>
      <xdr:rowOff>23812</xdr:rowOff>
    </xdr:to>
    <xdr:graphicFrame macro="">
      <xdr:nvGraphicFramePr>
        <xdr:cNvPr id="2" name="Chart 1">
          <a:extLst>
            <a:ext uri="{FF2B5EF4-FFF2-40B4-BE49-F238E27FC236}">
              <a16:creationId xmlns:a16="http://schemas.microsoft.com/office/drawing/2014/main" id="{F8DAA2D0-702A-4A74-8425-E3E8984848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103142</xdr:colOff>
      <xdr:row>288</xdr:row>
      <xdr:rowOff>66130</xdr:rowOff>
    </xdr:from>
    <xdr:to>
      <xdr:col>17</xdr:col>
      <xdr:colOff>303167</xdr:colOff>
      <xdr:row>319</xdr:row>
      <xdr:rowOff>68035</xdr:rowOff>
    </xdr:to>
    <xdr:graphicFrame macro="">
      <xdr:nvGraphicFramePr>
        <xdr:cNvPr id="5" name="Chart 4">
          <a:extLst>
            <a:ext uri="{FF2B5EF4-FFF2-40B4-BE49-F238E27FC236}">
              <a16:creationId xmlns:a16="http://schemas.microsoft.com/office/drawing/2014/main" id="{09C03C4D-6B6C-4B8D-9E7C-0D05A5CE6281}"/>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0.19695</cdr:x>
      <cdr:y>0.02369</cdr:y>
    </cdr:from>
    <cdr:to>
      <cdr:x>0.82202</cdr:x>
      <cdr:y>0.06834</cdr:y>
    </cdr:to>
    <cdr:sp macro="" textlink="'Chart-acres vs active'!$AA$3">
      <cdr:nvSpPr>
        <cdr:cNvPr id="2" name="TextBox 7">
          <a:extLst xmlns:a="http://schemas.openxmlformats.org/drawingml/2006/main">
            <a:ext uri="{FF2B5EF4-FFF2-40B4-BE49-F238E27FC236}">
              <a16:creationId xmlns:a16="http://schemas.microsoft.com/office/drawing/2014/main" id="{ADF242B2-3F01-4E69-BDFE-4740F5E25E63}"/>
            </a:ext>
          </a:extLst>
        </cdr:cNvPr>
        <cdr:cNvSpPr txBox="1"/>
      </cdr:nvSpPr>
      <cdr:spPr>
        <a:xfrm xmlns:a="http://schemas.openxmlformats.org/drawingml/2006/main">
          <a:off x="2682081" y="193674"/>
          <a:ext cx="8512176" cy="365012"/>
        </a:xfrm>
        <a:prstGeom xmlns:a="http://schemas.openxmlformats.org/drawingml/2006/main" prst="rect">
          <a:avLst/>
        </a:prstGeom>
        <a:noFill xmlns:a="http://schemas.openxmlformats.org/drawingml/2006/main"/>
        <a:ln xmlns:a="http://schemas.openxmlformats.org/drawingml/2006/main" w="9525" cmpd="sng">
          <a:noFill/>
        </a:ln>
        <a:effectLst xmlns:a="http://schemas.openxmlformats.org/drawingml/2006/mai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fld id="{5A5C37A8-4751-41C2-934E-0558D38D4300}" type="TxLink">
            <a:rPr kumimoji="0" lang="en-US" sz="1800" b="1" i="0" u="none" strike="noStrike" kern="0" cap="none" spc="0" normalizeH="0" baseline="0" noProof="0">
              <a:ln>
                <a:noFill/>
              </a:ln>
              <a:solidFill>
                <a:srgbClr val="000000"/>
              </a:solidFill>
              <a:effectLst/>
              <a:uLnTx/>
              <a:uFillTx/>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2026 Wildfire Season - Acres burned and Active Fires, by Date</a:t>
          </a:fld>
          <a:endParaRPr kumimoji="0" lang="en-US" sz="4800" b="1" i="0" u="none" strike="noStrike" kern="0" cap="none" spc="0" normalizeH="0" baseline="0" noProof="0">
            <a:ln>
              <a:noFill/>
            </a:ln>
            <a:solidFill>
              <a:schemeClr val="tx2">
                <a:lumMod val="75000"/>
                <a:lumOff val="25000"/>
              </a:schemeClr>
            </a:solidFill>
            <a:effectLst/>
            <a:uLnTx/>
            <a:uFillTx/>
            <a:latin typeface="Aptos Narrow" panose="02110004020202020204"/>
            <a:ea typeface="+mn-ea"/>
            <a:cs typeface="+mn-cs"/>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0.28618</cdr:x>
      <cdr:y>0.05639</cdr:y>
    </cdr:from>
    <cdr:to>
      <cdr:x>0.75565</cdr:x>
      <cdr:y>0.08966</cdr:y>
    </cdr:to>
    <cdr:sp macro="" textlink="">
      <cdr:nvSpPr>
        <cdr:cNvPr id="2" name="TextBox 1">
          <a:extLst xmlns:a="http://schemas.openxmlformats.org/drawingml/2006/main">
            <a:ext uri="{FF2B5EF4-FFF2-40B4-BE49-F238E27FC236}">
              <a16:creationId xmlns:a16="http://schemas.microsoft.com/office/drawing/2014/main" id="{D61B1373-CE49-4E48-1579-2B9DA0E9FE75}"/>
            </a:ext>
          </a:extLst>
        </cdr:cNvPr>
        <cdr:cNvSpPr txBox="1"/>
      </cdr:nvSpPr>
      <cdr:spPr>
        <a:xfrm xmlns:a="http://schemas.openxmlformats.org/drawingml/2006/main">
          <a:off x="2011324" y="297068"/>
          <a:ext cx="3299460" cy="1752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0.16111</cdr:x>
      <cdr:y>0.04772</cdr:y>
    </cdr:from>
    <cdr:to>
      <cdr:x>0.8036</cdr:x>
      <cdr:y>0.09497</cdr:y>
    </cdr:to>
    <cdr:sp macro="" textlink="'ODF data'!$O$12">
      <cdr:nvSpPr>
        <cdr:cNvPr id="3" name="TextBox 2">
          <a:extLst xmlns:a="http://schemas.openxmlformats.org/drawingml/2006/main">
            <a:ext uri="{FF2B5EF4-FFF2-40B4-BE49-F238E27FC236}">
              <a16:creationId xmlns:a16="http://schemas.microsoft.com/office/drawing/2014/main" id="{835F4F09-D545-337A-A18C-215DF7AF01BB}"/>
            </a:ext>
          </a:extLst>
        </cdr:cNvPr>
        <cdr:cNvSpPr txBox="1"/>
      </cdr:nvSpPr>
      <cdr:spPr>
        <a:xfrm xmlns:a="http://schemas.openxmlformats.org/drawingml/2006/main">
          <a:off x="1132846" y="254298"/>
          <a:ext cx="4517572" cy="2517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C7A0B83D-F675-48C9-A8CB-C82DB651899C}" type="TxLink">
            <a:rPr lang="en-US" sz="1100" b="0" i="0" u="none" strike="noStrike" kern="1200">
              <a:solidFill>
                <a:srgbClr val="000000"/>
              </a:solidFill>
              <a:latin typeface="Aptos Narrow"/>
            </a:rPr>
            <a:pPr algn="ctr"/>
            <a:t>2020-2026  (as of: 07/24/2026)  source:  ODF Wildland Fire statistics</a:t>
          </a:fld>
          <a:endParaRPr lang="en-US" sz="800" kern="1200"/>
        </a:p>
      </cdr:txBody>
    </cdr:sp>
  </cdr:relSizeAnchor>
</c:userShapes>
</file>

<file path=xl/drawings/drawing4.xml><?xml version="1.0" encoding="utf-8"?>
<xdr:wsDr xmlns:xdr="http://schemas.openxmlformats.org/drawingml/2006/spreadsheetDrawing" xmlns:a="http://schemas.openxmlformats.org/drawingml/2006/main">
  <xdr:twoCellAnchor>
    <xdr:from>
      <xdr:col>11</xdr:col>
      <xdr:colOff>434696</xdr:colOff>
      <xdr:row>18</xdr:row>
      <xdr:rowOff>38212</xdr:rowOff>
    </xdr:from>
    <xdr:to>
      <xdr:col>23</xdr:col>
      <xdr:colOff>63822</xdr:colOff>
      <xdr:row>46</xdr:row>
      <xdr:rowOff>185575</xdr:rowOff>
    </xdr:to>
    <xdr:graphicFrame macro="">
      <xdr:nvGraphicFramePr>
        <xdr:cNvPr id="2" name="Chart 1">
          <a:extLst>
            <a:ext uri="{FF2B5EF4-FFF2-40B4-BE49-F238E27FC236}">
              <a16:creationId xmlns:a16="http://schemas.microsoft.com/office/drawing/2014/main" id="{0BDBCAFC-A1C6-A45E-28D3-BA5BC95858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0.28618</cdr:x>
      <cdr:y>0.05639</cdr:y>
    </cdr:from>
    <cdr:to>
      <cdr:x>0.75565</cdr:x>
      <cdr:y>0.08966</cdr:y>
    </cdr:to>
    <cdr:sp macro="" textlink="">
      <cdr:nvSpPr>
        <cdr:cNvPr id="2" name="TextBox 1">
          <a:extLst xmlns:a="http://schemas.openxmlformats.org/drawingml/2006/main">
            <a:ext uri="{FF2B5EF4-FFF2-40B4-BE49-F238E27FC236}">
              <a16:creationId xmlns:a16="http://schemas.microsoft.com/office/drawing/2014/main" id="{D61B1373-CE49-4E48-1579-2B9DA0E9FE75}"/>
            </a:ext>
          </a:extLst>
        </cdr:cNvPr>
        <cdr:cNvSpPr txBox="1"/>
      </cdr:nvSpPr>
      <cdr:spPr>
        <a:xfrm xmlns:a="http://schemas.openxmlformats.org/drawingml/2006/main">
          <a:off x="2011324" y="297068"/>
          <a:ext cx="3299460" cy="1752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0.16111</cdr:x>
      <cdr:y>0.04772</cdr:y>
    </cdr:from>
    <cdr:to>
      <cdr:x>0.8036</cdr:x>
      <cdr:y>0.09497</cdr:y>
    </cdr:to>
    <cdr:sp macro="" textlink="'ODF data'!$O$12">
      <cdr:nvSpPr>
        <cdr:cNvPr id="3" name="TextBox 2">
          <a:extLst xmlns:a="http://schemas.openxmlformats.org/drawingml/2006/main">
            <a:ext uri="{FF2B5EF4-FFF2-40B4-BE49-F238E27FC236}">
              <a16:creationId xmlns:a16="http://schemas.microsoft.com/office/drawing/2014/main" id="{835F4F09-D545-337A-A18C-215DF7AF01BB}"/>
            </a:ext>
          </a:extLst>
        </cdr:cNvPr>
        <cdr:cNvSpPr txBox="1"/>
      </cdr:nvSpPr>
      <cdr:spPr>
        <a:xfrm xmlns:a="http://schemas.openxmlformats.org/drawingml/2006/main">
          <a:off x="1132846" y="254298"/>
          <a:ext cx="4517572" cy="2517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C7A0B83D-F675-48C9-A8CB-C82DB651899C}" type="TxLink">
            <a:rPr lang="en-US" sz="1100" b="0" i="0" u="none" strike="noStrike" kern="1200">
              <a:solidFill>
                <a:srgbClr val="000000"/>
              </a:solidFill>
              <a:latin typeface="Aptos Narrow"/>
            </a:rPr>
            <a:pPr algn="ctr"/>
            <a:t>2020-2026  (as of: 07/24/2026)  source:  ODF Wildland Fire statistics</a:t>
          </a:fld>
          <a:endParaRPr lang="en-US" sz="800" kern="1200"/>
        </a:p>
      </cdr:txBody>
    </cdr:sp>
  </cdr:relSizeAnchor>
</c:userShapes>
</file>

<file path=xl/drawings/drawing6.xml><?xml version="1.0" encoding="utf-8"?>
<xdr:wsDr xmlns:xdr="http://schemas.openxmlformats.org/drawingml/2006/spreadsheetDrawing" xmlns:a="http://schemas.openxmlformats.org/drawingml/2006/main">
  <xdr:twoCellAnchor editAs="oneCell">
    <xdr:from>
      <xdr:col>16</xdr:col>
      <xdr:colOff>392218</xdr:colOff>
      <xdr:row>1</xdr:row>
      <xdr:rowOff>160973</xdr:rowOff>
    </xdr:from>
    <xdr:to>
      <xdr:col>21</xdr:col>
      <xdr:colOff>95885</xdr:colOff>
      <xdr:row>9</xdr:row>
      <xdr:rowOff>97155</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3C8ECF5C-69B3-76A8-0FB0-CAB8CD8E0AF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109998" y="353378"/>
              <a:ext cx="2509733" cy="21207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oneCellAnchor>
    <xdr:from>
      <xdr:col>27</xdr:col>
      <xdr:colOff>136071</xdr:colOff>
      <xdr:row>5</xdr:row>
      <xdr:rowOff>64226</xdr:rowOff>
    </xdr:from>
    <xdr:ext cx="1782536" cy="480060"/>
    <xdr:sp macro="" textlink="">
      <xdr:nvSpPr>
        <xdr:cNvPr id="3" name="TextBox 2">
          <a:extLst>
            <a:ext uri="{FF2B5EF4-FFF2-40B4-BE49-F238E27FC236}">
              <a16:creationId xmlns:a16="http://schemas.microsoft.com/office/drawing/2014/main" id="{2A53C2A4-5F69-FBE7-350F-4A1AAB1DFE60}"/>
            </a:ext>
          </a:extLst>
        </xdr:cNvPr>
        <xdr:cNvSpPr txBox="1"/>
      </xdr:nvSpPr>
      <xdr:spPr>
        <a:xfrm>
          <a:off x="19948071" y="1901190"/>
          <a:ext cx="1782536" cy="480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31</xdr:col>
      <xdr:colOff>253602</xdr:colOff>
      <xdr:row>7</xdr:row>
      <xdr:rowOff>40940</xdr:rowOff>
    </xdr:from>
    <xdr:to>
      <xdr:col>47</xdr:col>
      <xdr:colOff>210422</xdr:colOff>
      <xdr:row>46</xdr:row>
      <xdr:rowOff>132732</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14F1C6FD-909E-9FE3-1598-024B8D28F06B}"/>
                </a:ext>
              </a:extLst>
            </xdr:cNvPr>
            <xdr:cNvGraphicFramePr>
              <a:graphicFrameLocks noChangeAspect="1"/>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9298502" y="2365040"/>
              <a:ext cx="10726420" cy="752129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34</xdr:col>
      <xdr:colOff>35423</xdr:colOff>
      <xdr:row>8</xdr:row>
      <xdr:rowOff>1858</xdr:rowOff>
    </xdr:from>
    <xdr:to>
      <xdr:col>41</xdr:col>
      <xdr:colOff>31717</xdr:colOff>
      <xdr:row>12</xdr:row>
      <xdr:rowOff>66888</xdr:rowOff>
    </xdr:to>
    <xdr:sp macro="" textlink="$X$34">
      <xdr:nvSpPr>
        <xdr:cNvPr id="4" name="TextBox 3">
          <a:extLst>
            <a:ext uri="{FF2B5EF4-FFF2-40B4-BE49-F238E27FC236}">
              <a16:creationId xmlns:a16="http://schemas.microsoft.com/office/drawing/2014/main" id="{4B2923CE-DF3D-BD85-0B62-8FF104C7E57F}"/>
            </a:ext>
          </a:extLst>
        </xdr:cNvPr>
        <xdr:cNvSpPr txBox="1"/>
      </xdr:nvSpPr>
      <xdr:spPr>
        <a:xfrm>
          <a:off x="28161387" y="2396715"/>
          <a:ext cx="4282544" cy="7726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5494E5C-47A8-4A05-A767-675DE9DE9A5D}" type="TxLink">
            <a:rPr lang="en-US" sz="1800" b="1" i="0" u="none" strike="noStrike">
              <a:solidFill>
                <a:srgbClr val="000000"/>
              </a:solidFill>
              <a:latin typeface="Aptos Narrow"/>
            </a:rPr>
            <a:pPr algn="ctr"/>
            <a:t>2026 Wildfire damage by County                                Homes destroyed:     26</a:t>
          </a:fld>
          <a:endParaRPr lang="en-US" sz="1800" b="1"/>
        </a:p>
      </xdr:txBody>
    </xdr:sp>
    <xdr:clientData/>
  </xdr:twoCellAnchor>
  <xdr:twoCellAnchor editAs="oneCell">
    <xdr:from>
      <xdr:col>15</xdr:col>
      <xdr:colOff>425451</xdr:colOff>
      <xdr:row>4</xdr:row>
      <xdr:rowOff>144780</xdr:rowOff>
    </xdr:from>
    <xdr:to>
      <xdr:col>16</xdr:col>
      <xdr:colOff>993141</xdr:colOff>
      <xdr:row>18</xdr:row>
      <xdr:rowOff>78741</xdr:rowOff>
    </xdr:to>
    <mc:AlternateContent xmlns:mc="http://schemas.openxmlformats.org/markup-compatibility/2006" xmlns:a14="http://schemas.microsoft.com/office/drawing/2010/main">
      <mc:Choice Requires="a14">
        <xdr:graphicFrame macro="">
          <xdr:nvGraphicFramePr>
            <xdr:cNvPr id="5" name="Year 3">
              <a:extLst>
                <a:ext uri="{FF2B5EF4-FFF2-40B4-BE49-F238E27FC236}">
                  <a16:creationId xmlns:a16="http://schemas.microsoft.com/office/drawing/2014/main" id="{F62E2C62-3CFE-BD9F-8F50-937EB30E3AA9}"/>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3079731" y="1603375"/>
              <a:ext cx="1184275" cy="25850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10</xdr:col>
      <xdr:colOff>583304</xdr:colOff>
      <xdr:row>1</xdr:row>
      <xdr:rowOff>3919</xdr:rowOff>
    </xdr:from>
    <xdr:to>
      <xdr:col>27</xdr:col>
      <xdr:colOff>144780</xdr:colOff>
      <xdr:row>32</xdr:row>
      <xdr:rowOff>118219</xdr:rowOff>
    </xdr:to>
    <xdr:graphicFrame macro="">
      <xdr:nvGraphicFramePr>
        <xdr:cNvPr id="2" name="Chart 1">
          <a:extLst>
            <a:ext uri="{FF2B5EF4-FFF2-40B4-BE49-F238E27FC236}">
              <a16:creationId xmlns:a16="http://schemas.microsoft.com/office/drawing/2014/main" id="{9493F571-BFF6-E35A-1809-792FC16E7629}"/>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494347</xdr:colOff>
      <xdr:row>0</xdr:row>
      <xdr:rowOff>136071</xdr:rowOff>
    </xdr:from>
    <xdr:to>
      <xdr:col>10</xdr:col>
      <xdr:colOff>510540</xdr:colOff>
      <xdr:row>3</xdr:row>
      <xdr:rowOff>555459</xdr:rowOff>
    </xdr:to>
    <mc:AlternateContent xmlns:mc="http://schemas.openxmlformats.org/markup-compatibility/2006" xmlns:a14="http://schemas.microsoft.com/office/drawing/2010/main">
      <mc:Choice Requires="a14">
        <xdr:graphicFrame macro="">
          <xdr:nvGraphicFramePr>
            <xdr:cNvPr id="3" name="Year 1">
              <a:extLst>
                <a:ext uri="{FF2B5EF4-FFF2-40B4-BE49-F238E27FC236}">
                  <a16:creationId xmlns:a16="http://schemas.microsoft.com/office/drawing/2014/main" id="{867A0478-7E8B-D91D-4139-EFC6F82B66C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889307" y="356708"/>
              <a:ext cx="1841183" cy="14279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132996</xdr:colOff>
      <xdr:row>43</xdr:row>
      <xdr:rowOff>92973</xdr:rowOff>
    </xdr:from>
    <xdr:to>
      <xdr:col>25</xdr:col>
      <xdr:colOff>36758</xdr:colOff>
      <xdr:row>78</xdr:row>
      <xdr:rowOff>40903</xdr:rowOff>
    </xdr:to>
    <xdr:grpSp>
      <xdr:nvGrpSpPr>
        <xdr:cNvPr id="13" name="Group 12">
          <a:extLst>
            <a:ext uri="{FF2B5EF4-FFF2-40B4-BE49-F238E27FC236}">
              <a16:creationId xmlns:a16="http://schemas.microsoft.com/office/drawing/2014/main" id="{DB878EE7-2D86-E21F-513E-7049912804F9}"/>
            </a:ext>
          </a:extLst>
        </xdr:cNvPr>
        <xdr:cNvGrpSpPr/>
      </xdr:nvGrpSpPr>
      <xdr:grpSpPr>
        <a:xfrm>
          <a:off x="7444567" y="9236973"/>
          <a:ext cx="10644334" cy="7205073"/>
          <a:chOff x="7145301" y="8525138"/>
          <a:chExt cx="9542427" cy="6404610"/>
        </a:xfrm>
      </xdr:grpSpPr>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9ABA3E56-740B-59F4-2F3F-C8F6172C2515}"/>
                  </a:ext>
                </a:extLst>
              </xdr:cNvPr>
              <xdr:cNvGraphicFramePr/>
            </xdr:nvGraphicFramePr>
            <xdr:xfrm>
              <a:off x="7145301" y="8525138"/>
              <a:ext cx="9542427" cy="640461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145301" y="8525138"/>
                <a:ext cx="9542427" cy="640461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sp macro="" textlink="$AF$45">
        <xdr:nvSpPr>
          <xdr:cNvPr id="4" name="TextBox 3">
            <a:extLst>
              <a:ext uri="{FF2B5EF4-FFF2-40B4-BE49-F238E27FC236}">
                <a16:creationId xmlns:a16="http://schemas.microsoft.com/office/drawing/2014/main" id="{2130A1FB-D016-DC72-2A4F-FA3093FAA2C6}"/>
              </a:ext>
            </a:extLst>
          </xdr:cNvPr>
          <xdr:cNvSpPr txBox="1"/>
        </xdr:nvSpPr>
        <xdr:spPr>
          <a:xfrm>
            <a:off x="9319005" y="8687936"/>
            <a:ext cx="4722085" cy="590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94727CD-4486-4BE3-9754-C332D2FF0CA0}" type="TxLink">
              <a:rPr lang="en-US" sz="1400" b="0" i="0" u="none" strike="noStrike">
                <a:solidFill>
                  <a:srgbClr val="000000"/>
                </a:solidFill>
                <a:latin typeface="Aptos Narrow"/>
              </a:rPr>
              <a:pPr algn="ctr"/>
              <a:t>2026 Wildfire impact by County - Acres burned (large fires)                                                        Approximate total acres burned (large fires):      1.369 M             </a:t>
            </a:fld>
            <a:endParaRPr lang="en-US" sz="2000" b="1">
              <a:latin typeface="+mn-lt"/>
            </a:endParaRPr>
          </a:p>
        </xdr:txBody>
      </xdr:sp>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S:/Consumer%20Advocacy/Outreach%20and%20Education/Wildfire/2024%20Wildfire%20Season/2024%20Wildfire%20Property%20Loss%20and%20Response.xlsx" TargetMode="External"/><Relationship Id="rId1" Type="http://schemas.openxmlformats.org/officeDocument/2006/relationships/externalLinkPath" Target="file:///S:/Consumer%20Advocacy/Outreach%20and%20Education/Wildfire/2024%20Wildfire%20Season/2024%20Wildfire%20Property%20Loss%20and%20Respons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perty Loss"/>
      <sheetName val="EVENTS"/>
      <sheetName val="Data"/>
    </sheetNames>
    <sheetDataSet>
      <sheetData sheetId="0">
        <row r="5">
          <cell r="A5" t="str">
            <v>Adam Mountain</v>
          </cell>
        </row>
        <row r="6">
          <cell r="A6" t="str">
            <v>Bachelor Complex</v>
          </cell>
        </row>
        <row r="7">
          <cell r="A7" t="str">
            <v>Badlands Complex</v>
          </cell>
        </row>
        <row r="8">
          <cell r="A8" t="str">
            <v>Battle Mtn Complex</v>
          </cell>
        </row>
        <row r="9">
          <cell r="A9" t="str">
            <v>Bennett Road</v>
          </cell>
        </row>
        <row r="10">
          <cell r="A10" t="str">
            <v>Bingham</v>
          </cell>
        </row>
        <row r="11">
          <cell r="A11" t="str">
            <v>Boneyard</v>
          </cell>
        </row>
        <row r="12">
          <cell r="A12" t="str">
            <v>Bonita Road</v>
          </cell>
        </row>
        <row r="13">
          <cell r="A13" t="str">
            <v>Bottom Creek</v>
          </cell>
        </row>
        <row r="14">
          <cell r="A14" t="str">
            <v>Bowman Well</v>
          </cell>
        </row>
        <row r="15">
          <cell r="A15" t="str">
            <v>Buck Creek</v>
          </cell>
        </row>
        <row r="16">
          <cell r="A16" t="str">
            <v>Butterfly Gulch</v>
          </cell>
        </row>
        <row r="17">
          <cell r="A17" t="str">
            <v>Camp Creek</v>
          </cell>
        </row>
        <row r="18">
          <cell r="A18" t="str">
            <v>Cat Rock</v>
          </cell>
        </row>
        <row r="19">
          <cell r="A19" t="str">
            <v>Cedar Creek</v>
          </cell>
        </row>
        <row r="20">
          <cell r="A20" t="str">
            <v>Chalk</v>
          </cell>
        </row>
        <row r="21">
          <cell r="A21" t="str">
            <v>Clark</v>
          </cell>
        </row>
        <row r="22">
          <cell r="A22" t="str">
            <v>Cliff Mountain</v>
          </cell>
        </row>
        <row r="23">
          <cell r="A23" t="str">
            <v>Coffee Pot</v>
          </cell>
        </row>
        <row r="24">
          <cell r="A24" t="str">
            <v>Copperfield</v>
          </cell>
        </row>
        <row r="25">
          <cell r="A25" t="str">
            <v>Courtrock</v>
          </cell>
        </row>
        <row r="26">
          <cell r="A26" t="str">
            <v>Cow Valley</v>
          </cell>
        </row>
        <row r="27">
          <cell r="A27" t="str">
            <v>Crazy Creek</v>
          </cell>
        </row>
        <row r="28">
          <cell r="A28" t="str">
            <v>Darlene</v>
          </cell>
        </row>
        <row r="29">
          <cell r="A29" t="str">
            <v>Deer Creek</v>
          </cell>
        </row>
        <row r="30">
          <cell r="A30" t="str">
            <v>Devils Knob</v>
          </cell>
        </row>
        <row r="31">
          <cell r="A31" t="str">
            <v>Diamond complex</v>
          </cell>
        </row>
        <row r="32">
          <cell r="A32" t="str">
            <v>Dixon</v>
          </cell>
        </row>
        <row r="33">
          <cell r="A33" t="str">
            <v>Durgan</v>
          </cell>
        </row>
        <row r="34">
          <cell r="A34" t="str">
            <v>Durkee</v>
          </cell>
        </row>
        <row r="35">
          <cell r="A35" t="str">
            <v>Elk Lane</v>
          </cell>
        </row>
        <row r="36">
          <cell r="A36" t="str">
            <v>Falls</v>
          </cell>
        </row>
        <row r="37">
          <cell r="A37" t="str">
            <v>Firestone</v>
          </cell>
        </row>
        <row r="38">
          <cell r="A38" t="str">
            <v>Flat Top</v>
          </cell>
        </row>
        <row r="39">
          <cell r="A39" t="str">
            <v>Fossil Complex</v>
          </cell>
        </row>
        <row r="40">
          <cell r="A40" t="str">
            <v>Gilespie Spring</v>
          </cell>
        </row>
        <row r="41">
          <cell r="A41" t="str">
            <v>Gold</v>
          </cell>
        </row>
        <row r="42">
          <cell r="A42" t="str">
            <v>Grasshopper</v>
          </cell>
        </row>
        <row r="43">
          <cell r="A43" t="str">
            <v>Hole In The Ground</v>
          </cell>
        </row>
        <row r="44">
          <cell r="A44" t="str">
            <v>Homestead Complex</v>
          </cell>
        </row>
        <row r="45">
          <cell r="A45" t="str">
            <v>Jack Canyon</v>
          </cell>
        </row>
        <row r="46">
          <cell r="A46" t="str">
            <v>Jack Saddle</v>
          </cell>
        </row>
        <row r="47">
          <cell r="A47" t="str">
            <v>Jackpine</v>
          </cell>
        </row>
        <row r="48">
          <cell r="A48" t="str">
            <v>Jones</v>
          </cell>
        </row>
        <row r="49">
          <cell r="A49" t="str">
            <v>Knot</v>
          </cell>
        </row>
        <row r="50">
          <cell r="A50" t="str">
            <v>Lane 1</v>
          </cell>
        </row>
        <row r="51">
          <cell r="A51" t="str">
            <v>Larch Creek</v>
          </cell>
        </row>
        <row r="52">
          <cell r="A52" t="str">
            <v>Lemolo</v>
          </cell>
        </row>
        <row r="53">
          <cell r="A53" t="str">
            <v>Linton Creek</v>
          </cell>
        </row>
        <row r="54">
          <cell r="A54" t="str">
            <v>Little Valley</v>
          </cell>
        </row>
        <row r="55">
          <cell r="A55" t="str">
            <v>Lone Rock</v>
          </cell>
        </row>
        <row r="56">
          <cell r="A56" t="str">
            <v>Long Bed</v>
          </cell>
        </row>
        <row r="57">
          <cell r="A57" t="str">
            <v>McKinley</v>
          </cell>
        </row>
        <row r="58">
          <cell r="A58" t="str">
            <v>Microwave Tower</v>
          </cell>
        </row>
        <row r="59">
          <cell r="A59" t="str">
            <v>Middle Fork</v>
          </cell>
        </row>
        <row r="60">
          <cell r="A60" t="str">
            <v>Mile Marker 132</v>
          </cell>
        </row>
        <row r="61">
          <cell r="A61" t="str">
            <v>Milepost 98</v>
          </cell>
        </row>
        <row r="62">
          <cell r="A62" t="str">
            <v>Mineral</v>
          </cell>
        </row>
        <row r="63">
          <cell r="A63" t="str">
            <v>Moss Mountain</v>
          </cell>
        </row>
        <row r="64">
          <cell r="A64" t="str">
            <v>Monkey Creek</v>
          </cell>
        </row>
        <row r="65">
          <cell r="A65" t="str">
            <v>Mountain View</v>
          </cell>
        </row>
        <row r="66">
          <cell r="A66" t="str">
            <v>NF Owens</v>
          </cell>
        </row>
        <row r="67">
          <cell r="A67" t="str">
            <v>North Willamette Complex</v>
          </cell>
        </row>
        <row r="68">
          <cell r="A68" t="str">
            <v>Oak Canyon</v>
          </cell>
        </row>
        <row r="69">
          <cell r="A69" t="str">
            <v>Ore</v>
          </cell>
        </row>
        <row r="70">
          <cell r="A70" t="str">
            <v>Pine</v>
          </cell>
        </row>
        <row r="71">
          <cell r="A71" t="str">
            <v>Pine Bench</v>
          </cell>
        </row>
        <row r="72">
          <cell r="A72" t="str">
            <v>Poison</v>
          </cell>
        </row>
        <row r="73">
          <cell r="A73" t="str">
            <v>Porcupine</v>
          </cell>
        </row>
        <row r="74">
          <cell r="A74" t="str">
            <v>Potter</v>
          </cell>
        </row>
        <row r="75">
          <cell r="A75" t="str">
            <v>Puddin</v>
          </cell>
        </row>
        <row r="76">
          <cell r="A76" t="str">
            <v>Pyramid</v>
          </cell>
        </row>
        <row r="77">
          <cell r="A77" t="str">
            <v>Quartz</v>
          </cell>
        </row>
        <row r="78">
          <cell r="A78" t="str">
            <v>Rail Ridge</v>
          </cell>
        </row>
        <row r="79">
          <cell r="A79" t="str">
            <v>Red</v>
          </cell>
        </row>
        <row r="80">
          <cell r="A80" t="str">
            <v>Ritter</v>
          </cell>
        </row>
        <row r="81">
          <cell r="A81" t="str">
            <v>Round Mountain</v>
          </cell>
        </row>
        <row r="82">
          <cell r="A82" t="str">
            <v>Sage Hen</v>
          </cell>
        </row>
        <row r="83">
          <cell r="A83" t="str">
            <v>Salt Creek</v>
          </cell>
        </row>
        <row r="84">
          <cell r="A84" t="str">
            <v>Sand</v>
          </cell>
        </row>
        <row r="85">
          <cell r="A85" t="str">
            <v>Sandstone</v>
          </cell>
        </row>
        <row r="86">
          <cell r="A86" t="str">
            <v>Shoe Fly</v>
          </cell>
        </row>
        <row r="87">
          <cell r="A87" t="str">
            <v>Slate</v>
          </cell>
        </row>
        <row r="88">
          <cell r="A88" t="str">
            <v>Soldier Creek</v>
          </cell>
        </row>
        <row r="89">
          <cell r="A89" t="str">
            <v>Solomon</v>
          </cell>
        </row>
        <row r="90">
          <cell r="A90" t="str">
            <v>Snake</v>
          </cell>
        </row>
        <row r="91">
          <cell r="A91" t="str">
            <v>Telephone</v>
          </cell>
        </row>
        <row r="92">
          <cell r="A92" t="str">
            <v>Tire Mountain</v>
          </cell>
        </row>
        <row r="93">
          <cell r="A93" t="str">
            <v>Town Gulch</v>
          </cell>
        </row>
        <row r="94">
          <cell r="A94" t="str">
            <v>Thompson</v>
          </cell>
        </row>
        <row r="95">
          <cell r="A95" t="str">
            <v>Trail</v>
          </cell>
        </row>
        <row r="96">
          <cell r="A96" t="str">
            <v>Tucker</v>
          </cell>
        </row>
        <row r="97">
          <cell r="A97" t="str">
            <v>Twin Springs</v>
          </cell>
        </row>
        <row r="98">
          <cell r="A98" t="str">
            <v>Two Cabin</v>
          </cell>
        </row>
        <row r="99">
          <cell r="A99" t="str">
            <v>Upper Applegate</v>
          </cell>
        </row>
        <row r="100">
          <cell r="A100" t="str">
            <v>Upper Pine</v>
          </cell>
        </row>
        <row r="101">
          <cell r="A101" t="str">
            <v>Warner Peak</v>
          </cell>
        </row>
        <row r="102">
          <cell r="A102" t="str">
            <v>Whisky Creek</v>
          </cell>
        </row>
        <row r="103">
          <cell r="A103" t="str">
            <v>Whiskey Mountain</v>
          </cell>
        </row>
        <row r="104">
          <cell r="A104" t="str">
            <v>Wickiup</v>
          </cell>
        </row>
        <row r="105">
          <cell r="A105" t="str">
            <v>Wiley Flat</v>
          </cell>
        </row>
        <row r="106">
          <cell r="A106" t="str">
            <v>Willamette Complex-South</v>
          </cell>
        </row>
        <row r="107">
          <cell r="A107" t="str">
            <v>Winding Waters Complex</v>
          </cell>
        </row>
      </sheetData>
      <sheetData sheetId="1"/>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att Ramage" refreshedDate="46230.650427893517" createdVersion="8" refreshedVersion="8" minRefreshableVersion="3" recordCount="447" xr:uid="{F7F4F4CD-8BA2-4463-8E9F-161F09732389}">
  <cacheSource type="worksheet">
    <worksheetSource name="fires"/>
  </cacheSource>
  <cacheFields count="20">
    <cacheField name="Year" numFmtId="0">
      <sharedItems containsString="0" containsBlank="1" containsNumber="1" containsInteger="1" minValue="2020" maxValue="2026" count="8">
        <n v="2020"/>
        <n v="2021"/>
        <n v="2022"/>
        <n v="2023"/>
        <n v="2024"/>
        <n v="2025"/>
        <n v="2026"/>
        <m/>
      </sharedItems>
    </cacheField>
    <cacheField name="Name" numFmtId="0">
      <sharedItems containsBlank="1" count="386">
        <s v="Lionshead               "/>
        <s v="Beachie                 "/>
        <s v="Holiday Farm            "/>
        <s v="Illinois Valley Support "/>
        <s v="Riverside (ODF)         "/>
        <s v="Archie Creek/ Star Mtn  "/>
        <s v="Brattain 406            "/>
        <s v="S. Obenchain            "/>
        <s v="White River             "/>
        <s v="Two Four Two 404        "/>
        <s v="East Fork Butter Creek  "/>
        <s v="GREEN RIDGE 0684        "/>
        <s v="Baldy                   "/>
        <s v="Almeda                  "/>
        <s v="Crane 345               "/>
        <s v="Echo Mountain           "/>
        <s v="Dowty Rd                "/>
        <s v="Laurel                  "/>
        <s v="Ben Young 196           "/>
        <s v="Mosier Creek            "/>
        <s v="Teller Flats 0281 OD    "/>
        <s v="Worthington             "/>
        <s v="Steet Mountain          "/>
        <s v="Ritter                  "/>
        <s v="Wilhoit                 "/>
        <s v="Unger Rd                "/>
        <s v="French Creek            "/>
        <s v="Grizzly Creek           "/>
        <s v="North Bank Lane MM8     "/>
        <s v="Fir Mountain            "/>
        <s v="Sweet Creek MP 2        "/>
        <s v="Pike Road               "/>
        <s v="Dry Gulch               "/>
        <s v="Kimberling Mt           "/>
        <s v="Buckhorn Creek          "/>
        <s v="Horse                   "/>
        <s v="Haystack                "/>
        <s v="War Canyon              "/>
        <s v="Greenway MM 24.2        "/>
        <s v="Sevenmile               "/>
        <s v="Big Meadows 21343       "/>
        <s v="Black Butte 21300       "/>
        <s v="Bologna 21165           "/>
        <s v="Bootleg 321             "/>
        <s v="Bull Springs 0041       "/>
        <s v="Chaos-Rough Patch CMPLX "/>
        <s v="Cole Canyon 21307       "/>
        <s v="Cottonwod Creek 21279   "/>
        <s v="Cougar Peak 452         "/>
        <s v="Darlene 0572            "/>
        <s v="Devils Knob Complex"/>
        <s v="Darlene Fire            "/>
        <s v="Dixie Creek 21187       "/>
        <s v="Elbow Creek             "/>
        <s v="Game Hog Creek Fire     "/>
        <s v="Grandview 0558          "/>
        <s v="Hamlin                  "/>
        <s v="Ike Butte               "/>
        <s v="Joseph Canyon           "/>
        <s v="Lewis Rock 21130        "/>
        <s v="Log 329                 "/>
        <s v="Marshall's Place        "/>
        <s v="Mehl Creek              "/>
        <s v="Mule Cr.                "/>
        <s v="O'Shea Cr.              "/>
        <s v="Patten Meadow 419       "/>
        <s v="Ponina 132              "/>
        <s v="Poole Cr.               "/>
        <s v="S-503 Fire 0026         "/>
        <s v="Sycan River 179         "/>
        <s v="Wise                    "/>
        <s v="Jack"/>
        <s v="Rouigh Patch Complex"/>
        <s v="Double Creek            "/>
        <s v="Rum Creek               "/>
        <s v="Van Meter 351           "/>
        <s v="Fly Creek 0487 CS       "/>
        <s v="Brown Mtn               "/>
        <s v="98 Delta                "/>
        <s v="West Campbell           "/>
        <s v="Saddle Hollow           "/>
        <s v="Cedar Creek"/>
        <s v="Sturgill"/>
        <s v="Stewart Creek           "/>
        <s v="7K                      "/>
        <s v="Oak Flat                "/>
        <s v="Haight Creek            "/>
        <s v="Bedrock                 "/>
        <s v="Golden                  "/>
        <s v="Jones Butte             "/>
        <s v="Grossman                "/>
        <s v="Priceboro               "/>
        <s v="Wiley                   "/>
        <s v="Juniper Creek 0703 OD   "/>
        <s v="Smith River Complex     "/>
        <s v="Anvil                   "/>
        <s v="Horse Creek             "/>
        <s v="WINSLOW ROAD 1300       "/>
        <s v="Cougar Cr #1            "/>
        <s v="Big Tom                 "/>
        <s v="Lookout Fire            "/>
        <s v="Bachelor Complex"/>
        <s v="Homestead Complex"/>
        <s v="Badlands Complex"/>
        <s v="Battle Mtn Complex"/>
        <s v="Buck Creek"/>
        <s v="Cat Rock"/>
        <s v="Copperfield"/>
        <s v="Cow Valley"/>
        <s v="Crazy Creek"/>
        <s v="Devils Knob"/>
        <s v="Dixon"/>
        <s v="Durkee"/>
        <s v="Elk Lane"/>
        <s v="Falls"/>
        <s v="Firestone"/>
        <s v="Knot"/>
        <s v="Larch Creek"/>
        <s v="Lone Rock"/>
        <s v="Oak Canyon"/>
        <s v="Rail Ridge"/>
        <s v="Town Gulch"/>
        <s v="Wiley Flat"/>
        <s v="Winding Waters Complex"/>
        <s v="Bennett"/>
        <s v="Benson Creek"/>
        <s v="Bingham"/>
        <s v="Bottom Creek"/>
        <s v="Boulder Creek"/>
        <s v="Bowden"/>
        <s v="Bowman Well"/>
        <s v="Butterfly Gulch"/>
        <s v="Camp Creek"/>
        <s v="Cliff Mountain"/>
        <s v="Courtrock"/>
        <s v="Deer Creek"/>
        <s v="Diamond Complex"/>
        <s v="Double Snag"/>
        <s v="Durgan"/>
        <s v="Flat Top"/>
        <s v="Fossil Complex"/>
        <s v="Gilespie Spring"/>
        <s v="Gold"/>
        <s v="Grasshopper"/>
        <s v="Hole in the Ground"/>
        <s v="Jack Canyon Mutual Aid"/>
        <s v="Jackpine"/>
        <s v="Jones"/>
        <s v="Lane 1"/>
        <s v="Little Yamsay"/>
        <s v="Microwave Tower"/>
        <s v="Middle Fork"/>
        <s v="Milepost 98"/>
        <s v="Ore"/>
        <s v="Parasol"/>
        <s v="Pine"/>
        <s v="Poison Creek"/>
        <s v="Porcupine"/>
        <s v="Red"/>
        <s v="Ritter"/>
        <s v="Round Mountain"/>
        <s v="Sage Hen"/>
        <s v="Sand "/>
        <s v="Sandstone"/>
        <s v="Shoe Fly"/>
        <s v="Soldier Creek"/>
        <s v="Solomon"/>
        <s v="South Pasture"/>
        <s v="Telephone"/>
        <s v="Trout Creek"/>
        <s v="Twin Springs"/>
        <s v="Upper Applegate"/>
        <s v="Warner Peak"/>
        <s v="Whiskey  "/>
        <s v="Whiskey Mountain"/>
        <s v="Whisky Creek"/>
        <s v="Wickiup"/>
        <s v="Willamette Complex"/>
        <s v="Young Grasshopper"/>
        <s v="Butte Creek"/>
        <s v="Euston"/>
        <s v="Sunny Side"/>
        <s v="Rye"/>
        <s v="Rowena"/>
        <s v="0239 NE"/>
        <s v="Ferry"/>
        <s v="Alder Springs"/>
        <s v="Wolf Hollow"/>
        <s v="Rice Road"/>
        <s v="Black Canyon"/>
        <s v="Grizzly Flat"/>
        <s v="Cold Springs"/>
        <s v="UCD"/>
        <s v="Grizzly Complex"/>
        <s v="Sunrise"/>
        <s v="Neil Creek Rd - in complex"/>
        <s v="Elk"/>
        <s v="Long Point"/>
        <s v="Willow"/>
        <s v="Turner Rd"/>
        <s v="Heppsie"/>
        <s v="Schmore"/>
        <s v="Coyote"/>
        <s v="Cram"/>
        <s v="Highland"/>
        <s v="Hagelstein"/>
        <s v="Daybreak"/>
        <s v="Mutual Aid 231"/>
        <s v="Board Shanty"/>
        <s v="Black Hills"/>
        <s v="Greeley Heights"/>
        <s v="Little John"/>
        <s v="Lost Tom"/>
        <s v="Rock Creek"/>
        <s v="Lake Creek "/>
        <s v="Aubrey Mountain"/>
        <s v="Steel Road"/>
        <s v="Duff Fire"/>
        <s v="Hooker Creek"/>
        <s v="Scharen Rd"/>
        <s v="Flat"/>
        <s v="Emigrant"/>
        <s v="McDonald"/>
        <s v="Butte"/>
        <s v="Juniper Canyon"/>
        <s v="Pickens"/>
        <s v="Dads Creek"/>
        <s v="Marks Creek"/>
        <s v="Stone"/>
        <s v="Marley"/>
        <s v="Bridge"/>
        <s v="Black Rock"/>
        <s v="Moon Complex"/>
        <s v="Kelsey Peak"/>
        <s v="Coombs Canyon"/>
        <s v="Deep Creek"/>
        <s v="McCormach"/>
        <s v="Foley Ridge"/>
        <s v="McNamee"/>
        <s v="Knob Point"/>
        <s v="0231 Zen"/>
        <s v="0366 Cedar"/>
        <s v="0380 Antelope Creek"/>
        <s v="0384 Coyner"/>
        <s v="0494 Akawa Butte"/>
        <s v="0496 Crooked"/>
        <s v="0497 Henry"/>
        <s v="0500 Coyote"/>
        <s v="0579 Ten Mile"/>
        <s v="0586"/>
        <s v="0587 Shingle"/>
        <s v="0611"/>
        <s v="2680 Diamond Craters"/>
        <s v="518 Sully"/>
        <s v="8 Mile"/>
        <s v="Airport"/>
        <s v="Anthony"/>
        <s v="Bald Mountain"/>
        <s v="Beachcomb"/>
        <s v="Bench"/>
        <s v="Big Grass"/>
        <s v="Blackwell Rd"/>
        <s v="Bob Creek"/>
        <s v="Bologna"/>
        <s v="Brewer"/>
        <s v="Burnt Creek"/>
        <s v="Butterfield Spring"/>
        <s v="Cable Creek"/>
        <s v="Castle"/>
        <s v="Colman Creek"/>
        <s v="County level = no named fire"/>
        <s v="Cow Camp Complex"/>
        <s v="Crowley"/>
        <s v="E Evans Creek Rd"/>
        <s v="Egypt"/>
        <s v="Fox"/>
        <s v="Frontage"/>
        <s v="Hagen"/>
        <s v="Hat"/>
        <s v="Hay Creek Complex"/>
        <s v="Hilt"/>
        <s v="Hoop"/>
        <s v="Horse Ridge"/>
        <s v="INC 302"/>
        <s v="Jackass Butte"/>
        <s v="Loveless"/>
        <s v="Lower Dry Creek Mutual Aid"/>
        <s v="Lytle"/>
        <s v="North Cayuse"/>
        <s v="Old Emigrant"/>
        <s v="Olive Butte"/>
        <s v="Pine Mountain"/>
        <s v="Powder River"/>
        <s v="0246 Rhea"/>
        <s v="Riverview "/>
        <s v="Rowe Creek Complex"/>
        <s v="Salmon"/>
        <s v="Second Flat"/>
        <s v="Stubble"/>
        <s v="Upper Applegate Rd"/>
        <s v="Whiskey"/>
        <m/>
        <s v="Antelope Creek" u="1"/>
        <s v="Cedar" u="1"/>
        <s v="Coyner" u="1"/>
        <s v="0512 Box Springs" u="1"/>
        <s v="0567" u="1"/>
        <s v="Rhea" u="1"/>
        <s v="Zen" u="1"/>
        <s v="0477 Pilot" u="1"/>
        <s v="0444 Twickingham (&gt; Crosswhite)" u="1"/>
        <s v="Boardman" u="1"/>
        <s v="0445 Crosswhite" u="1"/>
        <s v="0446 Camel Hump" u="1"/>
        <s v="Clover" u="1"/>
        <s v="0449 Porcupine Ridge" u="1"/>
        <s v="0450 Cove Creek" u="1"/>
        <s v="0460 Hopkin" u="1"/>
        <s v="0476 Hoag" u="1"/>
        <s v="0480 Wilcox" u="1"/>
        <s v="0485 Deep Canyon" u="1"/>
        <s v="0489 Parrish" u="1"/>
        <s v="Miller Creek" u="1"/>
        <s v="MM 85" u="1"/>
        <s v="Bradley Flats" u="1"/>
        <s v="Reith Road" u="1"/>
        <s v="Riddle" u="1"/>
        <s v="Skull Creek North" u="1"/>
        <s v="0456 Hay Creek" u="1"/>
        <s v="0462" u="1"/>
        <s v="Akawa Butte" u="1"/>
        <s v="Camel Hump" u="1"/>
        <s v="Cove Creek" u="1"/>
        <s v="Coyote 0500" u="1"/>
        <s v="Crosswhite 0445" u="1"/>
        <s v="Deep Canyon 0485" u="1"/>
        <s v="Evans Creek Rd" u="1"/>
        <s v="Henry 0497" u="1"/>
        <s v="Hoag 0476" u="1"/>
        <s v="Hopkin" u="1"/>
        <s v="Paradise" u="1"/>
        <s v="Parrish 0489" u="1"/>
        <s v="Pilot 0477" u="1"/>
        <s v="Porcupine Ridge" u="1"/>
        <s v="Redrock 0442" u="1"/>
        <s v="Stone Creek" u="1"/>
        <s v="Twickingham (&gt; Crosswhite)" u="1"/>
        <s v="Wilcox 0480" u="1"/>
        <s v="0475" u="1"/>
        <s v="Twickingham (&gt; Crosswhitte)" u="1"/>
        <s v="Crosswhite" u="1"/>
        <s v="Redrock" u="1"/>
        <s v="Wilcox" u="1"/>
        <s v="Pilot" u="1"/>
        <s v="Henry" u="1"/>
        <s v="Deep Canyon" u="1"/>
        <s v="Hoag" u="1"/>
        <s v="Parrish" u="1"/>
        <s v="Twickingham" u="1"/>
        <s v="Skull Creek" u="1"/>
        <s v="0383" u="1"/>
        <s v="W Jones Creek RD" u="1"/>
        <s v="unnamed" u="1"/>
        <s v="Schren Rd" u="1"/>
        <s v="Neil Creek Rd" u="1"/>
        <s v="Latagwa" u="1"/>
        <s v="Latagwa Complex" u="1"/>
        <s v="Latgawa / Swamp" u="1"/>
        <s v="Jim Creek" u="1"/>
        <s v="Latgawa" u="1"/>
        <s v="Jim Creek / 4 Corners" u="1"/>
        <s v="Unnamed incident" u="1"/>
        <s v="UCD Fire" u="1"/>
        <s v="RV Sunrise" u="1"/>
        <s v="Barber Lane" u="1"/>
        <s v="Unnamed Mosier fire" u="1"/>
        <s v="Mosier" u="1"/>
        <s v="5/28/2025 test" u="1"/>
        <s v="5/28/2025 #2" u="1"/>
        <s v="test" u="1"/>
        <s v="Miller Road 0659        " u="1"/>
        <s v="MP 97                   " u="1"/>
        <s v="Ward 243                " u="1"/>
        <s v="Thatch                  " u="1"/>
        <s v="East Evans              " u="1"/>
        <s v="none" u="1"/>
      </sharedItems>
    </cacheField>
    <cacheField name="County" numFmtId="0">
      <sharedItems containsBlank="1" count="33">
        <s v="Marion"/>
        <s v="Lane"/>
        <s v="Yamhill"/>
        <s v="Clackamas"/>
        <s v="Douglas"/>
        <s v="Lake"/>
        <s v="Jackson"/>
        <s v="Wasco"/>
        <s v="Klamath"/>
        <s v="Umatilla"/>
        <s v="Jefferson"/>
        <s v="Malheur"/>
        <s v="Lincoln"/>
        <s v="Wheeler"/>
        <s v="Crook"/>
        <s v="Grant"/>
        <s v="Coos"/>
        <s v="Hood River"/>
        <s v="Tillamook"/>
        <s v="Baker"/>
        <s v="Harney"/>
        <s v="Deschutes"/>
        <s v="Wallowa"/>
        <s v="Josephine"/>
        <s v="Clatsop"/>
        <s v="Curry"/>
        <s v="Union"/>
        <s v="Linn"/>
        <s v="Gilliam"/>
        <s v="Sherman"/>
        <s v="Morrow"/>
        <m/>
        <e v="#N/A" u="1"/>
      </sharedItems>
    </cacheField>
    <cacheField name="Size" numFmtId="0">
      <sharedItems containsString="0" containsBlank="1" containsNumber="1" minValue="0" maxValue="413765"/>
    </cacheField>
    <cacheField name="Containment" numFmtId="0">
      <sharedItems containsString="0" containsBlank="1" containsNumber="1" minValue="0" maxValue="33" count="96">
        <n v="1"/>
        <n v="0.97"/>
        <n v="0.9"/>
        <n v="0.95"/>
        <n v="0.1"/>
        <n v="0.42"/>
        <n v="0.8"/>
        <n v="0.05"/>
        <n v="0.35"/>
        <n v="0.56999999999999995"/>
        <n v="0.77"/>
        <n v="0"/>
        <n v="10"/>
        <n v="0.89"/>
        <n v="0.01"/>
        <n v="0.44"/>
        <m/>
        <n v="0.66"/>
        <n v="0.6"/>
        <n v="0.3"/>
        <n v="0.96"/>
        <n v="0.84"/>
        <n v="0.31"/>
        <n v="0.88" u="1"/>
        <n v="0.18" u="1"/>
        <n v="0.47" u="1"/>
        <n v="0.86" u="1"/>
        <n v="0.2" u="1"/>
        <n v="0.08" u="1"/>
        <n v="0.99" u="1"/>
        <n v="0.38" u="1"/>
        <n v="0.68" u="1"/>
        <n v="0.41" u="1"/>
        <n v="0.03" u="1"/>
        <n v="0.25" u="1"/>
        <n v="0.85" u="1"/>
        <n v="0.52" u="1"/>
        <n v="0.75" u="1"/>
        <n v="0.33" u="1"/>
        <n v="0.39" u="1"/>
        <n v="0.76" u="1"/>
        <n v="0.24" u="1"/>
        <n v="0.26" u="1"/>
        <n v="0.4" u="1"/>
        <n v="33" u="1"/>
        <n v="0.21" u="1"/>
        <n v="0.67" u="1"/>
        <n v="0.7" u="1"/>
        <n v="0.15" u="1"/>
        <n v="0.17" u="1"/>
        <n v="0.27" u="1"/>
        <n v="0.5" u="1"/>
        <n v="0.94" u="1"/>
        <n v="0.06" u="1"/>
        <n v="0.93" u="1"/>
        <n v="0.92" u="1"/>
        <n v="0.91" u="1"/>
        <n v="0.12" u="1"/>
        <n v="0.09" u="1"/>
        <n v="0.37" u="1"/>
        <n v="0.72" u="1"/>
        <n v="0.62" u="1"/>
        <n v="0.34" u="1"/>
        <n v="0.81" u="1"/>
        <n v="0.32" u="1"/>
        <n v="0.16" u="1"/>
        <n v="0.79" u="1"/>
        <n v="0.14000000000000001" u="1"/>
        <n v="0.74" u="1"/>
        <n v="0.64" u="1"/>
        <n v="0.51" u="1"/>
        <n v="0.57999999999999996" u="1"/>
        <n v="0.49" u="1"/>
        <n v="0.56000000000000005" u="1"/>
        <n v="0.46" u="1"/>
        <n v="0.36" u="1"/>
        <n v="0.98" u="1"/>
        <n v="0.04" u="1"/>
        <n v="0.23" u="1"/>
        <n v="0.59" u="1"/>
        <n v="0.02" u="1"/>
        <n v="0.28999999999999998" u="1"/>
        <n v="0.65" u="1"/>
        <n v="0.13" u="1"/>
        <n v="7.0000000000000007E-2" u="1"/>
        <n v="0.55000000000000004" u="1"/>
        <n v="0.45" u="1"/>
        <n v="0.87" u="1"/>
        <n v="0.73" u="1"/>
        <n v="0.22" u="1"/>
        <n v="0.82" u="1"/>
        <n v="0.53" u="1"/>
        <n v="0.78" u="1"/>
        <n v="0.43" u="1"/>
        <n v="0.63" u="1"/>
        <n v="0.54" u="1"/>
      </sharedItems>
    </cacheField>
    <cacheField name="Location" numFmtId="0">
      <sharedItems containsBlank="1" count="371">
        <s v=" "/>
        <s v="6.6 Miles N of Detroit        "/>
        <s v="3 miles west of McKenzie Bridg"/>
        <s v="O'Brien                       "/>
        <s v="22 Miles SE of Estacada       "/>
        <s v="Brattain Butte                "/>
        <s v="6.65 miles East of Eagle Point"/>
        <s v="18 Miles West of Maupin       "/>
        <s v="Collier State Park            "/>
        <s v="East Fork Butter Creek        "/>
        <s v="10 MILES NORTH OF SISTERS     "/>
        <s v="Ashland Creek                 "/>
        <s v="Crane Mountain                "/>
        <s v="6.04 miles NE of Lincoln City "/>
        <s v="Near Eagle Creek"/>
        <s v="Round Mountain                "/>
        <s v="2 Miles SE of Mosier          "/>
        <s v="20 miles North of Prineville  "/>
        <s v="5.39 miles Northeast of Eagle "/>
        <s v="5.7 miles NE of Monument      "/>
        <s v="7.1 Mi. North of Long Creek   "/>
        <s v="Wilhoit Rd                    "/>
        <s v="2.5 Mi NE of Colton           "/>
        <s v="16.32 miles East of Ashland   "/>
        <s v="5 E Bandon                    "/>
        <s v="8 Miles SW of Mosier          "/>
        <s v="Mapleton Landing County Park, "/>
        <s v="2 miles E Bay City            "/>
        <s v="9.34 miles E of Lincoln City  "/>
        <s v="12.2 miles NW of Dayville     "/>
        <s v="Horse Ridge                   "/>
        <s v="4.4 miles N.E. spray          "/>
        <s v="4.3 miles E of Long Creek     "/>
        <s v="Bear Creek                    "/>
        <s v="5 Miles SE of Mosier          "/>
        <s v="26.4 miles west of Hines      "/>
        <s v="9 Miles E. of Spray           "/>
        <s v="Fuego Mountain                "/>
        <s v="3 miles West of Bend          "/>
        <s v="23 miles NW of Glide          "/>
        <s v="6.9 miles NE of Monument      "/>
        <s v="Cottonwood Creek              "/>
        <s v="Grizzly Mountain              "/>
        <m/>
        <s v="Darlene 0572                  "/>
        <s v="Faiman Springs                "/>
        <s v="Elk Creek                     "/>
        <s v="Geneva                        "/>
        <s v="Tiller                        "/>
        <s v="9.51 miles Southwest of Tiller"/>
        <s v="34 miles north of Enterprise  "/>
        <s v="4.7 Miles S of Mitchell       "/>
        <s v="Log Spring                    "/>
        <s v="4.73 miles North of Tiller    "/>
        <s v="Elkton                        "/>
        <s v="3.24 miles East of Canyonville"/>
        <s v="Patten Meadow                 "/>
        <s v="8 mi NE of the town of Beatty "/>
        <s v="8.35 miles West of Tiller     "/>
        <s v="20 Miles West of Maupin       "/>
        <s v="Bob Flat                      "/>
        <s v="Inmaha                        "/>
        <s v="12.35 miles Southwest of Glend"/>
        <s v="Stukel Mountain               "/>
        <s v="Jct of 1170 &amp; Montgomery Rd   "/>
        <s v="Hinkle Creek                  "/>
        <s v="West Green Mountain           "/>
        <s v="Western Heights               "/>
        <s v="Meacham Creek                 "/>
        <s v="Stewart Creek                 "/>
        <s v="11.53 Miles SW of Veneta      "/>
        <s v="2 S Agness                    "/>
        <s v="Haight Creek Park             "/>
        <s v="Bedrock Campground            "/>
        <s v="Bonanza                       "/>
        <s v="2 miles NW Elgin              "/>
        <s v="7 Mi SE of Harrisburg         "/>
        <s v="2 Mi SW of Cascadia           "/>
        <s v="SW Graham RD                  "/>
        <s v="Hwy 199                       "/>
        <s v="Castle Rock                   "/>
        <s v="Lookout Mt                    "/>
        <s v="20 miles SW of Bend"/>
        <s v="30 miles NE of Glide"/>
        <s v="4 miles SE and SW of Richland"/>
        <s v="W of Ukiah"/>
        <s v="30 miles SW of Silver Lake"/>
        <s v="7 miles N of Prineville"/>
        <s v="5 miles SE of Chiloquin"/>
        <s v="9 miles E of Ironside"/>
        <s v="16 miles N of Paulina"/>
        <s v="5 miles SE of Tiller"/>
        <s v="1 mile E of Tiller"/>
        <s v="1 miles W of Durkee,"/>
        <s v="6 miles W or Madras"/>
        <s v="20 miles N of Riley"/>
        <s v="21 miles N of Fort Rock"/>
        <s v="3.5 miles WSW of Sprague River"/>
        <s v="5 miles SW of Dufer"/>
        <s v="10 miles SE of Condon"/>
        <s v="10 miles N of Maupin"/>
        <s v="32 miles S of Dayville"/>
        <s v="8 miles N or Richland"/>
        <s v="10 miles SE of Post"/>
        <s v="9 miles NW of Cornucopia"/>
        <s v="3 miles NE of Antelope"/>
        <s v="3 miles SW of Huntington"/>
        <s v="2 miles E of Marion Forks"/>
        <s v="24 miles East of Coos Bay"/>
        <s v="24 miles NE of Baker City"/>
        <s v="19 miles SE of Rome"/>
        <s v="In town of Christmas Valley"/>
        <s v="8 miles NW of Ontario"/>
        <s v="10 miles WSW of Paulina"/>
        <s v="23 miles SW of Juntura"/>
        <s v="25 miles E of Joseph"/>
        <s v="7 miles S of Monument"/>
        <s v="18 miles SW of Adrian"/>
        <s v="8 miles W of Diamond Lake"/>
        <s v="15 miles SE of Ukiah"/>
        <s v="8 miles NW of Paulina"/>
        <s v="10 miles N of Fort Rock"/>
        <s v="10 miles E of Fossil"/>
        <s v="30 miles NW of Jordan"/>
        <s v="13 miles E Juntura"/>
        <s v="7 miles NE of Juntura"/>
        <s v="24 miles W of Jordan Valley"/>
        <s v="4 miles SW of Pilot Rock"/>
        <s v="3 miles SW of La Pine"/>
        <s v="10 miles E of Juntura"/>
        <s v="15 miles SE of Springfield"/>
        <s v="25 miles SE of Chemult"/>
        <s v="5 miles WSW of Mosier"/>
        <s v="23 miles NE of Prospect"/>
        <s v="North of Bend"/>
        <s v="7 miles NE of Blue River"/>
        <s v="5 miles E of Seneca"/>
        <s v="24 miles SE of Bend"/>
        <s v="10 miles SE of Seneca"/>
        <s v="35 miles SE of Burns"/>
        <s v="5 miles West of Crescent Lake Junction"/>
        <s v="NE of Crane"/>
        <s v="12 miles NW of La Pine"/>
        <s v="18 miles E of Riley"/>
        <s v="5 miles SE of Izee"/>
        <s v="9 miles SW of Ripplebrook"/>
        <s v="6 miles NE of Mitchell"/>
        <s v="18 miles SW of Jordan Valley"/>
        <s v="3 miles SE of Frenchglen"/>
        <s v="20 miles NNE of Silver Lake"/>
        <s v="16 miles NE of Burns"/>
        <s v="13 miles N of Madras"/>
        <s v="32 miles SW of Vale"/>
        <s v="4 miles S of Ruch"/>
        <s v="3 miles E of Plush"/>
        <s v="16 miles NE of John Day"/>
        <s v="30 miles NW of Burns"/>
        <s v="6 miles SE of Cascade Locks"/>
        <s v="8 miles W of La Pine"/>
        <s v="North and south of Oakridge"/>
        <s v="5 miles SW of Cascade Summit"/>
        <s v="9 miles N of Clarno, OR"/>
        <s v="North of Redmond"/>
        <s v="5 miles N of Warm Springs, OR"/>
        <s v="3 miles N of Lima. OR"/>
        <s v="2.5 miles NW of The Dalles, OR"/>
        <s v="S of La Pine, OR"/>
        <s v="11 miles E of Moro, OR"/>
        <s v="8 miles NW of Terrebonne, OR"/>
        <s v="11 miles NE on Condon, OR"/>
        <s v="2 miles S of Ruch, OR"/>
        <s v="near Mapleton, OR"/>
        <s v="15 miles E of Plush, OR"/>
        <s v="12 miles NE of Prineville, OR"/>
        <s v="12 miles NE of Hermiston"/>
        <s v="Trout, OR"/>
        <s v="SW of Dufur, OR"/>
        <s v="1 mile SW of Warm Springs, OR"/>
        <s v="23 miles W of Ashland, OR"/>
        <s v="8 miles S of Paulina, OR"/>
        <s v="25 miles SW of Medford, OR"/>
        <s v="7 miles SW of Beatty, OR"/>
        <s v="8 miles E of Spray, OR"/>
        <s v="20 miles S of Paulina, OR"/>
        <s v="Turner Rd / Gath Rd Salem, OR"/>
        <s v="SE of Lakecreek, OR"/>
        <s v="8 miles NW of Bonanza, OR"/>
        <s v="19 miles S of Jordan Valley, OR"/>
        <s v="15 miles N of Madras, OR"/>
        <s v=" 1 mile S of Prineville, OR"/>
        <s v="13 miles N of Klamath Falls, OR"/>
        <s v="12 miles N of Huntington, OR"/>
        <s v="7 miles SW of Touchet, WA"/>
        <s v="5 miles S of Grants Pass, OR"/>
        <s v="46 miles SW of Jordan Valley, OR"/>
        <s v="5 miles SE of Simnasho, OR"/>
        <s v="1 mile SE of Warm Springs, OR"/>
        <s v="8 miles W of Arock, OR"/>
        <s v="3 miles SW of Huntington, OR"/>
        <s v=" 12 miles SW of Jordan Valley, OR"/>
        <s v="9 miles SE of Pilot Rock, OR"/>
        <s v="E of Oakridge, OR"/>
        <s v="SE of The Dalles, OR"/>
        <s v="16 Miles E of Pendleton, OR"/>
        <s v="6 miles NE of Jordan Valley, OR"/>
        <s v="S of Springfield, OR"/>
        <s v="7 miles W of Culver, OR"/>
        <s v="23 miles SE of Oakridge, OR"/>
        <s v="7 miles S of Ashland, OR"/>
        <s v="17 miles S of Rome, OR"/>
        <s v="12 miles NE of Hermiston, OR"/>
        <s v="E of Veneta, OR"/>
        <s v=" 5 miles W of Glendale, OR"/>
        <s v="21 miles NE of Prineville, OR"/>
        <s v="9 miles NW of Long Creek, OR"/>
        <s v="S of Camp Elkanah, OR"/>
        <s v="10 miles NE of Prairie City, OR"/>
        <s v="3.5 miles N of Clarno, OR"/>
        <s v="10 miles SW of Agness, OR"/>
        <s v="14 miles W of Glendale, OR"/>
        <s v="7 miles SW of Pendleton, OR"/>
        <s v="7 miles SE of Maupin, OR"/>
        <s v="14 miles NW of Hermiston, OR"/>
        <s v="7 miles SE of McKenzie Bridge, OR"/>
        <s v="7 miles S of Antelope, OR"/>
        <s v="17 miles SE of Astoria, OR"/>
        <s v="5 miles S of Clarno, OR"/>
        <s v="7 miles S of Arlington, OR"/>
        <s v="1 mile N of Shaniko"/>
        <s v="N of Redmond"/>
        <s v="12 miles NW of Terrebone, OR"/>
        <s v="9 miles S of Paulina, OR"/>
        <s v="5 miles S of Paulina Guard Station, OR"/>
        <s v="5 mile E of Coyote Butte, OR"/>
        <s v="2 miles NE of Gateway, OR"/>
        <s v="6 miles NE of Gateway, OR"/>
        <s v="14 miles SE of Mitchell, OR"/>
        <s v="9 miles NW of Diamond, OR"/>
        <s v="9 miles E of Arlington, OR"/>
        <s v="8 miles W of Dufur, OR"/>
        <s v="3 mile E of Danner, OR"/>
        <s v="5 miles W of Hutchinson, OR"/>
        <s v="10 miles W of Diamond, OR"/>
        <s v="8 miles SW of Wartm Springs, OR"/>
        <s v="9 miles West of Metolius, OR"/>
        <s v="21 miles SE of Rome, OR"/>
        <s v="Tolo, OR"/>
        <s v="2 miles NW of Oxbow, OR"/>
        <s v="4 miles NE of Kimberly, OR"/>
        <s v="12 miles SE of Madras, OR"/>
        <s v="9 miles Se of Lakeview, OR"/>
        <s v="7 miles NW of Ontario, OR"/>
        <s v="Umatilla County"/>
        <s v="11 miles NW of Dunnean, OR"/>
        <s v="9 miles SW of Eagle, OR"/>
        <s v="4 miles E of Crowley, OR"/>
        <s v="14 miles NE of fRogue River, OR"/>
        <s v="13 miles N of Riley, OR"/>
        <s v="3 miles W of Fox, OR"/>
        <s v="1 mile S of Huntington, OR"/>
        <s v="3 miles SW of Bingham Springs, OR"/>
        <s v="9 miles SE of Venator, OR"/>
        <s v="9 miles SE of Eagle, OR"/>
        <s v="Jackson County"/>
        <s v="75 miles S of Burns, OR"/>
        <s v="2 miles SE of Duncan, OR"/>
        <s v="6 miles SE of Kooskooskie, OR"/>
        <s v="15 miles W of Diamond, OR"/>
        <s v="8 miles NE of Sprague River, OR"/>
        <s v="3 miles SW of Milton-Freewater, OR"/>
        <s v="3 miles S of Vale, OR"/>
        <s v="15 miles E of Pendleton"/>
        <s v="34 miles SW of Baker City, OR"/>
        <s v="13 miles W of Brothers, OR"/>
        <s v="14 miles NE of Durkee, OR"/>
        <s v="Gilliam County"/>
        <s v="Near La Pine (Riverview DR)"/>
        <s v="13 miles S of Fossil"/>
        <s v="6 miles NE of Riley, OR"/>
        <s v="17 miles NW of Diamond, OR"/>
        <s v="20 miles SE of Crane, OR"/>
        <s v="6 miles S of Horseheaven, OR" u="1"/>
        <s v="5 miles NE of Shaniko, OR" u="1"/>
        <s v="9 mils S of Paulina, OR" u="1"/>
        <s v="2 mils SE of Duncan, OR" u="1"/>
        <s v="14miles NE of Durkee, OR" u="1"/>
        <s v="13 mils SE of Prineville, OR" u="1"/>
        <s v="16 miles S of Fossil" u="1"/>
        <s v="5 miles west of Echo" u="1"/>
        <s v="4 miles NW of Richmond, OR" u="1"/>
        <s v="Malheur County" u="1"/>
        <s v="8 miles SW of Condon" u="1"/>
        <s v="9 miles SW of Fossil" u="1"/>
        <s v="7 miles N of Condon" u="1"/>
        <s v="15 miles SE of Wasco, OR" u="1"/>
        <s v="9 miles NE of Shaniko, OR" u="1"/>
        <s v="8 miles W of Antelope, OR" u="1"/>
        <s v="4 miles S of Spray, OR" u="1"/>
        <s v="12 miules SE of Nye, OR" u="1"/>
        <s v="10 miles E of Diamon, OR" u="1"/>
        <s v="11 miles N of Fields, OR" u="1"/>
        <s v="10 miles E of Kent, OR" u="1"/>
        <s v="22 miles NE of Pendleton" u="1"/>
        <s v="17 miles SE of Walla Walla, WA" u="1"/>
        <s v="2 miles NW of Twickenham, OR" u="1"/>
        <s v="38 miles NW of Burns, OR" u="1"/>
        <s v="2 mils SE of Spray, OR" u="1"/>
        <s v="NW of Anthony Lake" u="1"/>
        <s v="Malhuer County" u="1"/>
        <s v="Umatilla Cpounty" u="1"/>
        <s v="N of Redmon" u="1"/>
        <s v="Lake County" u="1"/>
        <s v="SW of Ontario, OR" u="1"/>
        <s v="SE of Ontario, OR" u="1"/>
        <s v="Baker County" u="1"/>
        <s v="South of Clarno, OR" u="1"/>
        <s v="Wasco county" u="1"/>
        <s v="South of Millican, OR" u="1"/>
        <s v="W of Tygh Valley, OR" u="1"/>
        <s v=" 5 miles west of Glendale, OR" u="1"/>
        <s v="21 miles northeast of Prineville, OR" u="1"/>
        <s v="9 miles northwest of Long Creek, OR" u="1"/>
        <s v="W of Bates, OR" u="1"/>
        <s v="7 miles SW of Pendleton, O" u="1"/>
        <s v="S on Camp Elkanah, OR" u="1"/>
        <s v="30 miles SE of Walla Walla, WA (in OR)" u="1"/>
        <s v="24 miles NW of Oakridge, Oregon" u="1"/>
        <s v="7 miles W of Culver, O" u="1"/>
        <s v="8 miles east of Spray, OR" u="1"/>
        <s v="20 miles south of Paulina, OR" u="1"/>
        <s v="8 miles northwest of Bonanza, OR" u="1"/>
        <s v="19 miles south of Jordan Valley, OR" u="1"/>
        <s v="15 miles north of Madras, OR" u="1"/>
        <s v=" 1 mile south of Prineville, OR" u="1"/>
        <s v="13 miles north of Klamath Falls, OR" u="1"/>
        <s v="12 miles north of Huntington, OR" u="1"/>
        <s v="7 miles southwest of Touchet, WA" u="1"/>
        <s v="SE of Grants Pass, OR" u="1"/>
        <s v="17  miles SW of Rome, OR" u="1"/>
        <s v="8 miles N of Bonanza, OR" u="1"/>
        <s v="5 miles SE of Lakecreek, OR" u="1"/>
        <s v="S of Ashland, OR" u="1"/>
        <s v="8 miles east pf Spray, OR" u="1"/>
        <s v="5 miles SW of Beatty, OR" u="1"/>
        <s v="% miles SE of Lakecreek, OR" u="1"/>
        <s v="15 miles E of Medford, OR" u="1"/>
        <s v="N of Warm Springs, OR" u="1"/>
        <s v="SW o fDufur, OR" u="1"/>
        <s v="Heart Mt. refuge" u="1"/>
        <s v="S of Grizzly, OR" u="1"/>
        <s v="E of Cold Springs, OR" u="1"/>
        <s v="2 mils S of Ruch, OR" u="1"/>
        <s v="7 miles SE of Clem, OR" u="1"/>
        <s v="SE of Clem, OR" u="1"/>
        <s v="5 miles N of Warm Springs" u="1"/>
        <s v="S of La Pine" u="1"/>
        <s v="NE of Sisters, OR" u="1"/>
        <s v="Near Rowena, OR" u="1"/>
        <s v="1.5 miles S of Cottonwood Canyon State Park" u="1"/>
        <s v="West of Maupin" u="1"/>
        <s v="In Mosier" u="1"/>
        <s v="13 Miles West of Maupin       " u="1"/>
        <s v="1.13 miles Southeast of Canyon" u="1"/>
        <s v="1.5 miles N of Forty One Ranch" u="1"/>
        <s v="3 Miles SE Lostine OR         " u="1"/>
        <s v="9.77 miles West of Shady Cove " u="1"/>
        <s v="Near Vale" u="1"/>
        <s v="Near Paulina" u="1"/>
        <s v="10 mile E of Fossil" u="1"/>
        <s v="16 mils NE of John Day" u="1"/>
        <s v="30 miles NEW of Jordan" u="1"/>
      </sharedItems>
    </cacheField>
    <cacheField name="Level 1" numFmtId="0">
      <sharedItems containsString="0" containsBlank="1" containsNumber="1" containsInteger="1" minValue="0" maxValue="3898"/>
    </cacheField>
    <cacheField name="Level 2" numFmtId="0">
      <sharedItems containsString="0" containsBlank="1" containsNumber="1" containsInteger="1" minValue="0" maxValue="1068"/>
    </cacheField>
    <cacheField name="Level 3" numFmtId="0">
      <sharedItems containsString="0" containsBlank="1" containsNumber="1" containsInteger="1" minValue="0" maxValue="1132"/>
    </cacheField>
    <cacheField name="Res-threat" numFmtId="0">
      <sharedItems containsString="0" containsBlank="1" containsNumber="1" containsInteger="1" minValue="3" maxValue="4812"/>
    </cacheField>
    <cacheField name="Comm-threat" numFmtId="0">
      <sharedItems containsString="0" containsBlank="1" containsNumber="1" containsInteger="1" minValue="44" maxValue="44"/>
    </cacheField>
    <cacheField name="Minor-threat" numFmtId="0">
      <sharedItems containsNonDate="0" containsString="0" containsBlank="1"/>
    </cacheField>
    <cacheField name="Res-des" numFmtId="0">
      <sharedItems containsString="0" containsBlank="1" containsNumber="1" containsInteger="1" minValue="1" maxValue="2194"/>
    </cacheField>
    <cacheField name="Com-des" numFmtId="0">
      <sharedItems containsString="0" containsBlank="1" containsNumber="1" containsInteger="1" minValue="1" maxValue="1"/>
    </cacheField>
    <cacheField name="Minor-des" numFmtId="0">
      <sharedItems containsString="0" containsBlank="1" containsNumber="1" containsInteger="1" minValue="1" maxValue="443"/>
    </cacheField>
    <cacheField name="RV as home" numFmtId="0">
      <sharedItems containsString="0" containsBlank="1" containsNumber="1" containsInteger="1" minValue="11" maxValue="11"/>
    </cacheField>
    <cacheField name="Fatalities" numFmtId="0">
      <sharedItems containsString="0" containsBlank="1" containsNumber="1" containsInteger="1" minValue="1" maxValue="1"/>
    </cacheField>
    <cacheField name="Injuries" numFmtId="0">
      <sharedItems containsString="0" containsBlank="1" containsNumber="1" containsInteger="1" minValue="1" maxValue="2"/>
    </cacheField>
    <cacheField name="Misc" numFmtId="0">
      <sharedItems containsBlank="1" count="3">
        <s v="T"/>
        <s v="TLA"/>
        <m/>
      </sharedItems>
    </cacheField>
    <cacheField name="Status" numFmtId="0">
      <sharedItems containsBlank="1" count="6">
        <s v="Cont"/>
        <s v="PL"/>
        <m/>
        <s v="Large"/>
        <s v="EVAC"/>
        <s v="E/PL" u="1"/>
      </sharedItems>
    </cacheField>
  </cacheFields>
  <extLst>
    <ext xmlns:x14="http://schemas.microsoft.com/office/spreadsheetml/2009/9/main" uri="{725AE2AE-9491-48be-B2B4-4EB974FC3084}">
      <x14:pivotCacheDefinition pivotCacheId="9346247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att Ramage" refreshedDate="46230.650447800923" createdVersion="8" refreshedVersion="8" minRefreshableVersion="3" recordCount="515" xr:uid="{1FEA07E3-D4C7-480F-8E5C-575B5BEB86E3}">
  <cacheSource type="worksheet">
    <worksheetSource ref="A1:E993" sheet="ODEM data"/>
  </cacheSource>
  <cacheFields count="5">
    <cacheField name="Year" numFmtId="0">
      <sharedItems containsString="0" containsBlank="1" containsNumber="1" containsInteger="1" minValue="2020" maxValue="2069" count="51">
        <n v="2024"/>
        <n v="2025"/>
        <n v="2026"/>
        <m/>
        <n v="2027" u="1"/>
        <n v="2028" u="1"/>
        <n v="2029" u="1"/>
        <n v="2030" u="1"/>
        <n v="2031" u="1"/>
        <n v="2032" u="1"/>
        <n v="2033" u="1"/>
        <n v="2034" u="1"/>
        <n v="2035" u="1"/>
        <n v="2036" u="1"/>
        <n v="2037" u="1"/>
        <n v="2038" u="1"/>
        <n v="2039" u="1"/>
        <n v="2040" u="1"/>
        <n v="2041" u="1"/>
        <n v="2042" u="1"/>
        <n v="2043" u="1"/>
        <n v="2044" u="1"/>
        <n v="2045" u="1"/>
        <n v="2046" u="1"/>
        <n v="2047" u="1"/>
        <n v="2048" u="1"/>
        <n v="2049" u="1"/>
        <n v="2050" u="1"/>
        <n v="2051" u="1"/>
        <n v="2052" u="1"/>
        <n v="2053" u="1"/>
        <n v="2054" u="1"/>
        <n v="2055" u="1"/>
        <n v="2056" u="1"/>
        <n v="2057" u="1"/>
        <n v="2058" u="1"/>
        <n v="2059" u="1"/>
        <n v="2060" u="1"/>
        <n v="2061" u="1"/>
        <n v="2062" u="1"/>
        <n v="2063" u="1"/>
        <n v="2064" u="1"/>
        <n v="2065" u="1"/>
        <n v="2066" u="1"/>
        <n v="2067" u="1"/>
        <n v="2068" u="1"/>
        <n v="2069" u="1"/>
        <n v="2020" u="1"/>
        <n v="2021" u="1"/>
        <n v="2022" u="1"/>
        <n v="2023" u="1"/>
      </sharedItems>
    </cacheField>
    <cacheField name="Agency" numFmtId="0">
      <sharedItems containsBlank="1"/>
    </cacheField>
    <cacheField name="ODEM report date" numFmtId="14">
      <sharedItems containsNonDate="0" containsDate="1" containsString="0" containsBlank="1" minDate="2024-06-25T00:00:00" maxDate="2026-07-28T00:00:00" count="510">
        <d v="2024-06-25T00:00:00"/>
        <d v="2024-06-26T00:00:00"/>
        <d v="2024-06-27T00:00:00"/>
        <d v="2024-06-28T00:00:00"/>
        <d v="2024-07-01T00:00:00"/>
        <d v="2024-07-02T00:00:00"/>
        <d v="2024-07-03T00:00:00"/>
        <d v="2024-07-05T00:00:00"/>
        <d v="2024-07-08T00:00:00"/>
        <d v="2024-07-09T00:00:00"/>
        <d v="2024-07-10T00:00:00"/>
        <d v="2024-07-11T00:00:00"/>
        <d v="2024-07-12T00:00:00"/>
        <d v="2024-07-15T00:00:00"/>
        <d v="2024-07-16T00:00:00"/>
        <d v="2024-07-17T00:00:00"/>
        <d v="2024-07-18T00:00:00"/>
        <d v="2024-07-19T00:00:00"/>
        <d v="2024-07-20T00:00:00"/>
        <d v="2024-07-22T00:00:00"/>
        <d v="2024-07-23T00:00:00"/>
        <d v="2024-07-24T00:00:00"/>
        <d v="2024-07-25T00:00:00"/>
        <d v="2024-07-26T00:00:00"/>
        <d v="2024-07-29T00:00:00"/>
        <d v="2024-07-30T00:00:00"/>
        <d v="2024-07-31T00:00:00"/>
        <d v="2024-08-01T00:00:00"/>
        <d v="2024-08-02T00:00:00"/>
        <d v="2024-08-05T00:00:00"/>
        <d v="2024-08-06T00:00:00"/>
        <d v="2024-08-07T00:00:00"/>
        <d v="2024-08-08T00:00:00"/>
        <d v="2024-08-09T00:00:00"/>
        <d v="2024-08-12T00:00:00"/>
        <d v="2024-08-13T00:00:00"/>
        <d v="2024-08-14T00:00:00"/>
        <d v="2024-08-15T00:00:00"/>
        <d v="2024-08-16T00:00:00"/>
        <d v="2024-08-19T00:00:00"/>
        <d v="2024-08-20T00:00:00"/>
        <d v="2024-08-21T00:00:00"/>
        <d v="2024-08-22T00:00:00"/>
        <d v="2024-08-23T00:00:00"/>
        <d v="2024-08-26T00:00:00"/>
        <d v="2024-08-27T00:00:00"/>
        <d v="2024-08-28T00:00:00"/>
        <d v="2024-08-29T00:00:00"/>
        <d v="2024-08-30T00:00:00"/>
        <d v="2024-09-03T00:00:00"/>
        <d v="2024-09-04T00:00:00"/>
        <d v="2024-09-05T00:00:00"/>
        <d v="2024-09-06T00:00:00"/>
        <d v="2024-09-09T00:00:00"/>
        <d v="2024-09-10T00:00:00"/>
        <d v="2024-09-11T00:00:00"/>
        <d v="2024-09-12T00:00:00"/>
        <d v="2024-09-13T00:00:00"/>
        <d v="2024-09-16T00:00:00"/>
        <d v="2024-09-17T00:00:00"/>
        <d v="2024-09-18T00:00:00"/>
        <d v="2024-09-19T00:00:00"/>
        <d v="2024-09-20T00:00:00"/>
        <d v="2024-09-23T00:00:00"/>
        <d v="2024-09-24T00:00:00"/>
        <d v="2024-09-25T00:00:00"/>
        <d v="2024-09-26T00:00:00"/>
        <d v="2024-09-27T00:00:00"/>
        <d v="2024-09-30T00:00:00"/>
        <d v="2024-10-02T00:00:00"/>
        <d v="2024-10-03T00:00:00"/>
        <d v="2024-10-04T00:00:00"/>
        <d v="2024-10-07T00:00:00"/>
        <d v="2024-10-08T00:00:00"/>
        <d v="2024-10-09T00:00:00"/>
        <d v="2024-10-10T00:00:00"/>
        <d v="2024-10-11T00:00:00"/>
        <d v="2024-10-14T00:00:00"/>
        <d v="2024-10-15T00:00:00"/>
        <d v="2024-10-16T00:00:00"/>
        <d v="2024-10-17T00:00:00"/>
        <d v="2024-10-18T00:00:00"/>
        <d v="2024-11-14T00:00:00"/>
        <d v="2024-11-15T00:00:00"/>
        <d v="2024-11-18T00:00:00"/>
        <d v="2024-11-19T00:00:00"/>
        <d v="2024-11-20T00:00:00"/>
        <d v="2024-11-21T00:00:00"/>
        <d v="2024-11-22T00:00:00"/>
        <d v="2024-11-25T00:00:00"/>
        <d v="2024-11-27T00:00:00"/>
        <d v="2024-12-02T00:00:00"/>
        <d v="2024-12-03T00:00:00"/>
        <d v="2024-12-04T00:00:00"/>
        <d v="2024-12-05T00:00:00"/>
        <d v="2024-12-06T00:00:00"/>
        <d v="2024-12-09T00:00:00"/>
        <d v="2024-12-10T00:00:00"/>
        <d v="2024-12-11T00:00:00"/>
        <d v="2024-12-12T00:00:00"/>
        <d v="2024-12-13T00:00:00"/>
        <d v="2024-12-16T00:00:00"/>
        <d v="2024-12-17T00:00:00"/>
        <d v="2024-12-19T00:00:00"/>
        <d v="2024-12-23T00:00:00"/>
        <d v="2024-12-24T00:00:00"/>
        <d v="2024-12-30T00:00:00"/>
        <d v="2024-12-31T00:00:00"/>
        <d v="2025-01-01T00:00:00"/>
        <d v="2025-01-02T00:00:00"/>
        <d v="2025-01-03T00:00:00"/>
        <d v="2025-01-06T00:00:00"/>
        <d v="2025-01-07T00:00:00"/>
        <d v="2025-01-08T00:00:00"/>
        <d v="2025-01-09T00:00:00"/>
        <d v="2025-01-10T00:00:00"/>
        <d v="2025-01-13T00:00:00"/>
        <d v="2025-01-14T00:00:00"/>
        <d v="2025-01-15T00:00:00"/>
        <d v="2025-01-16T00:00:00"/>
        <d v="2025-01-17T00:00:00"/>
        <d v="2025-01-21T00:00:00"/>
        <d v="2025-01-22T00:00:00"/>
        <d v="2025-01-23T00:00:00"/>
        <d v="2025-01-24T00:00:00"/>
        <d v="2025-01-27T00:00:00"/>
        <d v="2025-01-28T00:00:00"/>
        <d v="2025-01-29T00:00:00"/>
        <d v="2025-01-30T00:00:00"/>
        <d v="2025-01-31T00:00:00"/>
        <d v="2025-02-03T00:00:00"/>
        <d v="2025-02-04T00:00:00"/>
        <d v="2025-02-05T00:00:00"/>
        <d v="2025-02-06T00:00:00"/>
        <d v="2025-02-07T00:00:00"/>
        <d v="2025-02-10T00:00:00"/>
        <d v="2025-02-11T00:00:00"/>
        <d v="2025-02-12T00:00:00"/>
        <d v="2025-02-13T00:00:00"/>
        <d v="2025-02-14T00:00:00"/>
        <d v="2025-02-17T00:00:00"/>
        <d v="2025-02-18T00:00:00"/>
        <d v="2025-02-19T00:00:00"/>
        <d v="2025-02-20T00:00:00"/>
        <d v="2025-02-21T00:00:00"/>
        <d v="2025-02-24T00:00:00"/>
        <d v="2025-02-25T00:00:00"/>
        <d v="2025-02-26T00:00:00"/>
        <d v="2025-02-27T00:00:00"/>
        <d v="2025-02-28T00:00:00"/>
        <d v="2025-03-03T00:00:00"/>
        <d v="2025-03-04T00:00:00"/>
        <d v="2025-03-05T00:00:00"/>
        <d v="2025-03-06T00:00:00"/>
        <d v="2025-03-10T00:00:00"/>
        <d v="2025-03-11T00:00:00"/>
        <d v="2025-03-12T00:00:00"/>
        <d v="2025-03-13T00:00:00"/>
        <d v="2025-03-17T00:00:00"/>
        <d v="2025-03-18T00:00:00"/>
        <d v="2025-03-19T00:00:00"/>
        <d v="2025-03-20T00:00:00"/>
        <d v="2025-03-21T00:00:00"/>
        <d v="2025-03-24T00:00:00"/>
        <d v="2025-03-25T00:00:00"/>
        <d v="2025-03-26T00:00:00"/>
        <d v="2025-03-27T00:00:00"/>
        <d v="2025-03-28T00:00:00"/>
        <d v="2025-03-31T00:00:00"/>
        <d v="2025-04-01T00:00:00"/>
        <d v="2025-04-02T00:00:00"/>
        <d v="2025-04-03T00:00:00"/>
        <d v="2025-04-04T00:00:00"/>
        <d v="2025-04-07T00:00:00"/>
        <d v="2025-04-08T00:00:00"/>
        <d v="2025-04-09T00:00:00"/>
        <d v="2025-04-10T00:00:00"/>
        <d v="2025-04-14T00:00:00"/>
        <d v="2025-04-15T00:00:00"/>
        <d v="2025-04-16T00:00:00"/>
        <d v="2025-04-17T00:00:00"/>
        <d v="2025-04-18T00:00:00"/>
        <d v="2025-04-19T00:00:00"/>
        <d v="2025-04-21T00:00:00"/>
        <d v="2025-04-22T00:00:00"/>
        <d v="2025-04-23T00:00:00"/>
        <d v="2025-04-24T00:00:00"/>
        <d v="2025-04-25T00:00:00"/>
        <d v="2025-04-26T00:00:00"/>
        <d v="2025-04-28T00:00:00"/>
        <d v="2025-04-29T00:00:00"/>
        <d v="2025-04-30T00:00:00"/>
        <d v="2025-05-01T00:00:00"/>
        <d v="2025-05-02T00:00:00"/>
        <d v="2025-05-04T00:00:00"/>
        <d v="2025-05-05T00:00:00"/>
        <d v="2025-05-06T00:00:00"/>
        <d v="2025-05-07T00:00:00"/>
        <d v="2025-05-08T00:00:00"/>
        <d v="2025-05-09T00:00:00"/>
        <d v="2025-05-12T00:00:00"/>
        <d v="2025-05-13T00:00:00"/>
        <d v="2025-05-14T00:00:00"/>
        <d v="2025-05-15T00:00:00"/>
        <d v="2025-05-16T00:00:00"/>
        <d v="2025-05-19T00:00:00"/>
        <d v="2025-05-20T00:00:00"/>
        <d v="2025-05-21T00:00:00"/>
        <d v="2025-05-22T00:00:00"/>
        <d v="2025-05-23T00:00:00"/>
        <d v="2025-05-27T00:00:00"/>
        <d v="2025-05-28T00:00:00"/>
        <d v="2025-05-29T00:00:00"/>
        <d v="2025-05-30T00:00:00"/>
        <d v="2025-06-02T00:00:00"/>
        <d v="2025-06-03T00:00:00"/>
        <d v="2025-06-04T00:00:00"/>
        <d v="2025-06-05T00:00:00"/>
        <d v="2025-06-06T00:00:00"/>
        <d v="2025-06-07T00:00:00"/>
        <d v="2025-06-10T00:00:00"/>
        <d v="2025-06-11T00:00:00"/>
        <d v="2025-06-12T00:00:00"/>
        <d v="2025-06-13T00:00:00"/>
        <d v="2025-06-14T00:00:00"/>
        <d v="2025-06-15T00:00:00"/>
        <d v="2025-06-16T00:00:00"/>
        <d v="2025-06-17T00:00:00"/>
        <d v="2025-06-18T00:00:00"/>
        <d v="2025-06-19T00:00:00"/>
        <d v="2025-06-20T00:00:00"/>
        <d v="2025-06-23T00:00:00"/>
        <d v="2025-06-24T00:00:00"/>
        <d v="2025-06-25T00:00:00"/>
        <d v="2025-06-26T00:00:00"/>
        <d v="2025-06-27T00:00:00"/>
        <d v="2025-06-30T00:00:00"/>
        <d v="2025-07-01T00:00:00"/>
        <d v="2025-07-02T00:00:00"/>
        <d v="2025-07-04T00:00:00"/>
        <d v="2025-07-05T00:00:00"/>
        <d v="2025-07-07T00:00:00"/>
        <d v="2025-07-08T00:00:00"/>
        <d v="2025-07-09T00:00:00"/>
        <d v="2025-07-10T00:00:00"/>
        <d v="2025-07-11T00:00:00"/>
        <d v="2025-07-14T00:00:00"/>
        <d v="2025-07-15T00:00:00"/>
        <d v="2025-07-16T00:00:00"/>
        <d v="2025-07-17T00:00:00"/>
        <d v="2025-07-18T00:00:00"/>
        <d v="2025-07-21T00:00:00"/>
        <d v="2025-07-22T00:00:00"/>
        <d v="2025-07-23T00:00:00"/>
        <d v="2025-07-24T00:00:00"/>
        <d v="2025-07-25T00:00:00"/>
        <d v="2025-07-28T00:00:00"/>
        <d v="2025-07-29T00:00:00"/>
        <d v="2025-07-30T00:00:00"/>
        <d v="2025-07-31T00:00:00"/>
        <d v="2025-08-01T00:00:00"/>
        <d v="2025-08-04T00:00:00"/>
        <d v="2025-08-05T00:00:00"/>
        <d v="2025-08-06T00:00:00"/>
        <d v="2025-08-07T00:00:00"/>
        <d v="2025-08-08T00:00:00"/>
        <d v="2025-08-11T00:00:00"/>
        <d v="2025-08-12T00:00:00"/>
        <d v="2025-08-13T00:00:00"/>
        <d v="2025-08-14T00:00:00"/>
        <d v="2025-08-15T00:00:00"/>
        <d v="2025-08-18T00:00:00"/>
        <d v="2025-08-19T00:00:00"/>
        <d v="2025-08-20T00:00:00"/>
        <d v="2025-08-21T00:00:00"/>
        <d v="2025-08-22T00:00:00"/>
        <d v="2025-08-25T00:00:00"/>
        <d v="2025-08-26T00:00:00"/>
        <d v="2025-08-27T00:00:00"/>
        <d v="2025-08-28T00:00:00"/>
        <d v="2025-08-29T00:00:00"/>
        <d v="2025-09-02T00:00:00"/>
        <d v="2025-09-03T00:00:00"/>
        <d v="2025-09-04T00:00:00"/>
        <d v="2025-09-05T00:00:00"/>
        <d v="2025-09-08T00:00:00"/>
        <d v="2025-09-09T00:00:00"/>
        <d v="2025-09-10T00:00:00"/>
        <d v="2025-09-11T00:00:00"/>
        <d v="2025-09-12T00:00:00"/>
        <d v="2025-09-15T00:00:00"/>
        <d v="2025-09-16T00:00:00"/>
        <d v="2025-09-17T00:00:00"/>
        <d v="2025-09-18T00:00:00"/>
        <d v="2025-09-19T00:00:00"/>
        <d v="2025-09-22T00:00:00"/>
        <d v="2025-09-23T00:00:00"/>
        <d v="2025-09-24T00:00:00"/>
        <d v="2025-09-25T00:00:00"/>
        <d v="2025-09-26T00:00:00"/>
        <d v="2025-09-29T00:00:00"/>
        <d v="2025-09-30T00:00:00"/>
        <d v="2025-10-01T00:00:00"/>
        <d v="2025-10-02T00:00:00"/>
        <d v="2025-10-03T00:00:00"/>
        <d v="2025-10-06T00:00:00"/>
        <d v="2025-10-07T00:00:00"/>
        <d v="2025-10-08T00:00:00"/>
        <d v="2025-10-09T00:00:00"/>
        <d v="2025-10-10T00:00:00"/>
        <d v="2025-10-13T00:00:00"/>
        <d v="2025-10-14T00:00:00"/>
        <d v="2025-10-15T00:00:00"/>
        <d v="2025-10-16T00:00:00"/>
        <d v="2025-10-17T00:00:00"/>
        <d v="2025-10-20T00:00:00"/>
        <d v="2025-10-21T00:00:00"/>
        <d v="2025-10-22T00:00:00"/>
        <d v="2025-10-23T00:00:00"/>
        <d v="2025-10-24T00:00:00"/>
        <d v="2025-10-27T00:00:00"/>
        <d v="2025-10-28T00:00:00"/>
        <d v="2025-10-29T00:00:00"/>
        <d v="2025-10-30T00:00:00"/>
        <d v="2025-10-31T00:00:00"/>
        <d v="2025-11-03T00:00:00"/>
        <d v="2025-11-04T00:00:00"/>
        <d v="2025-11-05T00:00:00"/>
        <d v="2025-11-10T00:00:00"/>
        <d v="2025-11-12T00:00:00"/>
        <d v="2025-11-13T00:00:00"/>
        <d v="2025-11-14T00:00:00"/>
        <d v="2025-11-17T00:00:00"/>
        <d v="2025-11-18T00:00:00"/>
        <d v="2025-11-19T00:00:00"/>
        <d v="2025-11-20T00:00:00"/>
        <d v="2025-11-21T00:00:00"/>
        <d v="2025-11-24T00:00:00"/>
        <d v="2025-11-25T00:00:00"/>
        <d v="2025-11-26T00:00:00"/>
        <d v="2025-12-01T00:00:00"/>
        <d v="2025-12-02T00:00:00"/>
        <d v="2025-12-03T00:00:00"/>
        <d v="2025-12-04T00:00:00"/>
        <d v="2025-12-05T00:00:00"/>
        <d v="2025-12-08T00:00:00"/>
        <d v="2025-12-09T00:00:00"/>
        <d v="2025-12-10T00:00:00"/>
        <d v="2025-12-11T00:00:00"/>
        <d v="2025-12-15T00:00:00"/>
        <d v="2025-12-16T00:00:00"/>
        <d v="2025-12-17T00:00:00"/>
        <d v="2025-12-18T00:00:00"/>
        <d v="2025-12-19T00:00:00"/>
        <d v="2025-12-22T00:00:00"/>
        <d v="2025-12-23T00:00:00"/>
        <d v="2025-12-24T00:00:00"/>
        <d v="2025-12-26T00:00:00"/>
        <d v="2025-12-29T00:00:00"/>
        <d v="2025-12-31T00:00:00"/>
        <d v="2026-01-01T00:00:00"/>
        <d v="2026-01-02T00:00:00"/>
        <d v="2026-01-05T00:00:00"/>
        <d v="2026-01-06T00:00:00"/>
        <d v="2026-01-07T00:00:00"/>
        <d v="2026-01-08T00:00:00"/>
        <d v="2026-01-09T00:00:00"/>
        <d v="2026-01-12T00:00:00"/>
        <d v="2026-01-14T00:00:00"/>
        <d v="2026-01-15T00:00:00"/>
        <d v="2026-01-16T00:00:00"/>
        <d v="2026-01-20T00:00:00"/>
        <d v="2026-01-21T00:00:00"/>
        <d v="2026-01-22T00:00:00"/>
        <d v="2026-01-26T00:00:00"/>
        <d v="2026-01-27T00:00:00"/>
        <d v="2026-01-28T00:00:00"/>
        <d v="2026-01-29T00:00:00"/>
        <d v="2026-01-30T00:00:00"/>
        <d v="2026-02-02T00:00:00"/>
        <d v="2026-02-03T00:00:00"/>
        <d v="2026-02-04T00:00:00"/>
        <d v="2026-02-05T00:00:00"/>
        <d v="2026-02-06T00:00:00"/>
        <d v="2026-02-09T00:00:00"/>
        <d v="2026-02-10T00:00:00"/>
        <d v="2026-02-11T00:00:00"/>
        <d v="2026-02-12T00:00:00"/>
        <d v="2026-02-13T00:00:00"/>
        <d v="2026-02-17T00:00:00"/>
        <d v="2026-02-18T00:00:00"/>
        <d v="2026-02-19T00:00:00"/>
        <d v="2026-02-20T00:00:00"/>
        <d v="2026-02-23T00:00:00"/>
        <d v="2026-02-24T00:00:00"/>
        <d v="2026-02-25T00:00:00"/>
        <d v="2026-02-26T00:00:00"/>
        <d v="2026-02-27T00:00:00"/>
        <d v="2026-03-02T00:00:00"/>
        <d v="2026-03-03T00:00:00"/>
        <d v="2026-03-04T00:00:00"/>
        <d v="2026-03-05T00:00:00"/>
        <d v="2026-03-06T00:00:00"/>
        <d v="2026-03-09T00:00:00"/>
        <d v="2026-03-10T00:00:00"/>
        <d v="2026-03-11T00:00:00"/>
        <d v="2026-03-12T00:00:00"/>
        <d v="2026-03-13T00:00:00"/>
        <d v="2026-03-16T00:00:00"/>
        <d v="2026-03-17T00:00:00"/>
        <d v="2026-03-18T00:00:00"/>
        <d v="2026-03-19T00:00:00"/>
        <d v="2026-03-20T00:00:00"/>
        <d v="2026-03-26T00:00:00"/>
        <d v="2026-03-27T00:00:00"/>
        <d v="2026-03-30T00:00:00"/>
        <d v="2026-03-31T00:00:00"/>
        <d v="2026-04-01T00:00:00"/>
        <d v="2026-04-02T00:00:00"/>
        <d v="2026-04-03T00:00:00"/>
        <d v="2026-04-06T00:00:00"/>
        <d v="2026-04-07T00:00:00"/>
        <d v="2026-04-08T00:00:00"/>
        <d v="2026-04-09T00:00:00"/>
        <d v="2026-04-10T00:00:00"/>
        <d v="2026-04-11T00:00:00"/>
        <d v="2026-04-12T00:00:00"/>
        <d v="2026-04-13T00:00:00"/>
        <d v="2026-04-14T00:00:00"/>
        <d v="2026-04-15T00:00:00"/>
        <d v="2026-04-16T00:00:00"/>
        <d v="2026-04-17T00:00:00"/>
        <d v="2026-04-20T00:00:00"/>
        <d v="2026-04-21T00:00:00"/>
        <d v="2026-04-22T00:00:00"/>
        <d v="2026-04-23T00:00:00"/>
        <d v="2026-04-24T00:00:00"/>
        <d v="2026-04-27T00:00:00"/>
        <d v="2026-04-28T00:00:00"/>
        <d v="2026-04-29T00:00:00"/>
        <d v="2026-04-30T00:00:00"/>
        <d v="2026-05-01T00:00:00"/>
        <d v="2026-05-04T00:00:00"/>
        <d v="2026-05-05T00:00:00"/>
        <d v="2026-05-06T00:00:00"/>
        <d v="2026-05-07T00:00:00"/>
        <d v="2026-05-08T00:00:00"/>
        <d v="2026-05-11T00:00:00"/>
        <d v="2026-05-12T00:00:00"/>
        <d v="2026-05-13T00:00:00"/>
        <d v="2026-05-14T00:00:00"/>
        <d v="2026-05-15T00:00:00"/>
        <d v="2026-05-18T00:00:00"/>
        <d v="2026-05-20T00:00:00"/>
        <d v="2026-05-21T00:00:00"/>
        <d v="2026-05-22T00:00:00"/>
        <d v="2026-05-25T00:00:00"/>
        <d v="2026-05-26T00:00:00"/>
        <d v="2026-05-27T00:00:00"/>
        <d v="2026-05-28T00:00:00"/>
        <d v="2026-05-29T00:00:00"/>
        <d v="2026-06-01T00:00:00"/>
        <d v="2026-06-02T00:00:00"/>
        <d v="2026-06-03T00:00:00"/>
        <d v="2026-06-04T00:00:00"/>
        <d v="2026-06-05T00:00:00"/>
        <d v="2026-06-08T00:00:00"/>
        <d v="2026-06-09T00:00:00"/>
        <d v="2026-06-10T00:00:00"/>
        <d v="2026-06-11T00:00:00"/>
        <d v="2026-06-12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3T00:00:00"/>
        <d v="2026-07-14T00:00:00"/>
        <d v="2026-07-15T00:00:00"/>
        <d v="2026-07-16T00:00:00"/>
        <d v="2026-07-17T00:00:00"/>
        <d v="2026-07-18T00:00:00"/>
        <d v="2026-07-19T00:00:00"/>
        <d v="2026-07-20T00:00:00"/>
        <d v="2026-07-21T00:00:00"/>
        <d v="2026-07-22T00:00:00"/>
        <d v="2026-07-23T00:00:00"/>
        <d v="2026-07-24T00:00:00"/>
        <d v="2026-07-27T00:00:00"/>
        <m/>
      </sharedItems>
    </cacheField>
    <cacheField name="ODEM Active fires" numFmtId="0">
      <sharedItems containsString="0" containsBlank="1" containsNumber="1" containsInteger="1" minValue="0" maxValue="145"/>
    </cacheField>
    <cacheField name="ODEM Acres burned" numFmtId="0">
      <sharedItems containsString="0" containsBlank="1" containsNumber="1" minValue="0" maxValue="1275665"/>
    </cacheField>
  </cacheFields>
  <extLst>
    <ext xmlns:x14="http://schemas.microsoft.com/office/spreadsheetml/2009/9/main" uri="{725AE2AE-9491-48be-B2B4-4EB974FC3084}">
      <x14:pivotCacheDefinition pivotCacheId="17662505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7">
  <r>
    <x v="0"/>
    <x v="0"/>
    <x v="0"/>
    <n v="204469"/>
    <x v="0"/>
    <x v="0"/>
    <m/>
    <m/>
    <m/>
    <m/>
    <m/>
    <m/>
    <n v="264"/>
    <m/>
    <m/>
    <m/>
    <m/>
    <m/>
    <x v="0"/>
    <x v="0"/>
  </r>
  <r>
    <x v="0"/>
    <x v="1"/>
    <x v="0"/>
    <n v="193566"/>
    <x v="0"/>
    <x v="1"/>
    <m/>
    <m/>
    <m/>
    <m/>
    <m/>
    <m/>
    <n v="436"/>
    <m/>
    <m/>
    <m/>
    <m/>
    <m/>
    <x v="1"/>
    <x v="0"/>
  </r>
  <r>
    <x v="0"/>
    <x v="2"/>
    <x v="1"/>
    <n v="173393"/>
    <x v="0"/>
    <x v="2"/>
    <m/>
    <m/>
    <m/>
    <m/>
    <m/>
    <m/>
    <n v="431"/>
    <m/>
    <n v="24"/>
    <m/>
    <m/>
    <m/>
    <x v="2"/>
    <x v="0"/>
  </r>
  <r>
    <x v="0"/>
    <x v="3"/>
    <x v="2"/>
    <n v="152270"/>
    <x v="0"/>
    <x v="3"/>
    <m/>
    <m/>
    <m/>
    <m/>
    <m/>
    <m/>
    <m/>
    <m/>
    <m/>
    <m/>
    <m/>
    <m/>
    <x v="2"/>
    <x v="0"/>
  </r>
  <r>
    <x v="0"/>
    <x v="4"/>
    <x v="3"/>
    <n v="138054"/>
    <x v="0"/>
    <x v="4"/>
    <m/>
    <m/>
    <m/>
    <m/>
    <m/>
    <m/>
    <n v="57"/>
    <m/>
    <n v="81"/>
    <m/>
    <m/>
    <m/>
    <x v="0"/>
    <x v="0"/>
  </r>
  <r>
    <x v="0"/>
    <x v="5"/>
    <x v="4"/>
    <n v="130000"/>
    <x v="0"/>
    <x v="0"/>
    <m/>
    <m/>
    <m/>
    <m/>
    <m/>
    <m/>
    <n v="109"/>
    <m/>
    <m/>
    <m/>
    <m/>
    <m/>
    <x v="2"/>
    <x v="0"/>
  </r>
  <r>
    <x v="0"/>
    <x v="6"/>
    <x v="5"/>
    <n v="50951"/>
    <x v="0"/>
    <x v="5"/>
    <m/>
    <m/>
    <m/>
    <m/>
    <m/>
    <m/>
    <m/>
    <m/>
    <m/>
    <m/>
    <m/>
    <m/>
    <x v="2"/>
    <x v="0"/>
  </r>
  <r>
    <x v="0"/>
    <x v="7"/>
    <x v="6"/>
    <n v="32589"/>
    <x v="0"/>
    <x v="6"/>
    <m/>
    <m/>
    <m/>
    <m/>
    <m/>
    <m/>
    <n v="153"/>
    <m/>
    <m/>
    <m/>
    <m/>
    <m/>
    <x v="2"/>
    <x v="0"/>
  </r>
  <r>
    <x v="0"/>
    <x v="8"/>
    <x v="7"/>
    <n v="17404.900000000001"/>
    <x v="0"/>
    <x v="7"/>
    <m/>
    <m/>
    <m/>
    <m/>
    <m/>
    <m/>
    <m/>
    <m/>
    <m/>
    <m/>
    <m/>
    <m/>
    <x v="2"/>
    <x v="0"/>
  </r>
  <r>
    <x v="0"/>
    <x v="9"/>
    <x v="8"/>
    <n v="14473"/>
    <x v="0"/>
    <x v="8"/>
    <m/>
    <m/>
    <m/>
    <m/>
    <m/>
    <m/>
    <m/>
    <m/>
    <m/>
    <m/>
    <m/>
    <m/>
    <x v="0"/>
    <x v="0"/>
  </r>
  <r>
    <x v="0"/>
    <x v="10"/>
    <x v="9"/>
    <n v="12756"/>
    <x v="0"/>
    <x v="9"/>
    <m/>
    <m/>
    <m/>
    <m/>
    <m/>
    <m/>
    <m/>
    <m/>
    <m/>
    <m/>
    <m/>
    <m/>
    <x v="2"/>
    <x v="0"/>
  </r>
  <r>
    <x v="0"/>
    <x v="11"/>
    <x v="10"/>
    <n v="4338"/>
    <x v="0"/>
    <x v="10"/>
    <m/>
    <m/>
    <m/>
    <m/>
    <m/>
    <m/>
    <m/>
    <m/>
    <m/>
    <m/>
    <m/>
    <m/>
    <x v="2"/>
    <x v="0"/>
  </r>
  <r>
    <x v="0"/>
    <x v="12"/>
    <x v="11"/>
    <n v="3703"/>
    <x v="0"/>
    <x v="0"/>
    <m/>
    <m/>
    <m/>
    <m/>
    <m/>
    <m/>
    <m/>
    <m/>
    <m/>
    <m/>
    <m/>
    <m/>
    <x v="2"/>
    <x v="0"/>
  </r>
  <r>
    <x v="0"/>
    <x v="13"/>
    <x v="6"/>
    <n v="3200"/>
    <x v="0"/>
    <x v="11"/>
    <m/>
    <m/>
    <m/>
    <m/>
    <m/>
    <m/>
    <n v="2194"/>
    <m/>
    <n v="443"/>
    <m/>
    <m/>
    <m/>
    <x v="0"/>
    <x v="0"/>
  </r>
  <r>
    <x v="0"/>
    <x v="14"/>
    <x v="5"/>
    <n v="2993"/>
    <x v="0"/>
    <x v="12"/>
    <m/>
    <m/>
    <m/>
    <m/>
    <m/>
    <m/>
    <m/>
    <m/>
    <m/>
    <m/>
    <m/>
    <m/>
    <x v="2"/>
    <x v="0"/>
  </r>
  <r>
    <x v="0"/>
    <x v="15"/>
    <x v="12"/>
    <n v="1879.01"/>
    <x v="0"/>
    <x v="13"/>
    <m/>
    <m/>
    <m/>
    <m/>
    <m/>
    <m/>
    <n v="300"/>
    <m/>
    <m/>
    <m/>
    <m/>
    <m/>
    <x v="2"/>
    <x v="0"/>
  </r>
  <r>
    <x v="0"/>
    <x v="16"/>
    <x v="3"/>
    <n v="1509"/>
    <x v="0"/>
    <x v="14"/>
    <m/>
    <m/>
    <m/>
    <m/>
    <m/>
    <m/>
    <m/>
    <m/>
    <m/>
    <m/>
    <m/>
    <m/>
    <x v="2"/>
    <x v="0"/>
  </r>
  <r>
    <x v="0"/>
    <x v="17"/>
    <x v="13"/>
    <n v="1280"/>
    <x v="0"/>
    <x v="0"/>
    <m/>
    <m/>
    <m/>
    <m/>
    <m/>
    <m/>
    <m/>
    <m/>
    <m/>
    <m/>
    <m/>
    <m/>
    <x v="2"/>
    <x v="0"/>
  </r>
  <r>
    <x v="0"/>
    <x v="18"/>
    <x v="5"/>
    <n v="1249"/>
    <x v="0"/>
    <x v="15"/>
    <m/>
    <m/>
    <m/>
    <m/>
    <m/>
    <m/>
    <m/>
    <m/>
    <m/>
    <m/>
    <m/>
    <m/>
    <x v="2"/>
    <x v="0"/>
  </r>
  <r>
    <x v="0"/>
    <x v="19"/>
    <x v="7"/>
    <n v="985"/>
    <x v="0"/>
    <x v="16"/>
    <m/>
    <m/>
    <m/>
    <m/>
    <m/>
    <m/>
    <m/>
    <m/>
    <m/>
    <m/>
    <m/>
    <m/>
    <x v="2"/>
    <x v="0"/>
  </r>
  <r>
    <x v="0"/>
    <x v="20"/>
    <x v="14"/>
    <n v="946"/>
    <x v="0"/>
    <x v="17"/>
    <m/>
    <m/>
    <m/>
    <m/>
    <m/>
    <m/>
    <m/>
    <m/>
    <m/>
    <m/>
    <m/>
    <m/>
    <x v="2"/>
    <x v="0"/>
  </r>
  <r>
    <x v="0"/>
    <x v="21"/>
    <x v="6"/>
    <n v="761"/>
    <x v="0"/>
    <x v="18"/>
    <m/>
    <m/>
    <m/>
    <m/>
    <m/>
    <m/>
    <m/>
    <m/>
    <m/>
    <m/>
    <m/>
    <m/>
    <x v="2"/>
    <x v="0"/>
  </r>
  <r>
    <x v="0"/>
    <x v="22"/>
    <x v="15"/>
    <n v="680"/>
    <x v="0"/>
    <x v="19"/>
    <m/>
    <m/>
    <m/>
    <m/>
    <m/>
    <m/>
    <m/>
    <m/>
    <m/>
    <m/>
    <m/>
    <m/>
    <x v="2"/>
    <x v="0"/>
  </r>
  <r>
    <x v="0"/>
    <x v="23"/>
    <x v="15"/>
    <n v="676"/>
    <x v="0"/>
    <x v="20"/>
    <m/>
    <m/>
    <m/>
    <m/>
    <m/>
    <m/>
    <m/>
    <m/>
    <m/>
    <m/>
    <m/>
    <m/>
    <x v="2"/>
    <x v="0"/>
  </r>
  <r>
    <x v="0"/>
    <x v="24"/>
    <x v="3"/>
    <n v="532"/>
    <x v="0"/>
    <x v="21"/>
    <m/>
    <m/>
    <m/>
    <m/>
    <m/>
    <m/>
    <m/>
    <m/>
    <m/>
    <m/>
    <m/>
    <m/>
    <x v="2"/>
    <x v="0"/>
  </r>
  <r>
    <x v="0"/>
    <x v="25"/>
    <x v="3"/>
    <n v="497"/>
    <x v="0"/>
    <x v="22"/>
    <m/>
    <m/>
    <m/>
    <m/>
    <m/>
    <m/>
    <m/>
    <m/>
    <m/>
    <m/>
    <m/>
    <m/>
    <x v="2"/>
    <x v="0"/>
  </r>
  <r>
    <x v="0"/>
    <x v="26"/>
    <x v="4"/>
    <n v="495"/>
    <x v="0"/>
    <x v="0"/>
    <m/>
    <m/>
    <m/>
    <m/>
    <m/>
    <m/>
    <m/>
    <m/>
    <m/>
    <m/>
    <m/>
    <m/>
    <x v="2"/>
    <x v="0"/>
  </r>
  <r>
    <x v="0"/>
    <x v="27"/>
    <x v="6"/>
    <n v="323"/>
    <x v="0"/>
    <x v="23"/>
    <m/>
    <m/>
    <m/>
    <m/>
    <m/>
    <m/>
    <m/>
    <m/>
    <m/>
    <m/>
    <m/>
    <m/>
    <x v="2"/>
    <x v="0"/>
  </r>
  <r>
    <x v="0"/>
    <x v="28"/>
    <x v="16"/>
    <n v="319"/>
    <x v="0"/>
    <x v="24"/>
    <m/>
    <m/>
    <m/>
    <m/>
    <m/>
    <m/>
    <m/>
    <m/>
    <m/>
    <m/>
    <m/>
    <m/>
    <x v="2"/>
    <x v="0"/>
  </r>
  <r>
    <x v="0"/>
    <x v="29"/>
    <x v="17"/>
    <n v="313"/>
    <x v="0"/>
    <x v="25"/>
    <m/>
    <m/>
    <m/>
    <m/>
    <m/>
    <m/>
    <m/>
    <m/>
    <m/>
    <m/>
    <m/>
    <m/>
    <x v="2"/>
    <x v="0"/>
  </r>
  <r>
    <x v="0"/>
    <x v="30"/>
    <x v="1"/>
    <n v="307"/>
    <x v="0"/>
    <x v="26"/>
    <m/>
    <m/>
    <m/>
    <m/>
    <m/>
    <m/>
    <m/>
    <m/>
    <m/>
    <m/>
    <m/>
    <m/>
    <x v="2"/>
    <x v="0"/>
  </r>
  <r>
    <x v="0"/>
    <x v="31"/>
    <x v="18"/>
    <n v="301"/>
    <x v="0"/>
    <x v="27"/>
    <m/>
    <m/>
    <m/>
    <m/>
    <m/>
    <m/>
    <m/>
    <m/>
    <m/>
    <m/>
    <m/>
    <m/>
    <x v="2"/>
    <x v="0"/>
  </r>
  <r>
    <x v="0"/>
    <x v="32"/>
    <x v="19"/>
    <n v="297"/>
    <x v="0"/>
    <x v="0"/>
    <m/>
    <m/>
    <m/>
    <m/>
    <m/>
    <m/>
    <m/>
    <m/>
    <m/>
    <m/>
    <m/>
    <m/>
    <x v="2"/>
    <x v="0"/>
  </r>
  <r>
    <x v="0"/>
    <x v="33"/>
    <x v="12"/>
    <n v="281.75"/>
    <x v="0"/>
    <x v="28"/>
    <m/>
    <m/>
    <m/>
    <m/>
    <m/>
    <m/>
    <m/>
    <m/>
    <m/>
    <m/>
    <m/>
    <m/>
    <x v="2"/>
    <x v="0"/>
  </r>
  <r>
    <x v="0"/>
    <x v="34"/>
    <x v="13"/>
    <n v="233"/>
    <x v="0"/>
    <x v="29"/>
    <m/>
    <m/>
    <m/>
    <m/>
    <m/>
    <m/>
    <m/>
    <m/>
    <m/>
    <m/>
    <m/>
    <m/>
    <x v="2"/>
    <x v="0"/>
  </r>
  <r>
    <x v="0"/>
    <x v="35"/>
    <x v="9"/>
    <n v="169.5"/>
    <x v="0"/>
    <x v="30"/>
    <m/>
    <m/>
    <m/>
    <m/>
    <m/>
    <m/>
    <m/>
    <m/>
    <m/>
    <m/>
    <m/>
    <m/>
    <x v="2"/>
    <x v="0"/>
  </r>
  <r>
    <x v="0"/>
    <x v="36"/>
    <x v="13"/>
    <n v="117"/>
    <x v="0"/>
    <x v="31"/>
    <m/>
    <m/>
    <m/>
    <m/>
    <m/>
    <m/>
    <m/>
    <m/>
    <m/>
    <m/>
    <m/>
    <m/>
    <x v="2"/>
    <x v="0"/>
  </r>
  <r>
    <x v="0"/>
    <x v="37"/>
    <x v="15"/>
    <n v="112.3"/>
    <x v="0"/>
    <x v="32"/>
    <m/>
    <m/>
    <m/>
    <m/>
    <m/>
    <m/>
    <m/>
    <m/>
    <m/>
    <m/>
    <m/>
    <m/>
    <x v="2"/>
    <x v="0"/>
  </r>
  <r>
    <x v="0"/>
    <x v="38"/>
    <x v="6"/>
    <n v="105"/>
    <x v="0"/>
    <x v="33"/>
    <m/>
    <m/>
    <m/>
    <m/>
    <m/>
    <m/>
    <m/>
    <m/>
    <m/>
    <m/>
    <m/>
    <m/>
    <x v="2"/>
    <x v="0"/>
  </r>
  <r>
    <x v="0"/>
    <x v="39"/>
    <x v="7"/>
    <n v="100"/>
    <x v="0"/>
    <x v="34"/>
    <m/>
    <m/>
    <m/>
    <m/>
    <m/>
    <m/>
    <m/>
    <m/>
    <m/>
    <m/>
    <m/>
    <m/>
    <x v="2"/>
    <x v="0"/>
  </r>
  <r>
    <x v="1"/>
    <x v="40"/>
    <x v="20"/>
    <n v="2630"/>
    <x v="0"/>
    <x v="35"/>
    <m/>
    <m/>
    <m/>
    <m/>
    <m/>
    <m/>
    <m/>
    <m/>
    <m/>
    <m/>
    <m/>
    <m/>
    <x v="2"/>
    <x v="0"/>
  </r>
  <r>
    <x v="1"/>
    <x v="41"/>
    <x v="15"/>
    <n v="22348"/>
    <x v="0"/>
    <x v="0"/>
    <m/>
    <m/>
    <m/>
    <m/>
    <m/>
    <m/>
    <m/>
    <m/>
    <m/>
    <m/>
    <m/>
    <m/>
    <x v="2"/>
    <x v="0"/>
  </r>
  <r>
    <x v="1"/>
    <x v="42"/>
    <x v="15"/>
    <n v="164"/>
    <x v="0"/>
    <x v="36"/>
    <m/>
    <m/>
    <m/>
    <m/>
    <m/>
    <m/>
    <m/>
    <m/>
    <m/>
    <m/>
    <m/>
    <m/>
    <x v="2"/>
    <x v="0"/>
  </r>
  <r>
    <x v="1"/>
    <x v="43"/>
    <x v="8"/>
    <n v="413765"/>
    <x v="0"/>
    <x v="37"/>
    <m/>
    <m/>
    <m/>
    <m/>
    <m/>
    <m/>
    <n v="161"/>
    <m/>
    <n v="247"/>
    <m/>
    <m/>
    <m/>
    <x v="1"/>
    <x v="0"/>
  </r>
  <r>
    <x v="1"/>
    <x v="44"/>
    <x v="21"/>
    <n v="211"/>
    <x v="0"/>
    <x v="38"/>
    <m/>
    <m/>
    <m/>
    <m/>
    <m/>
    <m/>
    <m/>
    <m/>
    <m/>
    <m/>
    <m/>
    <m/>
    <x v="2"/>
    <x v="0"/>
  </r>
  <r>
    <x v="1"/>
    <x v="45"/>
    <x v="1"/>
    <n v="50409"/>
    <x v="0"/>
    <x v="39"/>
    <m/>
    <m/>
    <m/>
    <m/>
    <m/>
    <m/>
    <m/>
    <m/>
    <m/>
    <m/>
    <m/>
    <m/>
    <x v="2"/>
    <x v="0"/>
  </r>
  <r>
    <x v="1"/>
    <x v="46"/>
    <x v="15"/>
    <n v="151.9"/>
    <x v="0"/>
    <x v="40"/>
    <m/>
    <m/>
    <m/>
    <m/>
    <m/>
    <m/>
    <m/>
    <m/>
    <m/>
    <m/>
    <m/>
    <m/>
    <x v="2"/>
    <x v="0"/>
  </r>
  <r>
    <x v="1"/>
    <x v="47"/>
    <x v="13"/>
    <n v="159"/>
    <x v="0"/>
    <x v="41"/>
    <m/>
    <m/>
    <m/>
    <m/>
    <m/>
    <m/>
    <m/>
    <m/>
    <m/>
    <m/>
    <m/>
    <m/>
    <x v="2"/>
    <x v="0"/>
  </r>
  <r>
    <x v="1"/>
    <x v="48"/>
    <x v="5"/>
    <n v="91730"/>
    <x v="0"/>
    <x v="42"/>
    <m/>
    <m/>
    <m/>
    <m/>
    <m/>
    <m/>
    <m/>
    <m/>
    <m/>
    <m/>
    <m/>
    <m/>
    <x v="2"/>
    <x v="0"/>
  </r>
  <r>
    <x v="1"/>
    <x v="49"/>
    <x v="21"/>
    <n v="686"/>
    <x v="0"/>
    <x v="0"/>
    <m/>
    <m/>
    <m/>
    <m/>
    <m/>
    <m/>
    <m/>
    <m/>
    <m/>
    <m/>
    <m/>
    <m/>
    <x v="2"/>
    <x v="0"/>
  </r>
  <r>
    <x v="1"/>
    <x v="50"/>
    <x v="4"/>
    <n v="70000"/>
    <x v="0"/>
    <x v="43"/>
    <m/>
    <m/>
    <m/>
    <m/>
    <m/>
    <m/>
    <m/>
    <m/>
    <m/>
    <m/>
    <m/>
    <m/>
    <x v="2"/>
    <x v="0"/>
  </r>
  <r>
    <x v="1"/>
    <x v="51"/>
    <x v="21"/>
    <n v="686"/>
    <x v="0"/>
    <x v="44"/>
    <m/>
    <m/>
    <m/>
    <m/>
    <m/>
    <m/>
    <m/>
    <m/>
    <m/>
    <m/>
    <m/>
    <m/>
    <x v="2"/>
    <x v="0"/>
  </r>
  <r>
    <x v="1"/>
    <x v="52"/>
    <x v="15"/>
    <n v="541.46"/>
    <x v="0"/>
    <x v="45"/>
    <m/>
    <m/>
    <m/>
    <m/>
    <m/>
    <m/>
    <m/>
    <m/>
    <m/>
    <m/>
    <m/>
    <m/>
    <x v="2"/>
    <x v="0"/>
  </r>
  <r>
    <x v="1"/>
    <x v="53"/>
    <x v="22"/>
    <n v="22959"/>
    <x v="0"/>
    <x v="0"/>
    <m/>
    <m/>
    <m/>
    <m/>
    <m/>
    <m/>
    <m/>
    <m/>
    <n v="5"/>
    <m/>
    <m/>
    <m/>
    <x v="2"/>
    <x v="0"/>
  </r>
  <r>
    <x v="1"/>
    <x v="54"/>
    <x v="18"/>
    <n v="182"/>
    <x v="0"/>
    <x v="46"/>
    <m/>
    <m/>
    <m/>
    <m/>
    <m/>
    <m/>
    <m/>
    <m/>
    <m/>
    <m/>
    <m/>
    <m/>
    <x v="2"/>
    <x v="0"/>
  </r>
  <r>
    <x v="1"/>
    <x v="55"/>
    <x v="10"/>
    <n v="6032"/>
    <x v="0"/>
    <x v="47"/>
    <m/>
    <m/>
    <m/>
    <m/>
    <m/>
    <m/>
    <m/>
    <m/>
    <m/>
    <m/>
    <m/>
    <m/>
    <x v="2"/>
    <x v="0"/>
  </r>
  <r>
    <x v="1"/>
    <x v="56"/>
    <x v="4"/>
    <n v="277.94"/>
    <x v="0"/>
    <x v="48"/>
    <m/>
    <m/>
    <m/>
    <m/>
    <m/>
    <m/>
    <m/>
    <m/>
    <m/>
    <m/>
    <m/>
    <m/>
    <x v="2"/>
    <x v="0"/>
  </r>
  <r>
    <x v="1"/>
    <x v="57"/>
    <x v="4"/>
    <n v="121.25"/>
    <x v="0"/>
    <x v="49"/>
    <m/>
    <m/>
    <m/>
    <m/>
    <m/>
    <m/>
    <m/>
    <m/>
    <m/>
    <m/>
    <m/>
    <m/>
    <x v="2"/>
    <x v="0"/>
  </r>
  <r>
    <x v="1"/>
    <x v="58"/>
    <x v="22"/>
    <n v="7610"/>
    <x v="0"/>
    <x v="50"/>
    <m/>
    <m/>
    <m/>
    <m/>
    <m/>
    <m/>
    <m/>
    <m/>
    <m/>
    <m/>
    <m/>
    <m/>
    <x v="2"/>
    <x v="0"/>
  </r>
  <r>
    <x v="1"/>
    <x v="59"/>
    <x v="13"/>
    <n v="368"/>
    <x v="0"/>
    <x v="51"/>
    <m/>
    <m/>
    <m/>
    <m/>
    <m/>
    <m/>
    <m/>
    <m/>
    <m/>
    <m/>
    <m/>
    <m/>
    <x v="2"/>
    <x v="0"/>
  </r>
  <r>
    <x v="1"/>
    <x v="60"/>
    <x v="5"/>
    <n v="16337"/>
    <x v="0"/>
    <x v="52"/>
    <m/>
    <m/>
    <m/>
    <m/>
    <m/>
    <m/>
    <m/>
    <m/>
    <m/>
    <m/>
    <m/>
    <m/>
    <x v="2"/>
    <x v="0"/>
  </r>
  <r>
    <x v="1"/>
    <x v="61"/>
    <x v="4"/>
    <n v="198"/>
    <x v="0"/>
    <x v="53"/>
    <m/>
    <m/>
    <m/>
    <m/>
    <m/>
    <m/>
    <m/>
    <m/>
    <m/>
    <m/>
    <m/>
    <m/>
    <x v="2"/>
    <x v="0"/>
  </r>
  <r>
    <x v="1"/>
    <x v="62"/>
    <x v="4"/>
    <n v="110"/>
    <x v="0"/>
    <x v="54"/>
    <m/>
    <m/>
    <m/>
    <m/>
    <m/>
    <m/>
    <m/>
    <m/>
    <m/>
    <m/>
    <m/>
    <m/>
    <x v="2"/>
    <x v="0"/>
  </r>
  <r>
    <x v="1"/>
    <x v="63"/>
    <x v="4"/>
    <n v="791.14"/>
    <x v="0"/>
    <x v="0"/>
    <m/>
    <m/>
    <m/>
    <m/>
    <m/>
    <m/>
    <m/>
    <m/>
    <m/>
    <m/>
    <m/>
    <m/>
    <x v="2"/>
    <x v="0"/>
  </r>
  <r>
    <x v="1"/>
    <x v="64"/>
    <x v="4"/>
    <n v="199.87"/>
    <x v="0"/>
    <x v="55"/>
    <m/>
    <m/>
    <m/>
    <m/>
    <m/>
    <m/>
    <m/>
    <m/>
    <m/>
    <m/>
    <m/>
    <m/>
    <x v="2"/>
    <x v="0"/>
  </r>
  <r>
    <x v="1"/>
    <x v="65"/>
    <x v="5"/>
    <n v="9754"/>
    <x v="0"/>
    <x v="56"/>
    <m/>
    <m/>
    <m/>
    <m/>
    <m/>
    <m/>
    <m/>
    <m/>
    <m/>
    <m/>
    <m/>
    <m/>
    <x v="2"/>
    <x v="0"/>
  </r>
  <r>
    <x v="1"/>
    <x v="66"/>
    <x v="8"/>
    <n v="1641"/>
    <x v="0"/>
    <x v="57"/>
    <m/>
    <m/>
    <m/>
    <m/>
    <m/>
    <m/>
    <n v="2"/>
    <m/>
    <m/>
    <m/>
    <m/>
    <m/>
    <x v="2"/>
    <x v="0"/>
  </r>
  <r>
    <x v="1"/>
    <x v="67"/>
    <x v="4"/>
    <n v="5290.69"/>
    <x v="0"/>
    <x v="58"/>
    <m/>
    <m/>
    <m/>
    <m/>
    <m/>
    <m/>
    <m/>
    <m/>
    <m/>
    <m/>
    <m/>
    <m/>
    <x v="2"/>
    <x v="0"/>
  </r>
  <r>
    <x v="1"/>
    <x v="68"/>
    <x v="7"/>
    <n v="6200"/>
    <x v="0"/>
    <x v="59"/>
    <m/>
    <m/>
    <m/>
    <m/>
    <m/>
    <m/>
    <m/>
    <m/>
    <m/>
    <m/>
    <m/>
    <m/>
    <x v="2"/>
    <x v="0"/>
  </r>
  <r>
    <x v="1"/>
    <x v="69"/>
    <x v="8"/>
    <n v="679"/>
    <x v="0"/>
    <x v="60"/>
    <m/>
    <m/>
    <m/>
    <m/>
    <m/>
    <m/>
    <m/>
    <m/>
    <m/>
    <m/>
    <m/>
    <m/>
    <x v="2"/>
    <x v="0"/>
  </r>
  <r>
    <x v="1"/>
    <x v="70"/>
    <x v="22"/>
    <n v="132"/>
    <x v="0"/>
    <x v="0"/>
    <m/>
    <m/>
    <m/>
    <m/>
    <m/>
    <m/>
    <m/>
    <m/>
    <m/>
    <m/>
    <m/>
    <m/>
    <x v="2"/>
    <x v="0"/>
  </r>
  <r>
    <x v="1"/>
    <x v="71"/>
    <x v="4"/>
    <n v="24165"/>
    <x v="0"/>
    <x v="43"/>
    <m/>
    <m/>
    <m/>
    <m/>
    <m/>
    <m/>
    <m/>
    <m/>
    <m/>
    <m/>
    <m/>
    <m/>
    <x v="1"/>
    <x v="0"/>
  </r>
  <r>
    <x v="1"/>
    <x v="72"/>
    <x v="1"/>
    <n v="50307"/>
    <x v="0"/>
    <x v="43"/>
    <m/>
    <m/>
    <m/>
    <m/>
    <m/>
    <m/>
    <m/>
    <m/>
    <m/>
    <m/>
    <m/>
    <m/>
    <x v="1"/>
    <x v="0"/>
  </r>
  <r>
    <x v="2"/>
    <x v="73"/>
    <x v="22"/>
    <n v="171532"/>
    <x v="0"/>
    <x v="61"/>
    <m/>
    <m/>
    <m/>
    <m/>
    <m/>
    <m/>
    <m/>
    <m/>
    <m/>
    <m/>
    <m/>
    <m/>
    <x v="1"/>
    <x v="0"/>
  </r>
  <r>
    <x v="2"/>
    <x v="74"/>
    <x v="23"/>
    <n v="21347"/>
    <x v="0"/>
    <x v="62"/>
    <m/>
    <m/>
    <m/>
    <m/>
    <m/>
    <m/>
    <n v="1"/>
    <m/>
    <n v="7"/>
    <m/>
    <m/>
    <m/>
    <x v="2"/>
    <x v="0"/>
  </r>
  <r>
    <x v="2"/>
    <x v="75"/>
    <x v="8"/>
    <n v="2639"/>
    <x v="0"/>
    <x v="63"/>
    <m/>
    <m/>
    <m/>
    <m/>
    <m/>
    <m/>
    <m/>
    <m/>
    <m/>
    <m/>
    <m/>
    <m/>
    <x v="2"/>
    <x v="0"/>
  </r>
  <r>
    <x v="2"/>
    <x v="76"/>
    <x v="10"/>
    <n v="278"/>
    <x v="0"/>
    <x v="64"/>
    <m/>
    <m/>
    <m/>
    <m/>
    <m/>
    <m/>
    <m/>
    <m/>
    <m/>
    <m/>
    <m/>
    <m/>
    <x v="2"/>
    <x v="0"/>
  </r>
  <r>
    <x v="2"/>
    <x v="77"/>
    <x v="4"/>
    <n v="200"/>
    <x v="0"/>
    <x v="65"/>
    <m/>
    <m/>
    <m/>
    <m/>
    <m/>
    <m/>
    <m/>
    <m/>
    <m/>
    <m/>
    <m/>
    <m/>
    <x v="2"/>
    <x v="0"/>
  </r>
  <r>
    <x v="2"/>
    <x v="78"/>
    <x v="24"/>
    <n v="169"/>
    <x v="0"/>
    <x v="66"/>
    <m/>
    <m/>
    <m/>
    <m/>
    <m/>
    <m/>
    <m/>
    <m/>
    <m/>
    <m/>
    <m/>
    <m/>
    <x v="2"/>
    <x v="0"/>
  </r>
  <r>
    <x v="2"/>
    <x v="79"/>
    <x v="19"/>
    <n v="141"/>
    <x v="0"/>
    <x v="67"/>
    <m/>
    <m/>
    <m/>
    <m/>
    <m/>
    <m/>
    <m/>
    <m/>
    <m/>
    <m/>
    <m/>
    <m/>
    <x v="2"/>
    <x v="0"/>
  </r>
  <r>
    <x v="2"/>
    <x v="80"/>
    <x v="9"/>
    <n v="133.65"/>
    <x v="0"/>
    <x v="68"/>
    <m/>
    <m/>
    <m/>
    <m/>
    <m/>
    <m/>
    <m/>
    <m/>
    <m/>
    <m/>
    <m/>
    <m/>
    <x v="2"/>
    <x v="0"/>
  </r>
  <r>
    <x v="2"/>
    <x v="81"/>
    <x v="1"/>
    <n v="127311"/>
    <x v="0"/>
    <x v="43"/>
    <m/>
    <m/>
    <m/>
    <m/>
    <m/>
    <m/>
    <m/>
    <m/>
    <n v="10"/>
    <m/>
    <m/>
    <m/>
    <x v="1"/>
    <x v="1"/>
  </r>
  <r>
    <x v="2"/>
    <x v="82"/>
    <x v="22"/>
    <n v="21148"/>
    <x v="0"/>
    <x v="43"/>
    <m/>
    <m/>
    <m/>
    <m/>
    <m/>
    <m/>
    <m/>
    <m/>
    <m/>
    <m/>
    <m/>
    <m/>
    <x v="2"/>
    <x v="0"/>
  </r>
  <r>
    <x v="3"/>
    <x v="83"/>
    <x v="9"/>
    <n v="484"/>
    <x v="0"/>
    <x v="69"/>
    <m/>
    <m/>
    <m/>
    <m/>
    <m/>
    <m/>
    <m/>
    <m/>
    <m/>
    <m/>
    <m/>
    <m/>
    <x v="2"/>
    <x v="0"/>
  </r>
  <r>
    <x v="3"/>
    <x v="84"/>
    <x v="1"/>
    <n v="352.58"/>
    <x v="0"/>
    <x v="70"/>
    <m/>
    <m/>
    <m/>
    <m/>
    <m/>
    <m/>
    <m/>
    <m/>
    <m/>
    <m/>
    <m/>
    <m/>
    <x v="2"/>
    <x v="0"/>
  </r>
  <r>
    <x v="3"/>
    <x v="85"/>
    <x v="25"/>
    <n v="34241.69"/>
    <x v="0"/>
    <x v="71"/>
    <m/>
    <m/>
    <m/>
    <m/>
    <m/>
    <m/>
    <m/>
    <m/>
    <n v="5"/>
    <m/>
    <m/>
    <m/>
    <x v="1"/>
    <x v="0"/>
  </r>
  <r>
    <x v="3"/>
    <x v="86"/>
    <x v="1"/>
    <n v="110"/>
    <x v="0"/>
    <x v="72"/>
    <m/>
    <m/>
    <m/>
    <m/>
    <m/>
    <m/>
    <m/>
    <m/>
    <m/>
    <m/>
    <m/>
    <m/>
    <x v="2"/>
    <x v="0"/>
  </r>
  <r>
    <x v="3"/>
    <x v="87"/>
    <x v="1"/>
    <n v="31590"/>
    <x v="0"/>
    <x v="73"/>
    <m/>
    <m/>
    <m/>
    <m/>
    <m/>
    <m/>
    <m/>
    <m/>
    <m/>
    <m/>
    <m/>
    <m/>
    <x v="1"/>
    <x v="0"/>
  </r>
  <r>
    <x v="3"/>
    <x v="88"/>
    <x v="8"/>
    <n v="2137"/>
    <x v="0"/>
    <x v="74"/>
    <m/>
    <m/>
    <m/>
    <m/>
    <m/>
    <m/>
    <m/>
    <m/>
    <m/>
    <m/>
    <m/>
    <m/>
    <x v="2"/>
    <x v="0"/>
  </r>
  <r>
    <x v="3"/>
    <x v="89"/>
    <x v="26"/>
    <n v="115"/>
    <x v="0"/>
    <x v="75"/>
    <m/>
    <m/>
    <m/>
    <m/>
    <m/>
    <m/>
    <m/>
    <m/>
    <m/>
    <m/>
    <m/>
    <m/>
    <x v="2"/>
    <x v="0"/>
  </r>
  <r>
    <x v="3"/>
    <x v="90"/>
    <x v="22"/>
    <n v="152.75"/>
    <x v="0"/>
    <x v="0"/>
    <m/>
    <m/>
    <m/>
    <m/>
    <m/>
    <m/>
    <m/>
    <m/>
    <m/>
    <m/>
    <m/>
    <m/>
    <x v="2"/>
    <x v="0"/>
  </r>
  <r>
    <x v="3"/>
    <x v="91"/>
    <x v="27"/>
    <n v="309.5"/>
    <x v="0"/>
    <x v="76"/>
    <m/>
    <m/>
    <m/>
    <m/>
    <m/>
    <m/>
    <m/>
    <m/>
    <m/>
    <m/>
    <m/>
    <m/>
    <x v="2"/>
    <x v="0"/>
  </r>
  <r>
    <x v="3"/>
    <x v="92"/>
    <x v="27"/>
    <n v="244"/>
    <x v="0"/>
    <x v="77"/>
    <m/>
    <m/>
    <m/>
    <m/>
    <m/>
    <m/>
    <m/>
    <m/>
    <m/>
    <m/>
    <m/>
    <m/>
    <x v="2"/>
    <x v="0"/>
  </r>
  <r>
    <x v="3"/>
    <x v="93"/>
    <x v="10"/>
    <n v="106.68"/>
    <x v="0"/>
    <x v="78"/>
    <m/>
    <m/>
    <m/>
    <m/>
    <m/>
    <m/>
    <m/>
    <m/>
    <m/>
    <m/>
    <m/>
    <m/>
    <x v="2"/>
    <x v="0"/>
  </r>
  <r>
    <x v="3"/>
    <x v="94"/>
    <x v="2"/>
    <n v="85429"/>
    <x v="0"/>
    <x v="79"/>
    <m/>
    <m/>
    <m/>
    <m/>
    <m/>
    <m/>
    <m/>
    <m/>
    <m/>
    <m/>
    <m/>
    <m/>
    <x v="2"/>
    <x v="0"/>
  </r>
  <r>
    <x v="3"/>
    <x v="95"/>
    <x v="25"/>
    <n v="22167"/>
    <x v="0"/>
    <x v="0"/>
    <m/>
    <m/>
    <m/>
    <m/>
    <m/>
    <m/>
    <m/>
    <m/>
    <m/>
    <m/>
    <m/>
    <m/>
    <x v="2"/>
    <x v="0"/>
  </r>
  <r>
    <x v="3"/>
    <x v="96"/>
    <x v="1"/>
    <n v="763"/>
    <x v="0"/>
    <x v="80"/>
    <m/>
    <m/>
    <m/>
    <m/>
    <m/>
    <m/>
    <m/>
    <m/>
    <m/>
    <m/>
    <m/>
    <m/>
    <x v="2"/>
    <x v="0"/>
  </r>
  <r>
    <x v="3"/>
    <x v="97"/>
    <x v="7"/>
    <n v="836.7"/>
    <x v="0"/>
    <x v="0"/>
    <m/>
    <m/>
    <m/>
    <m/>
    <m/>
    <m/>
    <m/>
    <m/>
    <m/>
    <m/>
    <m/>
    <m/>
    <x v="2"/>
    <x v="0"/>
  </r>
  <r>
    <x v="3"/>
    <x v="98"/>
    <x v="4"/>
    <n v="6489.65"/>
    <x v="0"/>
    <x v="0"/>
    <m/>
    <m/>
    <m/>
    <m/>
    <m/>
    <m/>
    <m/>
    <m/>
    <m/>
    <m/>
    <m/>
    <m/>
    <x v="2"/>
    <x v="0"/>
  </r>
  <r>
    <x v="3"/>
    <x v="99"/>
    <x v="4"/>
    <n v="324.97000000000003"/>
    <x v="0"/>
    <x v="0"/>
    <m/>
    <m/>
    <m/>
    <m/>
    <m/>
    <m/>
    <m/>
    <m/>
    <m/>
    <m/>
    <m/>
    <m/>
    <x v="2"/>
    <x v="0"/>
  </r>
  <r>
    <x v="3"/>
    <x v="100"/>
    <x v="1"/>
    <n v="24518"/>
    <x v="0"/>
    <x v="81"/>
    <m/>
    <m/>
    <m/>
    <m/>
    <m/>
    <m/>
    <m/>
    <m/>
    <n v="10"/>
    <m/>
    <m/>
    <m/>
    <x v="1"/>
    <x v="0"/>
  </r>
  <r>
    <x v="4"/>
    <x v="101"/>
    <x v="21"/>
    <n v="16426"/>
    <x v="0"/>
    <x v="82"/>
    <m/>
    <m/>
    <m/>
    <m/>
    <m/>
    <m/>
    <m/>
    <m/>
    <m/>
    <m/>
    <m/>
    <m/>
    <x v="2"/>
    <x v="0"/>
  </r>
  <r>
    <x v="4"/>
    <x v="102"/>
    <x v="1"/>
    <n v="12917"/>
    <x v="0"/>
    <x v="83"/>
    <m/>
    <m/>
    <m/>
    <m/>
    <m/>
    <m/>
    <m/>
    <m/>
    <m/>
    <m/>
    <m/>
    <m/>
    <x v="2"/>
    <x v="0"/>
  </r>
  <r>
    <x v="4"/>
    <x v="103"/>
    <x v="19"/>
    <n v="54617"/>
    <x v="0"/>
    <x v="84"/>
    <m/>
    <m/>
    <m/>
    <m/>
    <m/>
    <m/>
    <m/>
    <m/>
    <n v="4"/>
    <m/>
    <m/>
    <m/>
    <x v="1"/>
    <x v="1"/>
  </r>
  <r>
    <x v="4"/>
    <x v="104"/>
    <x v="9"/>
    <n v="183026"/>
    <x v="0"/>
    <x v="85"/>
    <m/>
    <m/>
    <m/>
    <m/>
    <m/>
    <m/>
    <n v="7"/>
    <m/>
    <n v="10"/>
    <m/>
    <m/>
    <m/>
    <x v="0"/>
    <x v="1"/>
  </r>
  <r>
    <x v="4"/>
    <x v="105"/>
    <x v="5"/>
    <n v="5758"/>
    <x v="0"/>
    <x v="86"/>
    <m/>
    <m/>
    <m/>
    <m/>
    <m/>
    <m/>
    <m/>
    <m/>
    <m/>
    <m/>
    <m/>
    <m/>
    <x v="2"/>
    <x v="0"/>
  </r>
  <r>
    <x v="4"/>
    <x v="106"/>
    <x v="14"/>
    <n v="219"/>
    <x v="0"/>
    <x v="87"/>
    <m/>
    <m/>
    <m/>
    <m/>
    <m/>
    <m/>
    <m/>
    <m/>
    <n v="3"/>
    <m/>
    <m/>
    <m/>
    <x v="2"/>
    <x v="1"/>
  </r>
  <r>
    <x v="4"/>
    <x v="107"/>
    <x v="8"/>
    <n v="3822"/>
    <x v="0"/>
    <x v="88"/>
    <m/>
    <m/>
    <m/>
    <m/>
    <m/>
    <m/>
    <n v="8"/>
    <m/>
    <n v="22"/>
    <m/>
    <m/>
    <m/>
    <x v="2"/>
    <x v="1"/>
  </r>
  <r>
    <x v="4"/>
    <x v="108"/>
    <x v="11"/>
    <n v="133490"/>
    <x v="0"/>
    <x v="89"/>
    <m/>
    <m/>
    <m/>
    <m/>
    <m/>
    <m/>
    <n v="2"/>
    <m/>
    <n v="5"/>
    <m/>
    <m/>
    <m/>
    <x v="1"/>
    <x v="1"/>
  </r>
  <r>
    <x v="4"/>
    <x v="109"/>
    <x v="14"/>
    <n v="86968"/>
    <x v="0"/>
    <x v="90"/>
    <m/>
    <m/>
    <m/>
    <m/>
    <m/>
    <m/>
    <m/>
    <n v="1"/>
    <n v="1"/>
    <m/>
    <m/>
    <m/>
    <x v="2"/>
    <x v="1"/>
  </r>
  <r>
    <x v="4"/>
    <x v="110"/>
    <x v="4"/>
    <n v="4149"/>
    <x v="0"/>
    <x v="91"/>
    <m/>
    <m/>
    <m/>
    <m/>
    <m/>
    <m/>
    <m/>
    <m/>
    <n v="2"/>
    <m/>
    <m/>
    <m/>
    <x v="2"/>
    <x v="1"/>
  </r>
  <r>
    <x v="4"/>
    <x v="111"/>
    <x v="4"/>
    <n v="1970"/>
    <x v="0"/>
    <x v="92"/>
    <m/>
    <m/>
    <m/>
    <m/>
    <m/>
    <m/>
    <n v="1"/>
    <m/>
    <n v="3"/>
    <m/>
    <m/>
    <m/>
    <x v="2"/>
    <x v="1"/>
  </r>
  <r>
    <x v="4"/>
    <x v="112"/>
    <x v="19"/>
    <n v="294265"/>
    <x v="0"/>
    <x v="93"/>
    <m/>
    <m/>
    <m/>
    <m/>
    <m/>
    <m/>
    <n v="4"/>
    <m/>
    <n v="19"/>
    <m/>
    <m/>
    <m/>
    <x v="1"/>
    <x v="1"/>
  </r>
  <r>
    <x v="4"/>
    <x v="113"/>
    <x v="7"/>
    <n v="5176"/>
    <x v="0"/>
    <x v="94"/>
    <m/>
    <m/>
    <m/>
    <m/>
    <m/>
    <m/>
    <m/>
    <m/>
    <n v="7"/>
    <m/>
    <m/>
    <m/>
    <x v="2"/>
    <x v="1"/>
  </r>
  <r>
    <x v="4"/>
    <x v="114"/>
    <x v="20"/>
    <n v="151689"/>
    <x v="0"/>
    <x v="95"/>
    <m/>
    <m/>
    <m/>
    <m/>
    <m/>
    <m/>
    <n v="13"/>
    <m/>
    <n v="15"/>
    <m/>
    <n v="1"/>
    <m/>
    <x v="1"/>
    <x v="1"/>
  </r>
  <r>
    <x v="4"/>
    <x v="115"/>
    <x v="5"/>
    <n v="9462"/>
    <x v="0"/>
    <x v="96"/>
    <m/>
    <m/>
    <m/>
    <m/>
    <m/>
    <m/>
    <m/>
    <n v="1"/>
    <m/>
    <m/>
    <m/>
    <m/>
    <x v="2"/>
    <x v="1"/>
  </r>
  <r>
    <x v="4"/>
    <x v="116"/>
    <x v="8"/>
    <n v="1551"/>
    <x v="0"/>
    <x v="97"/>
    <m/>
    <m/>
    <m/>
    <m/>
    <m/>
    <m/>
    <m/>
    <m/>
    <n v="2"/>
    <m/>
    <m/>
    <m/>
    <x v="2"/>
    <x v="1"/>
  </r>
  <r>
    <x v="4"/>
    <x v="117"/>
    <x v="7"/>
    <n v="18286"/>
    <x v="0"/>
    <x v="98"/>
    <m/>
    <m/>
    <m/>
    <m/>
    <m/>
    <m/>
    <m/>
    <m/>
    <n v="6"/>
    <m/>
    <m/>
    <m/>
    <x v="2"/>
    <x v="1"/>
  </r>
  <r>
    <x v="4"/>
    <x v="118"/>
    <x v="28"/>
    <n v="137222"/>
    <x v="0"/>
    <x v="99"/>
    <m/>
    <m/>
    <m/>
    <m/>
    <m/>
    <m/>
    <n v="3"/>
    <m/>
    <n v="9"/>
    <m/>
    <m/>
    <m/>
    <x v="1"/>
    <x v="1"/>
  </r>
  <r>
    <x v="4"/>
    <x v="119"/>
    <x v="7"/>
    <n v="15170"/>
    <x v="0"/>
    <x v="100"/>
    <m/>
    <m/>
    <m/>
    <m/>
    <m/>
    <m/>
    <m/>
    <m/>
    <n v="2"/>
    <m/>
    <m/>
    <m/>
    <x v="2"/>
    <x v="1"/>
  </r>
  <r>
    <x v="4"/>
    <x v="120"/>
    <x v="15"/>
    <n v="176661"/>
    <x v="0"/>
    <x v="101"/>
    <m/>
    <m/>
    <m/>
    <m/>
    <m/>
    <m/>
    <n v="2"/>
    <m/>
    <n v="6"/>
    <m/>
    <m/>
    <m/>
    <x v="2"/>
    <x v="1"/>
  </r>
  <r>
    <x v="4"/>
    <x v="121"/>
    <x v="19"/>
    <n v="18234"/>
    <x v="0"/>
    <x v="102"/>
    <m/>
    <m/>
    <m/>
    <m/>
    <m/>
    <m/>
    <n v="2"/>
    <m/>
    <n v="13"/>
    <m/>
    <m/>
    <m/>
    <x v="2"/>
    <x v="1"/>
  </r>
  <r>
    <x v="4"/>
    <x v="122"/>
    <x v="14"/>
    <n v="30186"/>
    <x v="0"/>
    <x v="103"/>
    <m/>
    <m/>
    <m/>
    <m/>
    <m/>
    <m/>
    <m/>
    <m/>
    <m/>
    <m/>
    <m/>
    <m/>
    <x v="2"/>
    <x v="1"/>
  </r>
  <r>
    <x v="4"/>
    <x v="123"/>
    <x v="9"/>
    <n v="752"/>
    <x v="0"/>
    <x v="104"/>
    <m/>
    <m/>
    <m/>
    <m/>
    <m/>
    <m/>
    <m/>
    <m/>
    <n v="1"/>
    <m/>
    <m/>
    <m/>
    <x v="2"/>
    <x v="1"/>
  </r>
  <r>
    <x v="4"/>
    <x v="124"/>
    <x v="7"/>
    <n v="631"/>
    <x v="0"/>
    <x v="105"/>
    <m/>
    <m/>
    <m/>
    <m/>
    <m/>
    <m/>
    <m/>
    <m/>
    <m/>
    <m/>
    <m/>
    <m/>
    <x v="2"/>
    <x v="0"/>
  </r>
  <r>
    <x v="4"/>
    <x v="125"/>
    <x v="19"/>
    <n v="544"/>
    <x v="0"/>
    <x v="106"/>
    <m/>
    <m/>
    <m/>
    <m/>
    <m/>
    <m/>
    <m/>
    <m/>
    <m/>
    <m/>
    <m/>
    <m/>
    <x v="2"/>
    <x v="0"/>
  </r>
  <r>
    <x v="4"/>
    <x v="126"/>
    <x v="0"/>
    <n v="199"/>
    <x v="0"/>
    <x v="107"/>
    <m/>
    <m/>
    <m/>
    <m/>
    <m/>
    <m/>
    <m/>
    <m/>
    <m/>
    <m/>
    <m/>
    <m/>
    <x v="2"/>
    <x v="0"/>
  </r>
  <r>
    <x v="4"/>
    <x v="127"/>
    <x v="16"/>
    <n v="206"/>
    <x v="0"/>
    <x v="108"/>
    <m/>
    <m/>
    <m/>
    <m/>
    <m/>
    <m/>
    <m/>
    <m/>
    <m/>
    <m/>
    <m/>
    <m/>
    <x v="2"/>
    <x v="0"/>
  </r>
  <r>
    <x v="4"/>
    <x v="128"/>
    <x v="19"/>
    <n v="115"/>
    <x v="0"/>
    <x v="109"/>
    <m/>
    <m/>
    <m/>
    <m/>
    <m/>
    <m/>
    <m/>
    <m/>
    <m/>
    <m/>
    <m/>
    <m/>
    <x v="2"/>
    <x v="0"/>
  </r>
  <r>
    <x v="4"/>
    <x v="129"/>
    <x v="11"/>
    <n v="5771"/>
    <x v="0"/>
    <x v="110"/>
    <m/>
    <m/>
    <m/>
    <m/>
    <m/>
    <m/>
    <m/>
    <m/>
    <m/>
    <m/>
    <m/>
    <m/>
    <x v="2"/>
    <x v="0"/>
  </r>
  <r>
    <x v="4"/>
    <x v="130"/>
    <x v="5"/>
    <n v="2853"/>
    <x v="0"/>
    <x v="111"/>
    <m/>
    <m/>
    <m/>
    <m/>
    <m/>
    <m/>
    <m/>
    <m/>
    <m/>
    <m/>
    <m/>
    <m/>
    <x v="2"/>
    <x v="0"/>
  </r>
  <r>
    <x v="4"/>
    <x v="131"/>
    <x v="11"/>
    <n v="312"/>
    <x v="0"/>
    <x v="112"/>
    <m/>
    <m/>
    <m/>
    <m/>
    <m/>
    <m/>
    <m/>
    <m/>
    <m/>
    <m/>
    <m/>
    <m/>
    <x v="2"/>
    <x v="0"/>
  </r>
  <r>
    <x v="4"/>
    <x v="132"/>
    <x v="14"/>
    <n v="1581"/>
    <x v="0"/>
    <x v="113"/>
    <m/>
    <m/>
    <m/>
    <m/>
    <m/>
    <m/>
    <m/>
    <m/>
    <m/>
    <m/>
    <m/>
    <m/>
    <x v="2"/>
    <x v="0"/>
  </r>
  <r>
    <x v="4"/>
    <x v="81"/>
    <x v="11"/>
    <n v="1546"/>
    <x v="0"/>
    <x v="114"/>
    <m/>
    <m/>
    <m/>
    <m/>
    <m/>
    <m/>
    <m/>
    <m/>
    <m/>
    <m/>
    <m/>
    <m/>
    <x v="2"/>
    <x v="0"/>
  </r>
  <r>
    <x v="4"/>
    <x v="133"/>
    <x v="22"/>
    <n v="1108"/>
    <x v="0"/>
    <x v="115"/>
    <m/>
    <m/>
    <m/>
    <m/>
    <m/>
    <m/>
    <m/>
    <m/>
    <m/>
    <m/>
    <m/>
    <m/>
    <x v="2"/>
    <x v="0"/>
  </r>
  <r>
    <x v="4"/>
    <x v="134"/>
    <x v="15"/>
    <n v="20019"/>
    <x v="0"/>
    <x v="116"/>
    <m/>
    <m/>
    <m/>
    <m/>
    <m/>
    <m/>
    <m/>
    <m/>
    <m/>
    <m/>
    <m/>
    <m/>
    <x v="2"/>
    <x v="0"/>
  </r>
  <r>
    <x v="4"/>
    <x v="135"/>
    <x v="11"/>
    <n v="411"/>
    <x v="0"/>
    <x v="117"/>
    <m/>
    <m/>
    <m/>
    <m/>
    <m/>
    <m/>
    <m/>
    <m/>
    <m/>
    <m/>
    <m/>
    <m/>
    <x v="2"/>
    <x v="0"/>
  </r>
  <r>
    <x v="4"/>
    <x v="136"/>
    <x v="4"/>
    <n v="11142"/>
    <x v="0"/>
    <x v="118"/>
    <m/>
    <m/>
    <m/>
    <m/>
    <m/>
    <m/>
    <m/>
    <m/>
    <m/>
    <m/>
    <m/>
    <m/>
    <x v="2"/>
    <x v="0"/>
  </r>
  <r>
    <x v="4"/>
    <x v="137"/>
    <x v="9"/>
    <n v="131"/>
    <x v="0"/>
    <x v="119"/>
    <m/>
    <m/>
    <m/>
    <m/>
    <m/>
    <m/>
    <m/>
    <m/>
    <m/>
    <m/>
    <m/>
    <m/>
    <x v="2"/>
    <x v="0"/>
  </r>
  <r>
    <x v="4"/>
    <x v="138"/>
    <x v="14"/>
    <n v="3200"/>
    <x v="0"/>
    <x v="120"/>
    <m/>
    <m/>
    <m/>
    <m/>
    <m/>
    <m/>
    <m/>
    <m/>
    <m/>
    <m/>
    <m/>
    <m/>
    <x v="2"/>
    <x v="0"/>
  </r>
  <r>
    <x v="4"/>
    <x v="139"/>
    <x v="5"/>
    <n v="36362"/>
    <x v="0"/>
    <x v="121"/>
    <m/>
    <m/>
    <m/>
    <m/>
    <m/>
    <m/>
    <m/>
    <m/>
    <m/>
    <m/>
    <m/>
    <m/>
    <x v="2"/>
    <x v="0"/>
  </r>
  <r>
    <x v="4"/>
    <x v="140"/>
    <x v="13"/>
    <n v="24446"/>
    <x v="0"/>
    <x v="122"/>
    <m/>
    <m/>
    <m/>
    <m/>
    <m/>
    <m/>
    <m/>
    <m/>
    <m/>
    <m/>
    <m/>
    <m/>
    <x v="2"/>
    <x v="0"/>
  </r>
  <r>
    <x v="4"/>
    <x v="141"/>
    <x v="27"/>
    <n v="2555"/>
    <x v="0"/>
    <x v="123"/>
    <m/>
    <m/>
    <m/>
    <m/>
    <m/>
    <m/>
    <m/>
    <m/>
    <m/>
    <m/>
    <m/>
    <m/>
    <x v="2"/>
    <x v="0"/>
  </r>
  <r>
    <x v="4"/>
    <x v="142"/>
    <x v="11"/>
    <n v="462"/>
    <x v="0"/>
    <x v="124"/>
    <m/>
    <m/>
    <m/>
    <m/>
    <m/>
    <m/>
    <m/>
    <m/>
    <m/>
    <m/>
    <m/>
    <m/>
    <x v="2"/>
    <x v="0"/>
  </r>
  <r>
    <x v="4"/>
    <x v="143"/>
    <x v="11"/>
    <n v="2665"/>
    <x v="0"/>
    <x v="125"/>
    <m/>
    <m/>
    <m/>
    <m/>
    <m/>
    <m/>
    <m/>
    <m/>
    <m/>
    <m/>
    <m/>
    <m/>
    <x v="2"/>
    <x v="0"/>
  </r>
  <r>
    <x v="4"/>
    <x v="144"/>
    <x v="11"/>
    <n v="98855"/>
    <x v="0"/>
    <x v="126"/>
    <m/>
    <m/>
    <m/>
    <m/>
    <m/>
    <m/>
    <m/>
    <m/>
    <m/>
    <m/>
    <m/>
    <m/>
    <x v="2"/>
    <x v="0"/>
  </r>
  <r>
    <x v="4"/>
    <x v="145"/>
    <x v="9"/>
    <n v="19000"/>
    <x v="0"/>
    <x v="127"/>
    <m/>
    <m/>
    <m/>
    <m/>
    <m/>
    <m/>
    <m/>
    <m/>
    <m/>
    <m/>
    <m/>
    <m/>
    <x v="2"/>
    <x v="0"/>
  </r>
  <r>
    <x v="4"/>
    <x v="146"/>
    <x v="21"/>
    <n v="180"/>
    <x v="0"/>
    <x v="128"/>
    <m/>
    <m/>
    <m/>
    <m/>
    <m/>
    <m/>
    <m/>
    <m/>
    <m/>
    <m/>
    <m/>
    <m/>
    <x v="2"/>
    <x v="0"/>
  </r>
  <r>
    <x v="4"/>
    <x v="147"/>
    <x v="11"/>
    <n v="7105"/>
    <x v="0"/>
    <x v="129"/>
    <m/>
    <m/>
    <m/>
    <m/>
    <m/>
    <m/>
    <m/>
    <m/>
    <m/>
    <m/>
    <m/>
    <m/>
    <x v="2"/>
    <x v="0"/>
  </r>
  <r>
    <x v="4"/>
    <x v="148"/>
    <x v="1"/>
    <n v="25951"/>
    <x v="0"/>
    <x v="130"/>
    <m/>
    <m/>
    <m/>
    <m/>
    <m/>
    <m/>
    <m/>
    <m/>
    <m/>
    <m/>
    <m/>
    <m/>
    <x v="2"/>
    <x v="0"/>
  </r>
  <r>
    <x v="4"/>
    <x v="149"/>
    <x v="8"/>
    <n v="6340"/>
    <x v="0"/>
    <x v="131"/>
    <m/>
    <m/>
    <m/>
    <m/>
    <m/>
    <m/>
    <m/>
    <m/>
    <m/>
    <m/>
    <m/>
    <m/>
    <x v="2"/>
    <x v="0"/>
  </r>
  <r>
    <x v="4"/>
    <x v="150"/>
    <x v="7"/>
    <n v="1313"/>
    <x v="0"/>
    <x v="132"/>
    <m/>
    <m/>
    <m/>
    <m/>
    <m/>
    <m/>
    <m/>
    <m/>
    <m/>
    <m/>
    <m/>
    <m/>
    <x v="2"/>
    <x v="0"/>
  </r>
  <r>
    <x v="4"/>
    <x v="151"/>
    <x v="6"/>
    <n v="5286"/>
    <x v="0"/>
    <x v="133"/>
    <m/>
    <m/>
    <m/>
    <m/>
    <m/>
    <m/>
    <m/>
    <m/>
    <m/>
    <m/>
    <m/>
    <m/>
    <x v="2"/>
    <x v="0"/>
  </r>
  <r>
    <x v="4"/>
    <x v="152"/>
    <x v="21"/>
    <n v="250"/>
    <x v="0"/>
    <x v="134"/>
    <m/>
    <m/>
    <m/>
    <m/>
    <m/>
    <m/>
    <m/>
    <m/>
    <m/>
    <m/>
    <m/>
    <m/>
    <x v="2"/>
    <x v="0"/>
  </r>
  <r>
    <x v="4"/>
    <x v="153"/>
    <x v="1"/>
    <n v="3485"/>
    <x v="0"/>
    <x v="135"/>
    <m/>
    <m/>
    <m/>
    <m/>
    <m/>
    <m/>
    <m/>
    <m/>
    <m/>
    <m/>
    <m/>
    <m/>
    <x v="2"/>
    <x v="0"/>
  </r>
  <r>
    <x v="4"/>
    <x v="154"/>
    <x v="15"/>
    <n v="485"/>
    <x v="0"/>
    <x v="136"/>
    <m/>
    <m/>
    <m/>
    <m/>
    <m/>
    <m/>
    <m/>
    <m/>
    <m/>
    <m/>
    <m/>
    <m/>
    <x v="2"/>
    <x v="0"/>
  </r>
  <r>
    <x v="4"/>
    <x v="155"/>
    <x v="21"/>
    <n v="6537"/>
    <x v="0"/>
    <x v="137"/>
    <m/>
    <m/>
    <m/>
    <m/>
    <m/>
    <m/>
    <m/>
    <m/>
    <m/>
    <m/>
    <m/>
    <m/>
    <x v="2"/>
    <x v="0"/>
  </r>
  <r>
    <x v="4"/>
    <x v="156"/>
    <x v="15"/>
    <n v="1060"/>
    <x v="0"/>
    <x v="138"/>
    <m/>
    <m/>
    <m/>
    <m/>
    <m/>
    <m/>
    <m/>
    <m/>
    <m/>
    <m/>
    <m/>
    <m/>
    <x v="2"/>
    <x v="0"/>
  </r>
  <r>
    <x v="4"/>
    <x v="157"/>
    <x v="20"/>
    <n v="5000"/>
    <x v="0"/>
    <x v="139"/>
    <m/>
    <m/>
    <m/>
    <m/>
    <m/>
    <m/>
    <m/>
    <m/>
    <m/>
    <m/>
    <m/>
    <m/>
    <x v="2"/>
    <x v="0"/>
  </r>
  <r>
    <x v="4"/>
    <x v="158"/>
    <x v="8"/>
    <n v="3060"/>
    <x v="0"/>
    <x v="140"/>
    <m/>
    <m/>
    <m/>
    <m/>
    <m/>
    <m/>
    <m/>
    <m/>
    <m/>
    <m/>
    <m/>
    <m/>
    <x v="2"/>
    <x v="0"/>
  </r>
  <r>
    <x v="4"/>
    <x v="159"/>
    <x v="20"/>
    <n v="461"/>
    <x v="0"/>
    <x v="141"/>
    <m/>
    <m/>
    <m/>
    <m/>
    <m/>
    <m/>
    <m/>
    <m/>
    <m/>
    <m/>
    <m/>
    <m/>
    <x v="2"/>
    <x v="0"/>
  </r>
  <r>
    <x v="4"/>
    <x v="160"/>
    <x v="21"/>
    <n v="108"/>
    <x v="0"/>
    <x v="142"/>
    <m/>
    <m/>
    <m/>
    <m/>
    <m/>
    <m/>
    <m/>
    <m/>
    <m/>
    <m/>
    <m/>
    <m/>
    <x v="2"/>
    <x v="0"/>
  </r>
  <r>
    <x v="4"/>
    <x v="161"/>
    <x v="20"/>
    <n v="6250"/>
    <x v="0"/>
    <x v="143"/>
    <m/>
    <m/>
    <m/>
    <m/>
    <m/>
    <m/>
    <m/>
    <m/>
    <m/>
    <m/>
    <m/>
    <m/>
    <x v="2"/>
    <x v="0"/>
  </r>
  <r>
    <x v="4"/>
    <x v="162"/>
    <x v="15"/>
    <n v="7582"/>
    <x v="0"/>
    <x v="144"/>
    <m/>
    <m/>
    <m/>
    <m/>
    <m/>
    <m/>
    <m/>
    <m/>
    <m/>
    <m/>
    <m/>
    <m/>
    <x v="2"/>
    <x v="0"/>
  </r>
  <r>
    <x v="4"/>
    <x v="163"/>
    <x v="3"/>
    <n v="702"/>
    <x v="0"/>
    <x v="145"/>
    <m/>
    <m/>
    <m/>
    <m/>
    <m/>
    <m/>
    <m/>
    <m/>
    <m/>
    <m/>
    <m/>
    <m/>
    <x v="2"/>
    <x v="0"/>
  </r>
  <r>
    <x v="4"/>
    <x v="164"/>
    <x v="13"/>
    <n v="26817"/>
    <x v="0"/>
    <x v="146"/>
    <m/>
    <m/>
    <m/>
    <m/>
    <m/>
    <m/>
    <m/>
    <m/>
    <m/>
    <m/>
    <m/>
    <m/>
    <x v="2"/>
    <x v="0"/>
  </r>
  <r>
    <x v="4"/>
    <x v="165"/>
    <x v="11"/>
    <n v="11061"/>
    <x v="0"/>
    <x v="147"/>
    <m/>
    <m/>
    <m/>
    <m/>
    <m/>
    <m/>
    <m/>
    <m/>
    <m/>
    <m/>
    <m/>
    <m/>
    <x v="2"/>
    <x v="0"/>
  </r>
  <r>
    <x v="4"/>
    <x v="166"/>
    <x v="20"/>
    <n v="2600"/>
    <x v="0"/>
    <x v="148"/>
    <m/>
    <m/>
    <m/>
    <m/>
    <m/>
    <m/>
    <m/>
    <m/>
    <m/>
    <m/>
    <m/>
    <m/>
    <x v="2"/>
    <x v="0"/>
  </r>
  <r>
    <x v="4"/>
    <x v="167"/>
    <x v="5"/>
    <n v="105"/>
    <x v="0"/>
    <x v="149"/>
    <m/>
    <m/>
    <m/>
    <m/>
    <m/>
    <m/>
    <m/>
    <m/>
    <m/>
    <m/>
    <m/>
    <m/>
    <x v="2"/>
    <x v="0"/>
  </r>
  <r>
    <x v="4"/>
    <x v="168"/>
    <x v="20"/>
    <n v="54005"/>
    <x v="0"/>
    <x v="150"/>
    <m/>
    <m/>
    <m/>
    <m/>
    <m/>
    <m/>
    <m/>
    <m/>
    <m/>
    <m/>
    <m/>
    <m/>
    <x v="2"/>
    <x v="0"/>
  </r>
  <r>
    <x v="4"/>
    <x v="169"/>
    <x v="21"/>
    <n v="725"/>
    <x v="0"/>
    <x v="151"/>
    <m/>
    <m/>
    <m/>
    <m/>
    <m/>
    <m/>
    <m/>
    <m/>
    <m/>
    <m/>
    <m/>
    <m/>
    <x v="2"/>
    <x v="0"/>
  </r>
  <r>
    <x v="4"/>
    <x v="170"/>
    <x v="11"/>
    <n v="2815"/>
    <x v="0"/>
    <x v="152"/>
    <m/>
    <m/>
    <m/>
    <m/>
    <m/>
    <m/>
    <m/>
    <m/>
    <m/>
    <m/>
    <m/>
    <m/>
    <x v="2"/>
    <x v="0"/>
  </r>
  <r>
    <x v="4"/>
    <x v="171"/>
    <x v="6"/>
    <n v="1143"/>
    <x v="0"/>
    <x v="153"/>
    <m/>
    <m/>
    <m/>
    <m/>
    <m/>
    <m/>
    <m/>
    <m/>
    <m/>
    <m/>
    <m/>
    <m/>
    <x v="2"/>
    <x v="0"/>
  </r>
  <r>
    <x v="4"/>
    <x v="172"/>
    <x v="5"/>
    <n v="65866"/>
    <x v="0"/>
    <x v="154"/>
    <m/>
    <m/>
    <m/>
    <m/>
    <m/>
    <m/>
    <m/>
    <m/>
    <m/>
    <m/>
    <m/>
    <m/>
    <x v="2"/>
    <x v="0"/>
  </r>
  <r>
    <x v="4"/>
    <x v="173"/>
    <x v="15"/>
    <n v="281"/>
    <x v="0"/>
    <x v="155"/>
    <m/>
    <m/>
    <m/>
    <m/>
    <m/>
    <m/>
    <m/>
    <m/>
    <m/>
    <m/>
    <m/>
    <m/>
    <x v="2"/>
    <x v="0"/>
  </r>
  <r>
    <x v="4"/>
    <x v="174"/>
    <x v="20"/>
    <n v="4345"/>
    <x v="0"/>
    <x v="156"/>
    <m/>
    <m/>
    <m/>
    <m/>
    <m/>
    <m/>
    <m/>
    <m/>
    <m/>
    <m/>
    <m/>
    <m/>
    <x v="2"/>
    <x v="0"/>
  </r>
  <r>
    <x v="4"/>
    <x v="175"/>
    <x v="17"/>
    <n v="3239"/>
    <x v="0"/>
    <x v="157"/>
    <m/>
    <m/>
    <m/>
    <m/>
    <m/>
    <m/>
    <m/>
    <m/>
    <m/>
    <m/>
    <m/>
    <m/>
    <x v="2"/>
    <x v="0"/>
  </r>
  <r>
    <x v="4"/>
    <x v="176"/>
    <x v="21"/>
    <n v="168"/>
    <x v="0"/>
    <x v="158"/>
    <m/>
    <m/>
    <m/>
    <m/>
    <m/>
    <m/>
    <m/>
    <m/>
    <m/>
    <m/>
    <m/>
    <m/>
    <x v="2"/>
    <x v="0"/>
  </r>
  <r>
    <x v="4"/>
    <x v="177"/>
    <x v="27"/>
    <n v="28345"/>
    <x v="0"/>
    <x v="159"/>
    <m/>
    <m/>
    <m/>
    <m/>
    <m/>
    <m/>
    <m/>
    <m/>
    <m/>
    <m/>
    <m/>
    <m/>
    <x v="2"/>
    <x v="0"/>
  </r>
  <r>
    <x v="4"/>
    <x v="178"/>
    <x v="1"/>
    <n v="5313"/>
    <x v="0"/>
    <x v="160"/>
    <m/>
    <m/>
    <m/>
    <m/>
    <m/>
    <m/>
    <m/>
    <m/>
    <m/>
    <m/>
    <m/>
    <m/>
    <x v="2"/>
    <x v="0"/>
  </r>
  <r>
    <x v="5"/>
    <x v="179"/>
    <x v="13"/>
    <n v="1776"/>
    <x v="0"/>
    <x v="161"/>
    <m/>
    <m/>
    <m/>
    <m/>
    <m/>
    <m/>
    <m/>
    <m/>
    <n v="1"/>
    <m/>
    <m/>
    <m/>
    <x v="2"/>
    <x v="1"/>
  </r>
  <r>
    <x v="5"/>
    <x v="180"/>
    <x v="21"/>
    <n v="36"/>
    <x v="0"/>
    <x v="162"/>
    <m/>
    <m/>
    <m/>
    <m/>
    <m/>
    <m/>
    <m/>
    <m/>
    <m/>
    <m/>
    <m/>
    <m/>
    <x v="2"/>
    <x v="0"/>
  </r>
  <r>
    <x v="5"/>
    <x v="181"/>
    <x v="7"/>
    <n v="799"/>
    <x v="0"/>
    <x v="163"/>
    <m/>
    <m/>
    <m/>
    <m/>
    <m/>
    <m/>
    <m/>
    <m/>
    <m/>
    <m/>
    <m/>
    <m/>
    <x v="0"/>
    <x v="0"/>
  </r>
  <r>
    <x v="5"/>
    <x v="182"/>
    <x v="19"/>
    <n v="150"/>
    <x v="0"/>
    <x v="164"/>
    <m/>
    <m/>
    <m/>
    <m/>
    <m/>
    <m/>
    <m/>
    <m/>
    <m/>
    <m/>
    <m/>
    <m/>
    <x v="2"/>
    <x v="0"/>
  </r>
  <r>
    <x v="5"/>
    <x v="183"/>
    <x v="7"/>
    <n v="3700"/>
    <x v="0"/>
    <x v="165"/>
    <m/>
    <m/>
    <m/>
    <m/>
    <m/>
    <m/>
    <n v="56"/>
    <m/>
    <n v="91"/>
    <n v="11"/>
    <m/>
    <n v="2"/>
    <x v="2"/>
    <x v="1"/>
  </r>
  <r>
    <x v="5"/>
    <x v="184"/>
    <x v="8"/>
    <n v="1"/>
    <x v="0"/>
    <x v="166"/>
    <m/>
    <m/>
    <m/>
    <m/>
    <m/>
    <m/>
    <m/>
    <m/>
    <m/>
    <m/>
    <m/>
    <m/>
    <x v="2"/>
    <x v="0"/>
  </r>
  <r>
    <x v="5"/>
    <x v="185"/>
    <x v="29"/>
    <n v="10458"/>
    <x v="0"/>
    <x v="167"/>
    <m/>
    <m/>
    <m/>
    <m/>
    <m/>
    <m/>
    <m/>
    <m/>
    <m/>
    <m/>
    <m/>
    <m/>
    <x v="2"/>
    <x v="0"/>
  </r>
  <r>
    <x v="5"/>
    <x v="186"/>
    <x v="10"/>
    <n v="3278"/>
    <x v="0"/>
    <x v="168"/>
    <m/>
    <m/>
    <m/>
    <m/>
    <m/>
    <m/>
    <m/>
    <m/>
    <m/>
    <m/>
    <m/>
    <m/>
    <x v="2"/>
    <x v="0"/>
  </r>
  <r>
    <x v="5"/>
    <x v="187"/>
    <x v="28"/>
    <n v="1700"/>
    <x v="0"/>
    <x v="169"/>
    <m/>
    <m/>
    <m/>
    <m/>
    <m/>
    <m/>
    <m/>
    <m/>
    <m/>
    <m/>
    <m/>
    <m/>
    <x v="2"/>
    <x v="0"/>
  </r>
  <r>
    <x v="5"/>
    <x v="171"/>
    <x v="6"/>
    <n v="468"/>
    <x v="0"/>
    <x v="170"/>
    <m/>
    <m/>
    <m/>
    <m/>
    <m/>
    <m/>
    <m/>
    <m/>
    <m/>
    <m/>
    <m/>
    <m/>
    <x v="2"/>
    <x v="0"/>
  </r>
  <r>
    <x v="5"/>
    <x v="188"/>
    <x v="1"/>
    <n v="5"/>
    <x v="0"/>
    <x v="171"/>
    <m/>
    <m/>
    <m/>
    <m/>
    <m/>
    <m/>
    <m/>
    <m/>
    <m/>
    <m/>
    <m/>
    <m/>
    <x v="2"/>
    <x v="0"/>
  </r>
  <r>
    <x v="5"/>
    <x v="189"/>
    <x v="5"/>
    <n v="1584"/>
    <x v="0"/>
    <x v="172"/>
    <m/>
    <m/>
    <m/>
    <m/>
    <m/>
    <m/>
    <m/>
    <m/>
    <m/>
    <m/>
    <m/>
    <m/>
    <x v="2"/>
    <x v="0"/>
  </r>
  <r>
    <x v="5"/>
    <x v="190"/>
    <x v="10"/>
    <n v="624"/>
    <x v="0"/>
    <x v="173"/>
    <m/>
    <m/>
    <m/>
    <m/>
    <m/>
    <m/>
    <m/>
    <m/>
    <m/>
    <m/>
    <m/>
    <m/>
    <x v="2"/>
    <x v="0"/>
  </r>
  <r>
    <x v="5"/>
    <x v="191"/>
    <x v="9"/>
    <n v="2489"/>
    <x v="0"/>
    <x v="174"/>
    <m/>
    <m/>
    <m/>
    <m/>
    <m/>
    <m/>
    <n v="1"/>
    <m/>
    <m/>
    <m/>
    <m/>
    <m/>
    <x v="2"/>
    <x v="1"/>
  </r>
  <r>
    <x v="5"/>
    <x v="169"/>
    <x v="8"/>
    <n v="5"/>
    <x v="0"/>
    <x v="175"/>
    <m/>
    <m/>
    <m/>
    <m/>
    <m/>
    <m/>
    <m/>
    <m/>
    <m/>
    <m/>
    <m/>
    <m/>
    <x v="2"/>
    <x v="0"/>
  </r>
  <r>
    <x v="5"/>
    <x v="117"/>
    <x v="7"/>
    <n v="92.18"/>
    <x v="0"/>
    <x v="176"/>
    <m/>
    <m/>
    <m/>
    <m/>
    <m/>
    <m/>
    <m/>
    <m/>
    <m/>
    <m/>
    <m/>
    <m/>
    <x v="2"/>
    <x v="0"/>
  </r>
  <r>
    <x v="5"/>
    <x v="192"/>
    <x v="10"/>
    <n v="966"/>
    <x v="0"/>
    <x v="177"/>
    <m/>
    <m/>
    <m/>
    <m/>
    <m/>
    <m/>
    <m/>
    <m/>
    <m/>
    <m/>
    <m/>
    <m/>
    <x v="0"/>
    <x v="0"/>
  </r>
  <r>
    <x v="5"/>
    <x v="193"/>
    <x v="6"/>
    <n v="887"/>
    <x v="0"/>
    <x v="178"/>
    <m/>
    <m/>
    <m/>
    <m/>
    <m/>
    <m/>
    <m/>
    <m/>
    <m/>
    <m/>
    <m/>
    <m/>
    <x v="2"/>
    <x v="0"/>
  </r>
  <r>
    <x v="5"/>
    <x v="194"/>
    <x v="14"/>
    <n v="307"/>
    <x v="0"/>
    <x v="179"/>
    <m/>
    <m/>
    <m/>
    <m/>
    <m/>
    <m/>
    <m/>
    <m/>
    <m/>
    <m/>
    <m/>
    <m/>
    <x v="2"/>
    <x v="0"/>
  </r>
  <r>
    <x v="5"/>
    <x v="195"/>
    <x v="6"/>
    <n v="257"/>
    <x v="0"/>
    <x v="180"/>
    <m/>
    <m/>
    <m/>
    <m/>
    <m/>
    <m/>
    <m/>
    <m/>
    <m/>
    <m/>
    <m/>
    <m/>
    <x v="2"/>
    <x v="2"/>
  </r>
  <r>
    <x v="5"/>
    <x v="196"/>
    <x v="8"/>
    <n v="2637"/>
    <x v="0"/>
    <x v="181"/>
    <m/>
    <m/>
    <m/>
    <m/>
    <m/>
    <m/>
    <m/>
    <m/>
    <n v="5"/>
    <m/>
    <m/>
    <m/>
    <x v="2"/>
    <x v="1"/>
  </r>
  <r>
    <x v="5"/>
    <x v="197"/>
    <x v="15"/>
    <n v="349"/>
    <x v="0"/>
    <x v="182"/>
    <m/>
    <m/>
    <m/>
    <m/>
    <m/>
    <m/>
    <m/>
    <m/>
    <m/>
    <m/>
    <m/>
    <m/>
    <x v="2"/>
    <x v="0"/>
  </r>
  <r>
    <x v="5"/>
    <x v="198"/>
    <x v="14"/>
    <n v="4417"/>
    <x v="0"/>
    <x v="183"/>
    <m/>
    <m/>
    <m/>
    <m/>
    <m/>
    <m/>
    <m/>
    <m/>
    <m/>
    <m/>
    <m/>
    <m/>
    <x v="2"/>
    <x v="0"/>
  </r>
  <r>
    <x v="5"/>
    <x v="199"/>
    <x v="0"/>
    <n v="30"/>
    <x v="0"/>
    <x v="184"/>
    <m/>
    <m/>
    <m/>
    <m/>
    <m/>
    <m/>
    <m/>
    <m/>
    <n v="2"/>
    <m/>
    <m/>
    <n v="1"/>
    <x v="2"/>
    <x v="1"/>
  </r>
  <r>
    <x v="5"/>
    <x v="200"/>
    <x v="6"/>
    <n v="2"/>
    <x v="0"/>
    <x v="185"/>
    <m/>
    <m/>
    <m/>
    <m/>
    <m/>
    <m/>
    <m/>
    <m/>
    <m/>
    <m/>
    <m/>
    <m/>
    <x v="2"/>
    <x v="0"/>
  </r>
  <r>
    <x v="5"/>
    <x v="201"/>
    <x v="8"/>
    <n v="56"/>
    <x v="0"/>
    <x v="186"/>
    <m/>
    <m/>
    <m/>
    <m/>
    <m/>
    <m/>
    <m/>
    <m/>
    <m/>
    <m/>
    <m/>
    <m/>
    <x v="2"/>
    <x v="0"/>
  </r>
  <r>
    <x v="5"/>
    <x v="202"/>
    <x v="11"/>
    <n v="835"/>
    <x v="0"/>
    <x v="187"/>
    <m/>
    <m/>
    <m/>
    <m/>
    <m/>
    <m/>
    <m/>
    <m/>
    <m/>
    <m/>
    <m/>
    <m/>
    <x v="2"/>
    <x v="0"/>
  </r>
  <r>
    <x v="5"/>
    <x v="203"/>
    <x v="10"/>
    <n v="95736"/>
    <x v="0"/>
    <x v="188"/>
    <m/>
    <m/>
    <m/>
    <m/>
    <m/>
    <m/>
    <n v="2"/>
    <m/>
    <n v="16"/>
    <m/>
    <m/>
    <m/>
    <x v="1"/>
    <x v="1"/>
  </r>
  <r>
    <x v="5"/>
    <x v="204"/>
    <x v="14"/>
    <n v="719"/>
    <x v="0"/>
    <x v="189"/>
    <m/>
    <m/>
    <m/>
    <m/>
    <m/>
    <m/>
    <m/>
    <m/>
    <m/>
    <m/>
    <m/>
    <m/>
    <x v="2"/>
    <x v="0"/>
  </r>
  <r>
    <x v="5"/>
    <x v="205"/>
    <x v="8"/>
    <n v="669"/>
    <x v="0"/>
    <x v="190"/>
    <m/>
    <m/>
    <m/>
    <m/>
    <m/>
    <m/>
    <m/>
    <m/>
    <m/>
    <m/>
    <m/>
    <m/>
    <x v="2"/>
    <x v="0"/>
  </r>
  <r>
    <x v="5"/>
    <x v="206"/>
    <x v="19"/>
    <n v="851"/>
    <x v="0"/>
    <x v="191"/>
    <m/>
    <m/>
    <m/>
    <m/>
    <m/>
    <m/>
    <m/>
    <m/>
    <m/>
    <m/>
    <m/>
    <m/>
    <x v="2"/>
    <x v="0"/>
  </r>
  <r>
    <x v="5"/>
    <x v="207"/>
    <x v="9"/>
    <n v="700"/>
    <x v="0"/>
    <x v="192"/>
    <m/>
    <m/>
    <m/>
    <m/>
    <m/>
    <m/>
    <m/>
    <m/>
    <m/>
    <m/>
    <m/>
    <m/>
    <x v="2"/>
    <x v="0"/>
  </r>
  <r>
    <x v="5"/>
    <x v="208"/>
    <x v="23"/>
    <n v="469"/>
    <x v="0"/>
    <x v="193"/>
    <m/>
    <m/>
    <m/>
    <m/>
    <m/>
    <m/>
    <m/>
    <m/>
    <m/>
    <m/>
    <m/>
    <m/>
    <x v="2"/>
    <x v="0"/>
  </r>
  <r>
    <x v="5"/>
    <x v="209"/>
    <x v="11"/>
    <n v="1500"/>
    <x v="0"/>
    <x v="194"/>
    <m/>
    <m/>
    <m/>
    <m/>
    <m/>
    <m/>
    <m/>
    <m/>
    <m/>
    <m/>
    <m/>
    <m/>
    <x v="2"/>
    <x v="0"/>
  </r>
  <r>
    <x v="5"/>
    <x v="179"/>
    <x v="7"/>
    <n v="2046"/>
    <x v="0"/>
    <x v="195"/>
    <m/>
    <m/>
    <m/>
    <m/>
    <m/>
    <m/>
    <m/>
    <m/>
    <m/>
    <m/>
    <m/>
    <m/>
    <x v="0"/>
    <x v="0"/>
  </r>
  <r>
    <x v="5"/>
    <x v="210"/>
    <x v="10"/>
    <n v="381"/>
    <x v="0"/>
    <x v="196"/>
    <m/>
    <m/>
    <m/>
    <m/>
    <m/>
    <m/>
    <m/>
    <m/>
    <m/>
    <m/>
    <m/>
    <m/>
    <x v="0"/>
    <x v="0"/>
  </r>
  <r>
    <x v="5"/>
    <x v="211"/>
    <x v="11"/>
    <n v="12934"/>
    <x v="0"/>
    <x v="197"/>
    <m/>
    <m/>
    <m/>
    <m/>
    <m/>
    <m/>
    <m/>
    <m/>
    <m/>
    <m/>
    <m/>
    <m/>
    <x v="2"/>
    <x v="0"/>
  </r>
  <r>
    <x v="5"/>
    <x v="212"/>
    <x v="19"/>
    <n v="1124"/>
    <x v="0"/>
    <x v="198"/>
    <m/>
    <m/>
    <m/>
    <m/>
    <m/>
    <m/>
    <m/>
    <m/>
    <m/>
    <m/>
    <m/>
    <m/>
    <x v="2"/>
    <x v="0"/>
  </r>
  <r>
    <x v="5"/>
    <x v="213"/>
    <x v="11"/>
    <n v="31960"/>
    <x v="0"/>
    <x v="199"/>
    <m/>
    <m/>
    <m/>
    <m/>
    <m/>
    <m/>
    <m/>
    <m/>
    <m/>
    <m/>
    <m/>
    <m/>
    <x v="2"/>
    <x v="0"/>
  </r>
  <r>
    <x v="5"/>
    <x v="214"/>
    <x v="9"/>
    <n v="490"/>
    <x v="0"/>
    <x v="200"/>
    <m/>
    <m/>
    <m/>
    <m/>
    <m/>
    <m/>
    <m/>
    <m/>
    <m/>
    <m/>
    <m/>
    <m/>
    <x v="1"/>
    <x v="0"/>
  </r>
  <r>
    <x v="5"/>
    <x v="215"/>
    <x v="1"/>
    <n v="30"/>
    <x v="0"/>
    <x v="201"/>
    <m/>
    <m/>
    <m/>
    <m/>
    <m/>
    <m/>
    <m/>
    <m/>
    <m/>
    <m/>
    <m/>
    <m/>
    <x v="2"/>
    <x v="0"/>
  </r>
  <r>
    <x v="5"/>
    <x v="216"/>
    <x v="7"/>
    <n v="1"/>
    <x v="0"/>
    <x v="202"/>
    <m/>
    <m/>
    <m/>
    <m/>
    <m/>
    <m/>
    <m/>
    <m/>
    <m/>
    <m/>
    <m/>
    <m/>
    <x v="2"/>
    <x v="0"/>
  </r>
  <r>
    <x v="5"/>
    <x v="217"/>
    <x v="9"/>
    <n v="251"/>
    <x v="0"/>
    <x v="203"/>
    <m/>
    <m/>
    <m/>
    <m/>
    <m/>
    <m/>
    <m/>
    <m/>
    <m/>
    <m/>
    <m/>
    <m/>
    <x v="0"/>
    <x v="0"/>
  </r>
  <r>
    <x v="5"/>
    <x v="218"/>
    <x v="11"/>
    <n v="2273"/>
    <x v="0"/>
    <x v="204"/>
    <m/>
    <m/>
    <m/>
    <m/>
    <m/>
    <m/>
    <m/>
    <m/>
    <m/>
    <m/>
    <m/>
    <m/>
    <x v="2"/>
    <x v="0"/>
  </r>
  <r>
    <x v="5"/>
    <x v="219"/>
    <x v="1"/>
    <n v="10"/>
    <x v="0"/>
    <x v="205"/>
    <m/>
    <m/>
    <m/>
    <m/>
    <m/>
    <m/>
    <m/>
    <m/>
    <m/>
    <m/>
    <m/>
    <m/>
    <x v="2"/>
    <x v="0"/>
  </r>
  <r>
    <x v="5"/>
    <x v="220"/>
    <x v="21"/>
    <n v="23346"/>
    <x v="1"/>
    <x v="206"/>
    <m/>
    <m/>
    <m/>
    <m/>
    <m/>
    <m/>
    <n v="5"/>
    <m/>
    <n v="11"/>
    <m/>
    <m/>
    <m/>
    <x v="1"/>
    <x v="1"/>
  </r>
  <r>
    <x v="5"/>
    <x v="221"/>
    <x v="1"/>
    <n v="33130"/>
    <x v="2"/>
    <x v="207"/>
    <m/>
    <m/>
    <m/>
    <m/>
    <m/>
    <m/>
    <m/>
    <m/>
    <m/>
    <m/>
    <m/>
    <m/>
    <x v="2"/>
    <x v="0"/>
  </r>
  <r>
    <x v="5"/>
    <x v="222"/>
    <x v="6"/>
    <n v="5"/>
    <x v="0"/>
    <x v="208"/>
    <m/>
    <m/>
    <m/>
    <m/>
    <m/>
    <m/>
    <m/>
    <m/>
    <m/>
    <m/>
    <m/>
    <m/>
    <x v="2"/>
    <x v="0"/>
  </r>
  <r>
    <x v="5"/>
    <x v="223"/>
    <x v="11"/>
    <n v="4912"/>
    <x v="0"/>
    <x v="209"/>
    <m/>
    <m/>
    <m/>
    <m/>
    <m/>
    <m/>
    <m/>
    <m/>
    <m/>
    <m/>
    <m/>
    <m/>
    <x v="2"/>
    <x v="0"/>
  </r>
  <r>
    <x v="5"/>
    <x v="224"/>
    <x v="9"/>
    <n v="7585"/>
    <x v="3"/>
    <x v="210"/>
    <m/>
    <m/>
    <m/>
    <m/>
    <m/>
    <m/>
    <m/>
    <m/>
    <m/>
    <m/>
    <m/>
    <m/>
    <x v="2"/>
    <x v="0"/>
  </r>
  <r>
    <x v="5"/>
    <x v="225"/>
    <x v="1"/>
    <n v="15"/>
    <x v="0"/>
    <x v="211"/>
    <m/>
    <m/>
    <m/>
    <m/>
    <m/>
    <m/>
    <m/>
    <m/>
    <m/>
    <m/>
    <m/>
    <m/>
    <x v="2"/>
    <x v="0"/>
  </r>
  <r>
    <x v="5"/>
    <x v="226"/>
    <x v="4"/>
    <n v="145"/>
    <x v="0"/>
    <x v="212"/>
    <m/>
    <m/>
    <m/>
    <m/>
    <m/>
    <m/>
    <m/>
    <m/>
    <m/>
    <m/>
    <m/>
    <m/>
    <x v="2"/>
    <x v="0"/>
  </r>
  <r>
    <x v="5"/>
    <x v="227"/>
    <x v="14"/>
    <n v="1718"/>
    <x v="1"/>
    <x v="213"/>
    <m/>
    <m/>
    <m/>
    <m/>
    <m/>
    <m/>
    <m/>
    <m/>
    <m/>
    <m/>
    <m/>
    <m/>
    <x v="2"/>
    <x v="0"/>
  </r>
  <r>
    <x v="5"/>
    <x v="228"/>
    <x v="15"/>
    <n v="122"/>
    <x v="0"/>
    <x v="214"/>
    <m/>
    <m/>
    <m/>
    <m/>
    <m/>
    <m/>
    <m/>
    <m/>
    <m/>
    <m/>
    <m/>
    <m/>
    <x v="2"/>
    <x v="0"/>
  </r>
  <r>
    <x v="5"/>
    <x v="229"/>
    <x v="26"/>
    <n v="75"/>
    <x v="4"/>
    <x v="215"/>
    <m/>
    <m/>
    <m/>
    <m/>
    <m/>
    <m/>
    <m/>
    <m/>
    <m/>
    <m/>
    <m/>
    <m/>
    <x v="2"/>
    <x v="0"/>
  </r>
  <r>
    <x v="5"/>
    <x v="230"/>
    <x v="15"/>
    <n v="223"/>
    <x v="0"/>
    <x v="216"/>
    <m/>
    <m/>
    <m/>
    <m/>
    <m/>
    <m/>
    <m/>
    <m/>
    <m/>
    <m/>
    <m/>
    <m/>
    <x v="2"/>
    <x v="0"/>
  </r>
  <r>
    <x v="5"/>
    <x v="231"/>
    <x v="7"/>
    <n v="42842"/>
    <x v="1"/>
    <x v="217"/>
    <m/>
    <m/>
    <m/>
    <m/>
    <m/>
    <m/>
    <m/>
    <m/>
    <m/>
    <m/>
    <m/>
    <m/>
    <x v="2"/>
    <x v="0"/>
  </r>
  <r>
    <x v="5"/>
    <x v="232"/>
    <x v="25"/>
    <n v="19520"/>
    <x v="5"/>
    <x v="218"/>
    <m/>
    <m/>
    <m/>
    <m/>
    <m/>
    <m/>
    <m/>
    <m/>
    <m/>
    <m/>
    <m/>
    <m/>
    <x v="2"/>
    <x v="0"/>
  </r>
  <r>
    <x v="5"/>
    <x v="233"/>
    <x v="25"/>
    <n v="1039"/>
    <x v="1"/>
    <x v="219"/>
    <m/>
    <m/>
    <m/>
    <m/>
    <m/>
    <m/>
    <m/>
    <m/>
    <m/>
    <m/>
    <m/>
    <m/>
    <x v="2"/>
    <x v="0"/>
  </r>
  <r>
    <x v="5"/>
    <x v="234"/>
    <x v="9"/>
    <n v="400"/>
    <x v="0"/>
    <x v="220"/>
    <m/>
    <m/>
    <m/>
    <m/>
    <m/>
    <m/>
    <m/>
    <m/>
    <m/>
    <m/>
    <m/>
    <m/>
    <x v="1"/>
    <x v="0"/>
  </r>
  <r>
    <x v="5"/>
    <x v="235"/>
    <x v="7"/>
    <n v="500"/>
    <x v="0"/>
    <x v="221"/>
    <m/>
    <m/>
    <m/>
    <m/>
    <m/>
    <m/>
    <m/>
    <m/>
    <m/>
    <m/>
    <m/>
    <m/>
    <x v="2"/>
    <x v="0"/>
  </r>
  <r>
    <x v="5"/>
    <x v="236"/>
    <x v="30"/>
    <n v="454"/>
    <x v="2"/>
    <x v="222"/>
    <m/>
    <m/>
    <m/>
    <m/>
    <m/>
    <m/>
    <m/>
    <m/>
    <m/>
    <m/>
    <m/>
    <m/>
    <x v="2"/>
    <x v="0"/>
  </r>
  <r>
    <x v="5"/>
    <x v="237"/>
    <x v="1"/>
    <n v="497"/>
    <x v="3"/>
    <x v="223"/>
    <m/>
    <m/>
    <m/>
    <m/>
    <m/>
    <m/>
    <m/>
    <m/>
    <m/>
    <m/>
    <m/>
    <m/>
    <x v="2"/>
    <x v="0"/>
  </r>
  <r>
    <x v="5"/>
    <x v="238"/>
    <x v="10"/>
    <n v="3788"/>
    <x v="0"/>
    <x v="224"/>
    <m/>
    <m/>
    <m/>
    <m/>
    <m/>
    <m/>
    <m/>
    <m/>
    <m/>
    <m/>
    <m/>
    <m/>
    <x v="2"/>
    <x v="0"/>
  </r>
  <r>
    <x v="5"/>
    <x v="239"/>
    <x v="24"/>
    <n v="100"/>
    <x v="6"/>
    <x v="225"/>
    <m/>
    <m/>
    <m/>
    <m/>
    <m/>
    <m/>
    <m/>
    <m/>
    <m/>
    <m/>
    <m/>
    <m/>
    <x v="2"/>
    <x v="0"/>
  </r>
  <r>
    <x v="6"/>
    <x v="240"/>
    <x v="7"/>
    <n v="1634"/>
    <x v="0"/>
    <x v="226"/>
    <m/>
    <m/>
    <m/>
    <m/>
    <m/>
    <m/>
    <m/>
    <m/>
    <m/>
    <m/>
    <m/>
    <m/>
    <x v="2"/>
    <x v="0"/>
  </r>
  <r>
    <x v="6"/>
    <x v="241"/>
    <x v="28"/>
    <n v="440"/>
    <x v="0"/>
    <x v="227"/>
    <m/>
    <m/>
    <m/>
    <m/>
    <m/>
    <m/>
    <m/>
    <m/>
    <m/>
    <m/>
    <m/>
    <m/>
    <x v="2"/>
    <x v="0"/>
  </r>
  <r>
    <x v="6"/>
    <x v="242"/>
    <x v="7"/>
    <n v="1347"/>
    <x v="0"/>
    <x v="228"/>
    <n v="0"/>
    <m/>
    <m/>
    <m/>
    <m/>
    <m/>
    <m/>
    <m/>
    <m/>
    <m/>
    <m/>
    <m/>
    <x v="2"/>
    <x v="0"/>
  </r>
  <r>
    <x v="6"/>
    <x v="243"/>
    <x v="21"/>
    <n v="20"/>
    <x v="0"/>
    <x v="229"/>
    <n v="0"/>
    <m/>
    <m/>
    <m/>
    <m/>
    <m/>
    <m/>
    <m/>
    <m/>
    <m/>
    <m/>
    <m/>
    <x v="2"/>
    <x v="0"/>
  </r>
  <r>
    <x v="6"/>
    <x v="244"/>
    <x v="10"/>
    <n v="27222"/>
    <x v="7"/>
    <x v="230"/>
    <n v="3898"/>
    <n v="396"/>
    <n v="460"/>
    <n v="4812"/>
    <m/>
    <m/>
    <n v="2"/>
    <m/>
    <m/>
    <m/>
    <m/>
    <m/>
    <x v="2"/>
    <x v="3"/>
  </r>
  <r>
    <x v="6"/>
    <x v="245"/>
    <x v="14"/>
    <n v="350"/>
    <x v="0"/>
    <x v="231"/>
    <m/>
    <m/>
    <m/>
    <m/>
    <m/>
    <m/>
    <m/>
    <m/>
    <m/>
    <m/>
    <m/>
    <m/>
    <x v="2"/>
    <x v="0"/>
  </r>
  <r>
    <x v="6"/>
    <x v="246"/>
    <x v="14"/>
    <n v="28827"/>
    <x v="8"/>
    <x v="232"/>
    <m/>
    <m/>
    <m/>
    <n v="8"/>
    <m/>
    <m/>
    <m/>
    <m/>
    <m/>
    <m/>
    <m/>
    <m/>
    <x v="2"/>
    <x v="3"/>
  </r>
  <r>
    <x v="6"/>
    <x v="247"/>
    <x v="14"/>
    <n v="17447"/>
    <x v="9"/>
    <x v="233"/>
    <m/>
    <m/>
    <m/>
    <n v="100"/>
    <m/>
    <m/>
    <m/>
    <m/>
    <m/>
    <m/>
    <m/>
    <m/>
    <x v="2"/>
    <x v="3"/>
  </r>
  <r>
    <x v="6"/>
    <x v="248"/>
    <x v="10"/>
    <n v="4834"/>
    <x v="10"/>
    <x v="234"/>
    <m/>
    <m/>
    <m/>
    <n v="30"/>
    <m/>
    <m/>
    <m/>
    <m/>
    <m/>
    <m/>
    <m/>
    <m/>
    <x v="2"/>
    <x v="3"/>
  </r>
  <r>
    <x v="6"/>
    <x v="249"/>
    <x v="7"/>
    <n v="191"/>
    <x v="11"/>
    <x v="235"/>
    <n v="308"/>
    <n v="1068"/>
    <n v="61"/>
    <m/>
    <m/>
    <m/>
    <m/>
    <m/>
    <m/>
    <m/>
    <m/>
    <m/>
    <x v="2"/>
    <x v="3"/>
  </r>
  <r>
    <x v="6"/>
    <x v="250"/>
    <x v="13"/>
    <n v="53976"/>
    <x v="11"/>
    <x v="236"/>
    <n v="0"/>
    <n v="5"/>
    <n v="17"/>
    <m/>
    <m/>
    <m/>
    <n v="3"/>
    <m/>
    <m/>
    <m/>
    <m/>
    <m/>
    <x v="2"/>
    <x v="3"/>
  </r>
  <r>
    <x v="6"/>
    <x v="251"/>
    <x v="14"/>
    <n v="2136"/>
    <x v="11"/>
    <x v="173"/>
    <m/>
    <m/>
    <m/>
    <m/>
    <m/>
    <m/>
    <m/>
    <m/>
    <m/>
    <m/>
    <m/>
    <m/>
    <x v="2"/>
    <x v="3"/>
  </r>
  <r>
    <x v="6"/>
    <x v="252"/>
    <x v="20"/>
    <n v="745"/>
    <x v="6"/>
    <x v="237"/>
    <m/>
    <m/>
    <m/>
    <n v="15"/>
    <m/>
    <m/>
    <m/>
    <m/>
    <m/>
    <m/>
    <m/>
    <m/>
    <x v="2"/>
    <x v="3"/>
  </r>
  <r>
    <x v="6"/>
    <x v="253"/>
    <x v="28"/>
    <n v="640"/>
    <x v="12"/>
    <x v="238"/>
    <n v="15"/>
    <m/>
    <m/>
    <m/>
    <m/>
    <m/>
    <m/>
    <m/>
    <m/>
    <m/>
    <m/>
    <m/>
    <x v="2"/>
    <x v="0"/>
  </r>
  <r>
    <x v="6"/>
    <x v="254"/>
    <x v="7"/>
    <n v="532"/>
    <x v="11"/>
    <x v="239"/>
    <m/>
    <m/>
    <m/>
    <m/>
    <m/>
    <m/>
    <m/>
    <m/>
    <m/>
    <m/>
    <m/>
    <m/>
    <x v="2"/>
    <x v="3"/>
  </r>
  <r>
    <x v="6"/>
    <x v="255"/>
    <x v="11"/>
    <n v="0"/>
    <x v="0"/>
    <x v="240"/>
    <n v="0"/>
    <m/>
    <m/>
    <m/>
    <m/>
    <m/>
    <m/>
    <m/>
    <m/>
    <m/>
    <m/>
    <m/>
    <x v="2"/>
    <x v="0"/>
  </r>
  <r>
    <x v="6"/>
    <x v="256"/>
    <x v="19"/>
    <n v="2550"/>
    <x v="13"/>
    <x v="241"/>
    <n v="24"/>
    <n v="12"/>
    <m/>
    <n v="50"/>
    <m/>
    <m/>
    <m/>
    <m/>
    <m/>
    <m/>
    <m/>
    <m/>
    <x v="2"/>
    <x v="3"/>
  </r>
  <r>
    <x v="6"/>
    <x v="257"/>
    <x v="20"/>
    <n v="25992"/>
    <x v="14"/>
    <x v="242"/>
    <m/>
    <m/>
    <m/>
    <n v="104"/>
    <m/>
    <m/>
    <m/>
    <m/>
    <m/>
    <m/>
    <m/>
    <m/>
    <x v="2"/>
    <x v="3"/>
  </r>
  <r>
    <x v="6"/>
    <x v="258"/>
    <x v="10"/>
    <n v="13648"/>
    <x v="11"/>
    <x v="243"/>
    <m/>
    <m/>
    <m/>
    <m/>
    <n v="44"/>
    <m/>
    <m/>
    <m/>
    <m/>
    <m/>
    <m/>
    <m/>
    <x v="2"/>
    <x v="3"/>
  </r>
  <r>
    <x v="6"/>
    <x v="259"/>
    <x v="10"/>
    <n v="20180"/>
    <x v="11"/>
    <x v="244"/>
    <n v="609"/>
    <n v="327"/>
    <n v="120"/>
    <n v="18"/>
    <m/>
    <m/>
    <m/>
    <m/>
    <m/>
    <m/>
    <m/>
    <m/>
    <x v="2"/>
    <x v="3"/>
  </r>
  <r>
    <x v="6"/>
    <x v="260"/>
    <x v="11"/>
    <n v="280000"/>
    <x v="7"/>
    <x v="245"/>
    <m/>
    <m/>
    <m/>
    <n v="336"/>
    <m/>
    <m/>
    <m/>
    <m/>
    <m/>
    <m/>
    <m/>
    <m/>
    <x v="2"/>
    <x v="3"/>
  </r>
  <r>
    <x v="6"/>
    <x v="261"/>
    <x v="6"/>
    <n v="48.2"/>
    <x v="0"/>
    <x v="246"/>
    <n v="0"/>
    <m/>
    <m/>
    <m/>
    <m/>
    <m/>
    <m/>
    <m/>
    <m/>
    <m/>
    <m/>
    <m/>
    <x v="2"/>
    <x v="0"/>
  </r>
  <r>
    <x v="6"/>
    <x v="262"/>
    <x v="19"/>
    <n v="600"/>
    <x v="11"/>
    <x v="247"/>
    <m/>
    <m/>
    <m/>
    <n v="3"/>
    <m/>
    <m/>
    <m/>
    <m/>
    <m/>
    <m/>
    <m/>
    <m/>
    <x v="2"/>
    <x v="3"/>
  </r>
  <r>
    <x v="6"/>
    <x v="263"/>
    <x v="15"/>
    <n v="2425"/>
    <x v="15"/>
    <x v="248"/>
    <m/>
    <m/>
    <m/>
    <n v="5"/>
    <m/>
    <m/>
    <n v="1"/>
    <m/>
    <m/>
    <m/>
    <m/>
    <m/>
    <x v="2"/>
    <x v="3"/>
  </r>
  <r>
    <x v="6"/>
    <x v="264"/>
    <x v="10"/>
    <n v="51308"/>
    <x v="7"/>
    <x v="249"/>
    <n v="126"/>
    <n v="335"/>
    <n v="75"/>
    <n v="1784"/>
    <m/>
    <m/>
    <m/>
    <m/>
    <n v="15"/>
    <m/>
    <m/>
    <m/>
    <x v="2"/>
    <x v="3"/>
  </r>
  <r>
    <x v="6"/>
    <x v="265"/>
    <x v="10"/>
    <n v="3015"/>
    <x v="11"/>
    <x v="250"/>
    <n v="18"/>
    <m/>
    <m/>
    <n v="46"/>
    <m/>
    <m/>
    <m/>
    <m/>
    <m/>
    <m/>
    <m/>
    <m/>
    <x v="2"/>
    <x v="3"/>
  </r>
  <r>
    <x v="6"/>
    <x v="266"/>
    <x v="11"/>
    <n v="2750"/>
    <x v="0"/>
    <x v="251"/>
    <m/>
    <m/>
    <m/>
    <m/>
    <m/>
    <m/>
    <m/>
    <m/>
    <m/>
    <m/>
    <m/>
    <m/>
    <x v="2"/>
    <x v="0"/>
  </r>
  <r>
    <x v="6"/>
    <x v="267"/>
    <x v="9"/>
    <n v="610"/>
    <x v="0"/>
    <x v="252"/>
    <m/>
    <m/>
    <m/>
    <m/>
    <m/>
    <m/>
    <m/>
    <m/>
    <m/>
    <m/>
    <m/>
    <m/>
    <x v="2"/>
    <x v="0"/>
  </r>
  <r>
    <x v="6"/>
    <x v="268"/>
    <x v="4"/>
    <n v="1400"/>
    <x v="11"/>
    <x v="43"/>
    <m/>
    <m/>
    <m/>
    <m/>
    <m/>
    <m/>
    <m/>
    <m/>
    <m/>
    <m/>
    <m/>
    <m/>
    <x v="2"/>
    <x v="3"/>
  </r>
  <r>
    <x v="6"/>
    <x v="269"/>
    <x v="20"/>
    <n v="130000"/>
    <x v="11"/>
    <x v="253"/>
    <m/>
    <m/>
    <m/>
    <m/>
    <m/>
    <m/>
    <m/>
    <m/>
    <m/>
    <m/>
    <m/>
    <m/>
    <x v="2"/>
    <x v="3"/>
  </r>
  <r>
    <x v="6"/>
    <x v="270"/>
    <x v="23"/>
    <m/>
    <x v="16"/>
    <x v="43"/>
    <m/>
    <m/>
    <m/>
    <m/>
    <m/>
    <m/>
    <m/>
    <m/>
    <m/>
    <m/>
    <m/>
    <m/>
    <x v="2"/>
    <x v="4"/>
  </r>
  <r>
    <x v="6"/>
    <x v="270"/>
    <x v="9"/>
    <m/>
    <x v="16"/>
    <x v="43"/>
    <n v="56"/>
    <n v="667"/>
    <n v="102"/>
    <m/>
    <m/>
    <m/>
    <m/>
    <m/>
    <m/>
    <m/>
    <m/>
    <m/>
    <x v="2"/>
    <x v="4"/>
  </r>
  <r>
    <x v="6"/>
    <x v="270"/>
    <x v="13"/>
    <m/>
    <x v="16"/>
    <x v="43"/>
    <n v="160"/>
    <n v="42"/>
    <n v="160"/>
    <m/>
    <m/>
    <m/>
    <m/>
    <m/>
    <m/>
    <m/>
    <m/>
    <m/>
    <x v="2"/>
    <x v="4"/>
  </r>
  <r>
    <x v="6"/>
    <x v="270"/>
    <x v="28"/>
    <m/>
    <x v="16"/>
    <x v="43"/>
    <n v="107"/>
    <m/>
    <m/>
    <m/>
    <m/>
    <m/>
    <m/>
    <m/>
    <m/>
    <m/>
    <m/>
    <m/>
    <x v="2"/>
    <x v="4"/>
  </r>
  <r>
    <x v="6"/>
    <x v="270"/>
    <x v="21"/>
    <m/>
    <x v="16"/>
    <x v="43"/>
    <n v="20"/>
    <n v="192"/>
    <n v="24"/>
    <m/>
    <m/>
    <m/>
    <m/>
    <m/>
    <m/>
    <m/>
    <m/>
    <m/>
    <x v="2"/>
    <x v="4"/>
  </r>
  <r>
    <x v="6"/>
    <x v="270"/>
    <x v="15"/>
    <m/>
    <x v="16"/>
    <x v="43"/>
    <n v="56"/>
    <n v="119"/>
    <n v="24"/>
    <m/>
    <m/>
    <m/>
    <m/>
    <m/>
    <m/>
    <m/>
    <m/>
    <m/>
    <x v="2"/>
    <x v="4"/>
  </r>
  <r>
    <x v="6"/>
    <x v="270"/>
    <x v="7"/>
    <m/>
    <x v="16"/>
    <x v="43"/>
    <n v="24"/>
    <n v="306"/>
    <n v="1132"/>
    <m/>
    <m/>
    <m/>
    <m/>
    <m/>
    <m/>
    <m/>
    <m/>
    <m/>
    <x v="2"/>
    <x v="4"/>
  </r>
  <r>
    <x v="6"/>
    <x v="270"/>
    <x v="19"/>
    <m/>
    <x v="16"/>
    <x v="43"/>
    <n v="6"/>
    <n v="28"/>
    <n v="345"/>
    <m/>
    <m/>
    <m/>
    <m/>
    <m/>
    <m/>
    <m/>
    <m/>
    <m/>
    <x v="2"/>
    <x v="4"/>
  </r>
  <r>
    <x v="6"/>
    <x v="270"/>
    <x v="14"/>
    <m/>
    <x v="16"/>
    <x v="43"/>
    <n v="151"/>
    <n v="84"/>
    <n v="172"/>
    <m/>
    <m/>
    <m/>
    <m/>
    <m/>
    <m/>
    <m/>
    <m/>
    <m/>
    <x v="2"/>
    <x v="4"/>
  </r>
  <r>
    <x v="6"/>
    <x v="270"/>
    <x v="26"/>
    <m/>
    <x v="16"/>
    <x v="43"/>
    <n v="1"/>
    <n v="64"/>
    <m/>
    <m/>
    <m/>
    <m/>
    <m/>
    <m/>
    <m/>
    <m/>
    <m/>
    <m/>
    <x v="2"/>
    <x v="4"/>
  </r>
  <r>
    <x v="6"/>
    <x v="270"/>
    <x v="20"/>
    <m/>
    <x v="16"/>
    <x v="43"/>
    <n v="1604"/>
    <n v="126"/>
    <n v="82"/>
    <m/>
    <m/>
    <m/>
    <m/>
    <m/>
    <m/>
    <m/>
    <m/>
    <m/>
    <x v="2"/>
    <x v="4"/>
  </r>
  <r>
    <x v="6"/>
    <x v="270"/>
    <x v="10"/>
    <m/>
    <x v="16"/>
    <x v="43"/>
    <n v="3"/>
    <n v="15"/>
    <n v="21"/>
    <m/>
    <m/>
    <m/>
    <m/>
    <m/>
    <m/>
    <m/>
    <m/>
    <m/>
    <x v="2"/>
    <x v="4"/>
  </r>
  <r>
    <x v="6"/>
    <x v="271"/>
    <x v="11"/>
    <n v="8044"/>
    <x v="0"/>
    <x v="254"/>
    <m/>
    <m/>
    <m/>
    <m/>
    <m/>
    <m/>
    <m/>
    <m/>
    <m/>
    <m/>
    <m/>
    <m/>
    <x v="2"/>
    <x v="0"/>
  </r>
  <r>
    <x v="6"/>
    <x v="272"/>
    <x v="11"/>
    <n v="1500"/>
    <x v="12"/>
    <x v="255"/>
    <m/>
    <m/>
    <m/>
    <m/>
    <m/>
    <m/>
    <m/>
    <m/>
    <m/>
    <m/>
    <m/>
    <m/>
    <x v="2"/>
    <x v="0"/>
  </r>
  <r>
    <x v="6"/>
    <x v="273"/>
    <x v="6"/>
    <n v="15580"/>
    <x v="17"/>
    <x v="256"/>
    <n v="388"/>
    <n v="0"/>
    <n v="0"/>
    <n v="2347"/>
    <m/>
    <m/>
    <n v="1"/>
    <m/>
    <n v="6"/>
    <m/>
    <m/>
    <m/>
    <x v="2"/>
    <x v="3"/>
  </r>
  <r>
    <x v="6"/>
    <x v="274"/>
    <x v="20"/>
    <n v="4553"/>
    <x v="6"/>
    <x v="257"/>
    <m/>
    <m/>
    <m/>
    <m/>
    <m/>
    <m/>
    <m/>
    <m/>
    <m/>
    <m/>
    <m/>
    <m/>
    <x v="2"/>
    <x v="3"/>
  </r>
  <r>
    <x v="6"/>
    <x v="275"/>
    <x v="15"/>
    <n v="26445"/>
    <x v="11"/>
    <x v="258"/>
    <m/>
    <m/>
    <m/>
    <m/>
    <m/>
    <m/>
    <m/>
    <m/>
    <m/>
    <m/>
    <m/>
    <m/>
    <x v="2"/>
    <x v="3"/>
  </r>
  <r>
    <x v="6"/>
    <x v="276"/>
    <x v="19"/>
    <n v="1938"/>
    <x v="0"/>
    <x v="259"/>
    <m/>
    <m/>
    <m/>
    <m/>
    <m/>
    <m/>
    <m/>
    <m/>
    <m/>
    <m/>
    <m/>
    <m/>
    <x v="2"/>
    <x v="0"/>
  </r>
  <r>
    <x v="6"/>
    <x v="143"/>
    <x v="4"/>
    <n v="15000"/>
    <x v="11"/>
    <x v="43"/>
    <m/>
    <m/>
    <m/>
    <n v="800"/>
    <m/>
    <m/>
    <m/>
    <m/>
    <m/>
    <m/>
    <m/>
    <m/>
    <x v="2"/>
    <x v="3"/>
  </r>
  <r>
    <x v="6"/>
    <x v="277"/>
    <x v="9"/>
    <n v="24038"/>
    <x v="11"/>
    <x v="260"/>
    <m/>
    <m/>
    <m/>
    <n v="1467"/>
    <m/>
    <m/>
    <m/>
    <m/>
    <m/>
    <m/>
    <m/>
    <m/>
    <x v="2"/>
    <x v="3"/>
  </r>
  <r>
    <x v="6"/>
    <x v="278"/>
    <x v="11"/>
    <n v="42000"/>
    <x v="8"/>
    <x v="261"/>
    <m/>
    <m/>
    <m/>
    <n v="32"/>
    <m/>
    <m/>
    <m/>
    <m/>
    <m/>
    <m/>
    <m/>
    <m/>
    <x v="2"/>
    <x v="3"/>
  </r>
  <r>
    <x v="6"/>
    <x v="279"/>
    <x v="28"/>
    <n v="181821"/>
    <x v="18"/>
    <x v="262"/>
    <n v="217"/>
    <n v="95"/>
    <n v="0"/>
    <m/>
    <m/>
    <m/>
    <n v="13"/>
    <m/>
    <n v="5"/>
    <m/>
    <m/>
    <m/>
    <x v="2"/>
    <x v="3"/>
  </r>
  <r>
    <x v="6"/>
    <x v="280"/>
    <x v="6"/>
    <n v="9.8000000000000007"/>
    <x v="0"/>
    <x v="263"/>
    <n v="0"/>
    <m/>
    <m/>
    <m/>
    <m/>
    <m/>
    <m/>
    <m/>
    <m/>
    <m/>
    <m/>
    <m/>
    <x v="2"/>
    <x v="0"/>
  </r>
  <r>
    <x v="6"/>
    <x v="281"/>
    <x v="20"/>
    <n v="960"/>
    <x v="0"/>
    <x v="264"/>
    <m/>
    <m/>
    <m/>
    <m/>
    <m/>
    <m/>
    <m/>
    <m/>
    <m/>
    <m/>
    <m/>
    <m/>
    <x v="2"/>
    <x v="0"/>
  </r>
  <r>
    <x v="6"/>
    <x v="282"/>
    <x v="9"/>
    <n v="831"/>
    <x v="18"/>
    <x v="265"/>
    <m/>
    <m/>
    <m/>
    <n v="60"/>
    <m/>
    <m/>
    <m/>
    <m/>
    <m/>
    <m/>
    <m/>
    <m/>
    <x v="2"/>
    <x v="3"/>
  </r>
  <r>
    <x v="6"/>
    <x v="283"/>
    <x v="22"/>
    <n v="740"/>
    <x v="11"/>
    <x v="266"/>
    <m/>
    <m/>
    <m/>
    <m/>
    <m/>
    <m/>
    <m/>
    <m/>
    <m/>
    <m/>
    <m/>
    <m/>
    <x v="2"/>
    <x v="3"/>
  </r>
  <r>
    <x v="6"/>
    <x v="284"/>
    <x v="20"/>
    <n v="18539"/>
    <x v="19"/>
    <x v="267"/>
    <m/>
    <m/>
    <m/>
    <n v="34"/>
    <m/>
    <m/>
    <m/>
    <m/>
    <n v="2"/>
    <m/>
    <m/>
    <m/>
    <x v="2"/>
    <x v="3"/>
  </r>
  <r>
    <x v="6"/>
    <x v="285"/>
    <x v="8"/>
    <n v="247"/>
    <x v="0"/>
    <x v="268"/>
    <m/>
    <m/>
    <m/>
    <m/>
    <m/>
    <m/>
    <m/>
    <m/>
    <m/>
    <m/>
    <m/>
    <m/>
    <x v="2"/>
    <x v="0"/>
  </r>
  <r>
    <x v="6"/>
    <x v="286"/>
    <x v="9"/>
    <n v="8096"/>
    <x v="0"/>
    <x v="269"/>
    <m/>
    <m/>
    <m/>
    <m/>
    <m/>
    <m/>
    <n v="6"/>
    <m/>
    <n v="40"/>
    <m/>
    <m/>
    <m/>
    <x v="2"/>
    <x v="1"/>
  </r>
  <r>
    <x v="6"/>
    <x v="287"/>
    <x v="11"/>
    <n v="6052"/>
    <x v="0"/>
    <x v="270"/>
    <n v="0"/>
    <m/>
    <m/>
    <m/>
    <m/>
    <m/>
    <m/>
    <m/>
    <m/>
    <m/>
    <m/>
    <m/>
    <x v="2"/>
    <x v="0"/>
  </r>
  <r>
    <x v="6"/>
    <x v="288"/>
    <x v="9"/>
    <n v="4887"/>
    <x v="20"/>
    <x v="271"/>
    <n v="21"/>
    <n v="0"/>
    <n v="0"/>
    <m/>
    <m/>
    <m/>
    <m/>
    <m/>
    <m/>
    <m/>
    <m/>
    <m/>
    <x v="0"/>
    <x v="3"/>
  </r>
  <r>
    <x v="6"/>
    <x v="289"/>
    <x v="9"/>
    <n v="1495"/>
    <x v="0"/>
    <x v="252"/>
    <n v="0"/>
    <m/>
    <m/>
    <m/>
    <m/>
    <m/>
    <m/>
    <m/>
    <m/>
    <m/>
    <m/>
    <m/>
    <x v="0"/>
    <x v="0"/>
  </r>
  <r>
    <x v="6"/>
    <x v="290"/>
    <x v="15"/>
    <n v="3054"/>
    <x v="18"/>
    <x v="272"/>
    <n v="0"/>
    <n v="99"/>
    <n v="27"/>
    <n v="38"/>
    <m/>
    <m/>
    <m/>
    <m/>
    <m/>
    <m/>
    <m/>
    <m/>
    <x v="2"/>
    <x v="3"/>
  </r>
  <r>
    <x v="6"/>
    <x v="291"/>
    <x v="21"/>
    <n v="2589"/>
    <x v="0"/>
    <x v="273"/>
    <m/>
    <m/>
    <m/>
    <m/>
    <m/>
    <m/>
    <m/>
    <m/>
    <m/>
    <m/>
    <m/>
    <m/>
    <x v="2"/>
    <x v="0"/>
  </r>
  <r>
    <x v="6"/>
    <x v="292"/>
    <x v="19"/>
    <n v="21026"/>
    <x v="21"/>
    <x v="274"/>
    <m/>
    <m/>
    <m/>
    <n v="3"/>
    <m/>
    <m/>
    <m/>
    <m/>
    <m/>
    <m/>
    <m/>
    <m/>
    <x v="2"/>
    <x v="3"/>
  </r>
  <r>
    <x v="6"/>
    <x v="293"/>
    <x v="28"/>
    <n v="450"/>
    <x v="0"/>
    <x v="275"/>
    <m/>
    <m/>
    <m/>
    <m/>
    <m/>
    <m/>
    <m/>
    <m/>
    <m/>
    <m/>
    <m/>
    <m/>
    <x v="2"/>
    <x v="0"/>
  </r>
  <r>
    <x v="6"/>
    <x v="294"/>
    <x v="21"/>
    <n v="12"/>
    <x v="0"/>
    <x v="276"/>
    <n v="0"/>
    <m/>
    <m/>
    <m/>
    <m/>
    <m/>
    <m/>
    <m/>
    <m/>
    <m/>
    <m/>
    <m/>
    <x v="2"/>
    <x v="0"/>
  </r>
  <r>
    <x v="6"/>
    <x v="295"/>
    <x v="13"/>
    <n v="208759"/>
    <x v="22"/>
    <x v="277"/>
    <n v="4"/>
    <n v="0"/>
    <n v="9"/>
    <m/>
    <m/>
    <m/>
    <m/>
    <m/>
    <m/>
    <m/>
    <m/>
    <m/>
    <x v="2"/>
    <x v="3"/>
  </r>
  <r>
    <x v="6"/>
    <x v="296"/>
    <x v="15"/>
    <n v="1426"/>
    <x v="18"/>
    <x v="272"/>
    <n v="0"/>
    <n v="20"/>
    <n v="0"/>
    <n v="38"/>
    <m/>
    <m/>
    <m/>
    <m/>
    <n v="2"/>
    <m/>
    <m/>
    <m/>
    <x v="2"/>
    <x v="3"/>
  </r>
  <r>
    <x v="6"/>
    <x v="297"/>
    <x v="20"/>
    <n v="76958"/>
    <x v="7"/>
    <x v="278"/>
    <m/>
    <m/>
    <m/>
    <n v="1721"/>
    <m/>
    <m/>
    <m/>
    <m/>
    <n v="2"/>
    <m/>
    <m/>
    <m/>
    <x v="2"/>
    <x v="3"/>
  </r>
  <r>
    <x v="6"/>
    <x v="298"/>
    <x v="20"/>
    <n v="15673"/>
    <x v="6"/>
    <x v="279"/>
    <m/>
    <m/>
    <m/>
    <n v="76"/>
    <m/>
    <m/>
    <m/>
    <m/>
    <m/>
    <m/>
    <m/>
    <m/>
    <x v="2"/>
    <x v="3"/>
  </r>
  <r>
    <x v="6"/>
    <x v="299"/>
    <x v="6"/>
    <n v="1"/>
    <x v="0"/>
    <x v="263"/>
    <n v="0"/>
    <m/>
    <m/>
    <m/>
    <m/>
    <m/>
    <m/>
    <m/>
    <m/>
    <m/>
    <m/>
    <m/>
    <x v="2"/>
    <x v="0"/>
  </r>
  <r>
    <x v="6"/>
    <x v="300"/>
    <x v="11"/>
    <n v="999"/>
    <x v="0"/>
    <x v="280"/>
    <m/>
    <m/>
    <m/>
    <m/>
    <m/>
    <m/>
    <m/>
    <m/>
    <m/>
    <m/>
    <m/>
    <m/>
    <x v="2"/>
    <x v="0"/>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r>
    <x v="7"/>
    <x v="301"/>
    <x v="31"/>
    <m/>
    <x v="16"/>
    <x v="43"/>
    <m/>
    <m/>
    <m/>
    <m/>
    <m/>
    <m/>
    <m/>
    <m/>
    <m/>
    <m/>
    <m/>
    <m/>
    <x v="2"/>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5">
  <r>
    <x v="0"/>
    <s v="ODEM"/>
    <x v="0"/>
    <n v="22"/>
    <n v="1885"/>
  </r>
  <r>
    <x v="0"/>
    <s v="ODEM"/>
    <x v="1"/>
    <n v="39"/>
    <n v="4392"/>
  </r>
  <r>
    <x v="0"/>
    <s v="ODEM"/>
    <x v="2"/>
    <n v="44"/>
    <n v="20010"/>
  </r>
  <r>
    <x v="0"/>
    <s v="ODEM"/>
    <x v="3"/>
    <n v="39"/>
    <n v="24110"/>
  </r>
  <r>
    <x v="0"/>
    <s v="ODEM"/>
    <x v="4"/>
    <n v="20"/>
    <n v="24018"/>
  </r>
  <r>
    <x v="0"/>
    <s v="ODEM"/>
    <x v="5"/>
    <n v="20"/>
    <n v="24011"/>
  </r>
  <r>
    <x v="0"/>
    <s v="ODEM"/>
    <x v="6"/>
    <n v="22"/>
    <n v="24011"/>
  </r>
  <r>
    <x v="0"/>
    <s v="ODEM"/>
    <x v="7"/>
    <n v="35"/>
    <n v="24110"/>
  </r>
  <r>
    <x v="0"/>
    <s v="ODEM"/>
    <x v="8"/>
    <n v="29"/>
    <n v="20680"/>
  </r>
  <r>
    <x v="0"/>
    <s v="ODEM"/>
    <x v="9"/>
    <n v="24"/>
    <n v="5484"/>
  </r>
  <r>
    <x v="0"/>
    <s v="ODEM"/>
    <x v="10"/>
    <n v="21"/>
    <n v="14369"/>
  </r>
  <r>
    <x v="0"/>
    <s v="ODEM"/>
    <x v="11"/>
    <n v="29"/>
    <n v="25284"/>
  </r>
  <r>
    <x v="0"/>
    <s v="ODEM"/>
    <x v="12"/>
    <n v="26"/>
    <n v="48406"/>
  </r>
  <r>
    <x v="0"/>
    <s v="ODEM"/>
    <x v="13"/>
    <n v="25"/>
    <n v="247155"/>
  </r>
  <r>
    <x v="0"/>
    <s v="ODEM"/>
    <x v="14"/>
    <n v="27"/>
    <n v="256258"/>
  </r>
  <r>
    <x v="0"/>
    <s v="ODEM"/>
    <x v="15"/>
    <n v="51"/>
    <n v="319311"/>
  </r>
  <r>
    <x v="0"/>
    <s v="ODEM"/>
    <x v="16"/>
    <n v="93"/>
    <n v="331354"/>
  </r>
  <r>
    <x v="0"/>
    <s v="ODEM"/>
    <x v="17"/>
    <n v="105"/>
    <n v="376155"/>
  </r>
  <r>
    <x v="0"/>
    <s v="ODEM"/>
    <x v="18"/>
    <n v="84"/>
    <n v="504837"/>
  </r>
  <r>
    <x v="0"/>
    <s v="ODEM"/>
    <x v="19"/>
    <n v="99"/>
    <n v="618635"/>
  </r>
  <r>
    <x v="0"/>
    <s v="ODEM"/>
    <x v="20"/>
    <n v="126"/>
    <n v="707890"/>
  </r>
  <r>
    <x v="0"/>
    <s v="ODEM"/>
    <x v="21"/>
    <n v="116"/>
    <n v="826849"/>
  </r>
  <r>
    <x v="0"/>
    <s v="ODEM"/>
    <x v="22"/>
    <n v="124"/>
    <n v="948097"/>
  </r>
  <r>
    <x v="0"/>
    <s v="ODEM"/>
    <x v="23"/>
    <n v="126"/>
    <n v="1018162"/>
  </r>
  <r>
    <x v="0"/>
    <s v="ODEM"/>
    <x v="24"/>
    <n v="121"/>
    <n v="1142728"/>
  </r>
  <r>
    <x v="0"/>
    <s v="ODEM"/>
    <x v="25"/>
    <n v="121"/>
    <n v="1208702"/>
  </r>
  <r>
    <x v="0"/>
    <s v="ODEM"/>
    <x v="26"/>
    <n v="114"/>
    <n v="1231511"/>
  </r>
  <r>
    <x v="0"/>
    <s v="ODEM"/>
    <x v="27"/>
    <n v="115"/>
    <n v="1231519"/>
  </r>
  <r>
    <x v="0"/>
    <s v="ODEM"/>
    <x v="28"/>
    <n v="110"/>
    <n v="1240751"/>
  </r>
  <r>
    <x v="0"/>
    <s v="ODEM"/>
    <x v="29"/>
    <n v="129"/>
    <n v="1177887"/>
  </r>
  <r>
    <x v="0"/>
    <s v="ODEM"/>
    <x v="30"/>
    <n v="141"/>
    <n v="1203372"/>
  </r>
  <r>
    <x v="0"/>
    <s v="ODEM"/>
    <x v="31"/>
    <n v="136"/>
    <n v="1244601"/>
  </r>
  <r>
    <x v="0"/>
    <s v="ODEM"/>
    <x v="32"/>
    <n v="129"/>
    <n v="1275665"/>
  </r>
  <r>
    <x v="0"/>
    <s v="ODEM"/>
    <x v="33"/>
    <n v="117"/>
    <n v="1269555"/>
  </r>
  <r>
    <x v="0"/>
    <s v="ODEM"/>
    <x v="34"/>
    <n v="92"/>
    <n v="1152714"/>
  </r>
  <r>
    <x v="0"/>
    <s v="ODEM"/>
    <x v="35"/>
    <n v="97"/>
    <n v="1161198"/>
  </r>
  <r>
    <x v="0"/>
    <s v="ODEM"/>
    <x v="36"/>
    <n v="97"/>
    <n v="1163999"/>
  </r>
  <r>
    <x v="0"/>
    <s v="ODEM"/>
    <x v="37"/>
    <n v="93"/>
    <n v="1170324"/>
  </r>
  <r>
    <x v="0"/>
    <s v="ODEM"/>
    <x v="38"/>
    <n v="85"/>
    <n v="1160459"/>
  </r>
  <r>
    <x v="0"/>
    <s v="ODEM"/>
    <x v="39"/>
    <n v="103"/>
    <n v="1162868"/>
  </r>
  <r>
    <x v="0"/>
    <s v="ODEM"/>
    <x v="40"/>
    <n v="89"/>
    <n v="1159824"/>
  </r>
  <r>
    <x v="0"/>
    <s v="ODEM"/>
    <x v="41"/>
    <n v="83"/>
    <n v="1164940"/>
  </r>
  <r>
    <x v="0"/>
    <s v="ODEM"/>
    <x v="42"/>
    <n v="86"/>
    <n v="1162130"/>
  </r>
  <r>
    <x v="0"/>
    <s v="ODEM"/>
    <x v="43"/>
    <n v="79"/>
    <n v="1162217"/>
  </r>
  <r>
    <x v="0"/>
    <s v="ODEM"/>
    <x v="44"/>
    <n v="73"/>
    <n v="1161219"/>
  </r>
  <r>
    <x v="0"/>
    <s v="ODEM"/>
    <x v="45"/>
    <n v="74"/>
    <n v="1130463"/>
  </r>
  <r>
    <x v="0"/>
    <s v="ODEM"/>
    <x v="46"/>
    <n v="76"/>
    <n v="1130573"/>
  </r>
  <r>
    <x v="0"/>
    <s v="ODEM"/>
    <x v="47"/>
    <n v="75"/>
    <n v="1125529"/>
  </r>
  <r>
    <x v="0"/>
    <s v="ODEM"/>
    <x v="48"/>
    <n v="71"/>
    <n v="1117962"/>
  </r>
  <r>
    <x v="0"/>
    <s v="ODEM"/>
    <x v="49"/>
    <n v="105"/>
    <n v="1152053"/>
  </r>
  <r>
    <x v="0"/>
    <s v="ODEM"/>
    <x v="50"/>
    <n v="109"/>
    <n v="1218088"/>
  </r>
  <r>
    <x v="0"/>
    <s v="ODEM"/>
    <x v="51"/>
    <n v="108"/>
    <n v="1163884"/>
  </r>
  <r>
    <x v="0"/>
    <s v="ODEM"/>
    <x v="52"/>
    <n v="103"/>
    <n v="1241650"/>
  </r>
  <r>
    <x v="0"/>
    <s v="ODEM"/>
    <x v="53"/>
    <n v="145"/>
    <n v="1144114"/>
  </r>
  <r>
    <x v="0"/>
    <s v="ODEM"/>
    <x v="54"/>
    <n v="136"/>
    <n v="1153697"/>
  </r>
  <r>
    <x v="0"/>
    <s v="ODEM"/>
    <x v="55"/>
    <n v="133"/>
    <n v="1165381"/>
  </r>
  <r>
    <x v="0"/>
    <s v="ODEM"/>
    <x v="56"/>
    <n v="127"/>
    <n v="1193610"/>
  </r>
  <r>
    <x v="0"/>
    <s v="ODEM"/>
    <x v="57"/>
    <n v="120"/>
    <n v="1205833"/>
  </r>
  <r>
    <x v="0"/>
    <s v="ODEM"/>
    <x v="58"/>
    <n v="113"/>
    <n v="1216618"/>
  </r>
  <r>
    <x v="0"/>
    <s v="ODEM"/>
    <x v="59"/>
    <n v="111"/>
    <n v="1217118"/>
  </r>
  <r>
    <x v="0"/>
    <s v="ODEM"/>
    <x v="60"/>
    <n v="101"/>
    <n v="1215203"/>
  </r>
  <r>
    <x v="0"/>
    <s v="ODEM"/>
    <x v="61"/>
    <n v="100"/>
    <n v="1214887"/>
  </r>
  <r>
    <x v="0"/>
    <s v="ODEM"/>
    <x v="62"/>
    <n v="99"/>
    <n v="1215527"/>
  </r>
  <r>
    <x v="0"/>
    <s v="ODEM"/>
    <x v="63"/>
    <n v="98"/>
    <n v="1136473"/>
  </r>
  <r>
    <x v="0"/>
    <s v="ODEM"/>
    <x v="64"/>
    <n v="102"/>
    <n v="842606"/>
  </r>
  <r>
    <x v="0"/>
    <s v="ODEM"/>
    <x v="65"/>
    <n v="104"/>
    <n v="798804"/>
  </r>
  <r>
    <x v="0"/>
    <s v="ODEM"/>
    <x v="66"/>
    <n v="110"/>
    <n v="655753"/>
  </r>
  <r>
    <x v="0"/>
    <s v="ODEM"/>
    <x v="67"/>
    <n v="108"/>
    <n v="515399"/>
  </r>
  <r>
    <x v="0"/>
    <s v="ODEM"/>
    <x v="68"/>
    <n v="88"/>
    <n v="482571"/>
  </r>
  <r>
    <x v="0"/>
    <s v="ODEM"/>
    <x v="69"/>
    <n v="93"/>
    <n v="482200"/>
  </r>
  <r>
    <x v="0"/>
    <s v="ODEM"/>
    <x v="70"/>
    <n v="103"/>
    <n v="485363"/>
  </r>
  <r>
    <x v="0"/>
    <s v="ODEM"/>
    <x v="71"/>
    <n v="97"/>
    <n v="485844"/>
  </r>
  <r>
    <x v="0"/>
    <s v="ODEM"/>
    <x v="72"/>
    <n v="88"/>
    <n v="490831"/>
  </r>
  <r>
    <x v="0"/>
    <s v="ODEM"/>
    <x v="73"/>
    <n v="90"/>
    <n v="494671"/>
  </r>
  <r>
    <x v="0"/>
    <s v="ODEM"/>
    <x v="74"/>
    <n v="86"/>
    <n v="469398"/>
  </r>
  <r>
    <x v="0"/>
    <s v="ODEM"/>
    <x v="75"/>
    <n v="89"/>
    <n v="474574"/>
  </r>
  <r>
    <x v="0"/>
    <s v="ODEM"/>
    <x v="76"/>
    <n v="87"/>
    <n v="388443"/>
  </r>
  <r>
    <x v="0"/>
    <s v="ODEM"/>
    <x v="77"/>
    <n v="82"/>
    <n v="389904"/>
  </r>
  <r>
    <x v="0"/>
    <s v="ODEM"/>
    <x v="78"/>
    <n v="82"/>
    <n v="390727"/>
  </r>
  <r>
    <x v="0"/>
    <s v="ODEM"/>
    <x v="79"/>
    <n v="80"/>
    <n v="387958"/>
  </r>
  <r>
    <x v="0"/>
    <s v="ODEM"/>
    <x v="80"/>
    <n v="80"/>
    <n v="388380"/>
  </r>
  <r>
    <x v="0"/>
    <s v="ODEM"/>
    <x v="81"/>
    <n v="78"/>
    <n v="415194"/>
  </r>
  <r>
    <x v="0"/>
    <s v="ODEM"/>
    <x v="82"/>
    <n v="14"/>
    <n v="27290"/>
  </r>
  <r>
    <x v="0"/>
    <s v="ODEM"/>
    <x v="83"/>
    <n v="13"/>
    <n v="26762"/>
  </r>
  <r>
    <x v="0"/>
    <s v="ODEM"/>
    <x v="84"/>
    <n v="7"/>
    <n v="23829"/>
  </r>
  <r>
    <x v="0"/>
    <s v="ODEM"/>
    <x v="85"/>
    <n v="6"/>
    <n v="21748"/>
  </r>
  <r>
    <x v="0"/>
    <s v="ODEM"/>
    <x v="86"/>
    <n v="7"/>
    <n v="21773"/>
  </r>
  <r>
    <x v="0"/>
    <s v="ODEM"/>
    <x v="87"/>
    <n v="23"/>
    <n v="28399"/>
  </r>
  <r>
    <x v="0"/>
    <s v="ODEM"/>
    <x v="88"/>
    <n v="33"/>
    <n v="34825"/>
  </r>
  <r>
    <x v="0"/>
    <s v="ODEM"/>
    <x v="89"/>
    <n v="12"/>
    <n v="29443"/>
  </r>
  <r>
    <x v="0"/>
    <s v="ODEM"/>
    <x v="90"/>
    <n v="11"/>
    <n v="29374"/>
  </r>
  <r>
    <x v="0"/>
    <s v="ODEM"/>
    <x v="91"/>
    <n v="5"/>
    <n v="13000"/>
  </r>
  <r>
    <x v="0"/>
    <s v="ODEM"/>
    <x v="92"/>
    <n v="6"/>
    <n v="13000"/>
  </r>
  <r>
    <x v="0"/>
    <s v="ODEM"/>
    <x v="93"/>
    <n v="9"/>
    <n v="13001"/>
  </r>
  <r>
    <x v="0"/>
    <s v="ODEM"/>
    <x v="94"/>
    <n v="8"/>
    <n v="6401"/>
  </r>
  <r>
    <x v="0"/>
    <s v="ODEM"/>
    <x v="95"/>
    <n v="14"/>
    <n v="6426"/>
  </r>
  <r>
    <x v="0"/>
    <s v="ODEM"/>
    <x v="96"/>
    <n v="4"/>
    <n v="6525"/>
  </r>
  <r>
    <x v="0"/>
    <s v="ODEM"/>
    <x v="97"/>
    <n v="5"/>
    <n v="6425"/>
  </r>
  <r>
    <x v="0"/>
    <s v="ODEM"/>
    <x v="98"/>
    <n v="12"/>
    <n v="6425"/>
  </r>
  <r>
    <x v="0"/>
    <s v="ODEM"/>
    <x v="99"/>
    <n v="19"/>
    <n v="27780"/>
  </r>
  <r>
    <x v="0"/>
    <s v="ODEM"/>
    <x v="100"/>
    <n v="20"/>
    <n v="27780"/>
  </r>
  <r>
    <x v="0"/>
    <s v="ODEM"/>
    <x v="101"/>
    <n v="12"/>
    <n v="27755"/>
  </r>
  <r>
    <x v="0"/>
    <s v="ODEM"/>
    <x v="102"/>
    <n v="10"/>
    <n v="27755"/>
  </r>
  <r>
    <x v="0"/>
    <s v="ODEM"/>
    <x v="103"/>
    <n v="18"/>
    <n v="44067"/>
  </r>
  <r>
    <x v="0"/>
    <s v="ODEM"/>
    <x v="104"/>
    <n v="9"/>
    <n v="37665"/>
  </r>
  <r>
    <x v="0"/>
    <s v="ODEM"/>
    <x v="105"/>
    <n v="9"/>
    <n v="37665"/>
  </r>
  <r>
    <x v="0"/>
    <s v="ODEM"/>
    <x v="106"/>
    <n v="4"/>
    <n v="42261"/>
  </r>
  <r>
    <x v="0"/>
    <s v="ODEM"/>
    <x v="107"/>
    <n v="5"/>
    <n v="42261"/>
  </r>
  <r>
    <x v="1"/>
    <s v="ODEM"/>
    <x v="108"/>
    <n v="2"/>
    <n v="25951"/>
  </r>
  <r>
    <x v="1"/>
    <s v="ODEM"/>
    <x v="109"/>
    <n v="2"/>
    <n v="25951"/>
  </r>
  <r>
    <x v="1"/>
    <s v="ODEM"/>
    <x v="110"/>
    <n v="1"/>
    <n v="25951"/>
  </r>
  <r>
    <x v="1"/>
    <s v="ODEM"/>
    <x v="111"/>
    <n v="1"/>
    <n v="25951"/>
  </r>
  <r>
    <x v="1"/>
    <s v="ODEM"/>
    <x v="112"/>
    <n v="3"/>
    <n v="25951"/>
  </r>
  <r>
    <x v="1"/>
    <s v="ODEM"/>
    <x v="113"/>
    <n v="9"/>
    <n v="26441"/>
  </r>
  <r>
    <x v="1"/>
    <s v="ODEM"/>
    <x v="114"/>
    <n v="10"/>
    <n v="31956"/>
  </r>
  <r>
    <x v="1"/>
    <s v="ODEM"/>
    <x v="115"/>
    <n v="8"/>
    <n v="31956"/>
  </r>
  <r>
    <x v="1"/>
    <s v="ODEM"/>
    <x v="116"/>
    <n v="7"/>
    <n v="6253"/>
  </r>
  <r>
    <x v="1"/>
    <s v="ODEM"/>
    <x v="117"/>
    <n v="5"/>
    <n v="6253"/>
  </r>
  <r>
    <x v="1"/>
    <s v="ODEM"/>
    <x v="118"/>
    <n v="7"/>
    <n v="32274"/>
  </r>
  <r>
    <x v="1"/>
    <s v="ODEM"/>
    <x v="119"/>
    <n v="8"/>
    <n v="32249"/>
  </r>
  <r>
    <x v="1"/>
    <s v="ODEM"/>
    <x v="120"/>
    <n v="8"/>
    <n v="32249"/>
  </r>
  <r>
    <x v="1"/>
    <s v="ODEM"/>
    <x v="121"/>
    <n v="6"/>
    <n v="32247"/>
  </r>
  <r>
    <x v="1"/>
    <s v="ODEM"/>
    <x v="122"/>
    <n v="8"/>
    <n v="32274"/>
  </r>
  <r>
    <x v="1"/>
    <s v="ODEM"/>
    <x v="123"/>
    <n v="3"/>
    <n v="26224"/>
  </r>
  <r>
    <x v="1"/>
    <s v="ODEM"/>
    <x v="124"/>
    <n v="3"/>
    <n v="26224"/>
  </r>
  <r>
    <x v="1"/>
    <s v="ODEM"/>
    <x v="125"/>
    <n v="2"/>
    <n v="25976"/>
  </r>
  <r>
    <x v="1"/>
    <s v="ODEM"/>
    <x v="126"/>
    <n v="2"/>
    <n v="25976"/>
  </r>
  <r>
    <x v="1"/>
    <s v="ODEM"/>
    <x v="127"/>
    <n v="1"/>
    <n v="25972"/>
  </r>
  <r>
    <x v="1"/>
    <s v="ODEM"/>
    <x v="128"/>
    <n v="1"/>
    <m/>
  </r>
  <r>
    <x v="1"/>
    <s v="ODEM"/>
    <x v="129"/>
    <n v="1"/>
    <m/>
  </r>
  <r>
    <x v="1"/>
    <s v="ODEM"/>
    <x v="130"/>
    <n v="0"/>
    <m/>
  </r>
  <r>
    <x v="1"/>
    <s v="ODEM"/>
    <x v="131"/>
    <n v="0"/>
    <m/>
  </r>
  <r>
    <x v="1"/>
    <s v="ODEM"/>
    <x v="132"/>
    <n v="0"/>
    <m/>
  </r>
  <r>
    <x v="1"/>
    <s v="ODEM"/>
    <x v="133"/>
    <n v="0"/>
    <m/>
  </r>
  <r>
    <x v="1"/>
    <s v="ODEM"/>
    <x v="134"/>
    <n v="0"/>
    <m/>
  </r>
  <r>
    <x v="1"/>
    <s v="ODEM"/>
    <x v="135"/>
    <n v="0"/>
    <m/>
  </r>
  <r>
    <x v="1"/>
    <s v="ODEM"/>
    <x v="136"/>
    <n v="1"/>
    <n v="65"/>
  </r>
  <r>
    <x v="1"/>
    <s v="ODEM"/>
    <x v="137"/>
    <n v="1"/>
    <n v="65"/>
  </r>
  <r>
    <x v="1"/>
    <s v="ODEM"/>
    <x v="138"/>
    <n v="1"/>
    <n v="65"/>
  </r>
  <r>
    <x v="1"/>
    <s v="ODEM"/>
    <x v="139"/>
    <n v="2"/>
    <n v="65"/>
  </r>
  <r>
    <x v="1"/>
    <s v="ODEM"/>
    <x v="140"/>
    <n v="2"/>
    <n v="65"/>
  </r>
  <r>
    <x v="1"/>
    <s v="ODEM"/>
    <x v="141"/>
    <n v="2"/>
    <n v="65"/>
  </r>
  <r>
    <x v="1"/>
    <s v="ODEM"/>
    <x v="142"/>
    <n v="2"/>
    <n v="65"/>
  </r>
  <r>
    <x v="1"/>
    <s v="ODEM"/>
    <x v="143"/>
    <n v="1"/>
    <n v="65"/>
  </r>
  <r>
    <x v="1"/>
    <s v="ODEM"/>
    <x v="144"/>
    <n v="1"/>
    <n v="65"/>
  </r>
  <r>
    <x v="1"/>
    <s v="ODEM"/>
    <x v="145"/>
    <n v="2"/>
    <n v="65"/>
  </r>
  <r>
    <x v="1"/>
    <s v="ODEM"/>
    <x v="146"/>
    <n v="2"/>
    <n v="65"/>
  </r>
  <r>
    <x v="1"/>
    <s v="ODEM"/>
    <x v="147"/>
    <n v="2"/>
    <n v="65"/>
  </r>
  <r>
    <x v="1"/>
    <s v="ODEM"/>
    <x v="148"/>
    <n v="2"/>
    <n v="65"/>
  </r>
  <r>
    <x v="1"/>
    <s v="ODEM"/>
    <x v="149"/>
    <n v="2"/>
    <n v="65"/>
  </r>
  <r>
    <x v="1"/>
    <s v="ODEM"/>
    <x v="150"/>
    <n v="0"/>
    <n v="0"/>
  </r>
  <r>
    <x v="1"/>
    <s v="ODEM"/>
    <x v="151"/>
    <n v="0"/>
    <n v="0"/>
  </r>
  <r>
    <x v="1"/>
    <s v="ODEM"/>
    <x v="152"/>
    <n v="0"/>
    <n v="0"/>
  </r>
  <r>
    <x v="1"/>
    <s v="ODEM"/>
    <x v="153"/>
    <n v="0"/>
    <n v="0"/>
  </r>
  <r>
    <x v="1"/>
    <s v="ODEM"/>
    <x v="154"/>
    <n v="1"/>
    <n v="0"/>
  </r>
  <r>
    <x v="1"/>
    <s v="ODEM"/>
    <x v="155"/>
    <n v="2"/>
    <n v="0"/>
  </r>
  <r>
    <x v="1"/>
    <s v="ODEM"/>
    <x v="156"/>
    <n v="3"/>
    <n v="0"/>
  </r>
  <r>
    <x v="1"/>
    <s v="ODEM"/>
    <x v="157"/>
    <n v="4"/>
    <n v="10"/>
  </r>
  <r>
    <x v="1"/>
    <s v="ODEM"/>
    <x v="158"/>
    <n v="0"/>
    <n v="0"/>
  </r>
  <r>
    <x v="1"/>
    <s v="ODEM"/>
    <x v="159"/>
    <n v="0"/>
    <n v="0"/>
  </r>
  <r>
    <x v="1"/>
    <s v="ODEM"/>
    <x v="160"/>
    <n v="0"/>
    <n v="0"/>
  </r>
  <r>
    <x v="1"/>
    <s v="ODEM"/>
    <x v="161"/>
    <n v="0"/>
    <n v="0"/>
  </r>
  <r>
    <x v="1"/>
    <s v="ODEM"/>
    <x v="162"/>
    <n v="0"/>
    <n v="0"/>
  </r>
  <r>
    <x v="1"/>
    <s v="ODEM"/>
    <x v="163"/>
    <n v="0"/>
    <n v="0"/>
  </r>
  <r>
    <x v="1"/>
    <s v="ODEM"/>
    <x v="164"/>
    <n v="0"/>
    <n v="0"/>
  </r>
  <r>
    <x v="1"/>
    <s v="ODEM"/>
    <x v="165"/>
    <n v="0"/>
    <n v="0"/>
  </r>
  <r>
    <x v="1"/>
    <s v="ODEM"/>
    <x v="166"/>
    <n v="0"/>
    <n v="0"/>
  </r>
  <r>
    <x v="1"/>
    <s v="ODEM"/>
    <x v="167"/>
    <n v="0"/>
    <n v="0"/>
  </r>
  <r>
    <x v="1"/>
    <s v="ODEM"/>
    <x v="168"/>
    <n v="0"/>
    <n v="0"/>
  </r>
  <r>
    <x v="1"/>
    <s v="ODEM"/>
    <x v="169"/>
    <n v="0"/>
    <n v="0"/>
  </r>
  <r>
    <x v="1"/>
    <s v="ODEM"/>
    <x v="170"/>
    <n v="0"/>
    <n v="0"/>
  </r>
  <r>
    <x v="1"/>
    <s v="ODEM"/>
    <x v="171"/>
    <n v="0"/>
    <n v="0"/>
  </r>
  <r>
    <x v="1"/>
    <s v="ODEM"/>
    <x v="172"/>
    <n v="0"/>
    <n v="0"/>
  </r>
  <r>
    <x v="1"/>
    <s v="ODEM"/>
    <x v="173"/>
    <n v="0"/>
    <n v="0"/>
  </r>
  <r>
    <x v="1"/>
    <s v="ODEM"/>
    <x v="174"/>
    <n v="0"/>
    <n v="0"/>
  </r>
  <r>
    <x v="1"/>
    <s v="ODEM"/>
    <x v="175"/>
    <n v="0"/>
    <n v="0"/>
  </r>
  <r>
    <x v="1"/>
    <s v="ODEM"/>
    <x v="176"/>
    <n v="0"/>
    <n v="0"/>
  </r>
  <r>
    <x v="1"/>
    <s v="ODEM"/>
    <x v="177"/>
    <n v="0"/>
    <n v="0"/>
  </r>
  <r>
    <x v="1"/>
    <s v="ODEM"/>
    <x v="178"/>
    <n v="2"/>
    <n v="0"/>
  </r>
  <r>
    <x v="1"/>
    <s v="ODEM"/>
    <x v="179"/>
    <n v="1"/>
    <n v="0"/>
  </r>
  <r>
    <x v="1"/>
    <s v="ODEM"/>
    <x v="180"/>
    <n v="2"/>
    <n v="2"/>
  </r>
  <r>
    <x v="1"/>
    <s v="ODEM"/>
    <x v="181"/>
    <n v="1"/>
    <n v="0"/>
  </r>
  <r>
    <x v="1"/>
    <s v="ODEM"/>
    <x v="182"/>
    <n v="3"/>
    <n v="0.5"/>
  </r>
  <r>
    <x v="1"/>
    <s v="ODEM"/>
    <x v="183"/>
    <n v="2"/>
    <n v="1"/>
  </r>
  <r>
    <x v="1"/>
    <s v="ODEM"/>
    <x v="184"/>
    <n v="4"/>
    <n v="0.5"/>
  </r>
  <r>
    <x v="1"/>
    <s v="ODEM"/>
    <x v="185"/>
    <n v="4"/>
    <n v="10"/>
  </r>
  <r>
    <x v="1"/>
    <s v="ODEM"/>
    <x v="186"/>
    <n v="5"/>
    <n v="10"/>
  </r>
  <r>
    <x v="1"/>
    <s v="ODEM"/>
    <x v="187"/>
    <n v="4"/>
    <n v="15"/>
  </r>
  <r>
    <x v="1"/>
    <s v="ODEM"/>
    <x v="188"/>
    <n v="4"/>
    <n v="8"/>
  </r>
  <r>
    <x v="1"/>
    <s v="ODEM"/>
    <x v="189"/>
    <n v="5"/>
    <n v="15"/>
  </r>
  <r>
    <x v="1"/>
    <s v="ODEM"/>
    <x v="190"/>
    <n v="4"/>
    <n v="3"/>
  </r>
  <r>
    <x v="1"/>
    <s v="ODEM"/>
    <x v="191"/>
    <n v="5"/>
    <n v="3"/>
  </r>
  <r>
    <x v="1"/>
    <s v="ODEM"/>
    <x v="192"/>
    <n v="4"/>
    <n v="1"/>
  </r>
  <r>
    <x v="1"/>
    <s v="ODEM"/>
    <x v="193"/>
    <n v="1"/>
    <n v="0"/>
  </r>
  <r>
    <x v="1"/>
    <s v="ODEM"/>
    <x v="194"/>
    <n v="0"/>
    <n v="0"/>
  </r>
  <r>
    <x v="1"/>
    <s v="ODEM"/>
    <x v="195"/>
    <n v="5"/>
    <n v="2"/>
  </r>
  <r>
    <x v="1"/>
    <s v="ODEM"/>
    <x v="196"/>
    <n v="4"/>
    <n v="1"/>
  </r>
  <r>
    <x v="1"/>
    <s v="ODEM"/>
    <x v="197"/>
    <n v="4"/>
    <n v="1"/>
  </r>
  <r>
    <x v="1"/>
    <s v="ODEM"/>
    <x v="198"/>
    <n v="5"/>
    <n v="1"/>
  </r>
  <r>
    <x v="1"/>
    <s v="ODEM"/>
    <x v="199"/>
    <n v="6"/>
    <n v="52"/>
  </r>
  <r>
    <x v="1"/>
    <s v="ODEM"/>
    <x v="200"/>
    <n v="4"/>
    <n v="41"/>
  </r>
  <r>
    <x v="1"/>
    <s v="ODEM"/>
    <x v="201"/>
    <n v="5"/>
    <n v="36"/>
  </r>
  <r>
    <x v="1"/>
    <s v="ODEM"/>
    <x v="202"/>
    <n v="7"/>
    <n v="36"/>
  </r>
  <r>
    <x v="1"/>
    <s v="ODEM"/>
    <x v="203"/>
    <n v="7"/>
    <n v="36"/>
  </r>
  <r>
    <x v="1"/>
    <s v="ODEM"/>
    <x v="204"/>
    <n v="3"/>
    <n v="36"/>
  </r>
  <r>
    <x v="1"/>
    <s v="ODEM"/>
    <x v="205"/>
    <n v="2"/>
    <n v="36"/>
  </r>
  <r>
    <x v="1"/>
    <s v="ODEM"/>
    <x v="206"/>
    <n v="2"/>
    <n v="36"/>
  </r>
  <r>
    <x v="1"/>
    <s v="ODEM"/>
    <x v="207"/>
    <n v="3"/>
    <n v="41"/>
  </r>
  <r>
    <x v="1"/>
    <s v="ODEM"/>
    <x v="208"/>
    <n v="3"/>
    <n v="38"/>
  </r>
  <r>
    <x v="1"/>
    <s v="ODEM"/>
    <x v="209"/>
    <n v="2"/>
    <n v="2"/>
  </r>
  <r>
    <x v="1"/>
    <s v="ODEM"/>
    <x v="210"/>
    <n v="2"/>
    <n v="3002"/>
  </r>
  <r>
    <x v="1"/>
    <s v="ODEM"/>
    <x v="211"/>
    <n v="5"/>
    <n v="1826"/>
  </r>
  <r>
    <x v="1"/>
    <s v="ODEM"/>
    <x v="212"/>
    <n v="7"/>
    <n v="1826"/>
  </r>
  <r>
    <x v="1"/>
    <s v="ODEM"/>
    <x v="213"/>
    <n v="10"/>
    <n v="1835"/>
  </r>
  <r>
    <x v="1"/>
    <s v="ODEM"/>
    <x v="214"/>
    <n v="10"/>
    <n v="1958"/>
  </r>
  <r>
    <x v="1"/>
    <s v="ODEM"/>
    <x v="215"/>
    <n v="13"/>
    <n v="1956"/>
  </r>
  <r>
    <x v="1"/>
    <s v="ODEM"/>
    <x v="216"/>
    <n v="13"/>
    <n v="1964"/>
  </r>
  <r>
    <x v="1"/>
    <s v="ODEM"/>
    <x v="217"/>
    <n v="15"/>
    <n v="1933"/>
  </r>
  <r>
    <x v="1"/>
    <s v="ODEM"/>
    <x v="218"/>
    <n v="14"/>
    <n v="155"/>
  </r>
  <r>
    <x v="1"/>
    <s v="ODEM"/>
    <x v="219"/>
    <n v="10"/>
    <n v="827"/>
  </r>
  <r>
    <x v="1"/>
    <s v="ODEM"/>
    <x v="220"/>
    <n v="12"/>
    <n v="758"/>
  </r>
  <r>
    <x v="1"/>
    <s v="ODEM"/>
    <x v="221"/>
    <n v="30"/>
    <n v="913"/>
  </r>
  <r>
    <x v="1"/>
    <s v="ODEM"/>
    <x v="222"/>
    <n v="35"/>
    <n v="5324"/>
  </r>
  <r>
    <x v="1"/>
    <s v="ODEM"/>
    <x v="223"/>
    <n v="29"/>
    <n v="9327"/>
  </r>
  <r>
    <x v="1"/>
    <s v="ODEM"/>
    <x v="224"/>
    <n v="19"/>
    <n v="13755"/>
  </r>
  <r>
    <x v="1"/>
    <s v="ODEM"/>
    <x v="225"/>
    <n v="14"/>
    <n v="15105"/>
  </r>
  <r>
    <x v="1"/>
    <s v="ODEM"/>
    <x v="226"/>
    <n v="9"/>
    <n v="15630"/>
  </r>
  <r>
    <x v="1"/>
    <s v="ODEM"/>
    <x v="227"/>
    <n v="10"/>
    <n v="17316"/>
  </r>
  <r>
    <x v="1"/>
    <s v="ODEM"/>
    <x v="228"/>
    <n v="13"/>
    <n v="16825"/>
  </r>
  <r>
    <x v="1"/>
    <s v="ODEM"/>
    <x v="229"/>
    <n v="17"/>
    <n v="17472"/>
  </r>
  <r>
    <x v="1"/>
    <s v="ODEM"/>
    <x v="230"/>
    <n v="13"/>
    <n v="17931"/>
  </r>
  <r>
    <x v="1"/>
    <s v="ODEM"/>
    <x v="231"/>
    <n v="12"/>
    <n v="17924"/>
  </r>
  <r>
    <x v="1"/>
    <s v="ODEM"/>
    <x v="232"/>
    <n v="11"/>
    <n v="18124"/>
  </r>
  <r>
    <x v="1"/>
    <s v="ODEM"/>
    <x v="233"/>
    <n v="14"/>
    <n v="7472"/>
  </r>
  <r>
    <x v="1"/>
    <s v="ODEM"/>
    <x v="234"/>
    <n v="15"/>
    <n v="7474"/>
  </r>
  <r>
    <x v="1"/>
    <s v="ODEM"/>
    <x v="235"/>
    <n v="20"/>
    <n v="7458"/>
  </r>
  <r>
    <x v="1"/>
    <s v="ODEM"/>
    <x v="236"/>
    <n v="14"/>
    <n v="7608"/>
  </r>
  <r>
    <x v="1"/>
    <s v="ODEM"/>
    <x v="237"/>
    <n v="21"/>
    <n v="7606"/>
  </r>
  <r>
    <x v="1"/>
    <s v="ODEM"/>
    <x v="238"/>
    <n v="61"/>
    <n v="7647"/>
  </r>
  <r>
    <x v="1"/>
    <s v="ODEM"/>
    <x v="239"/>
    <n v="60"/>
    <n v="9843"/>
  </r>
  <r>
    <x v="1"/>
    <s v="ODEM"/>
    <x v="240"/>
    <n v="85"/>
    <n v="9304"/>
  </r>
  <r>
    <x v="1"/>
    <s v="ODEM"/>
    <x v="241"/>
    <n v="68"/>
    <n v="3853"/>
  </r>
  <r>
    <x v="1"/>
    <s v="ODEM"/>
    <x v="242"/>
    <n v="50"/>
    <n v="5003"/>
  </r>
  <r>
    <x v="1"/>
    <s v="ODEM"/>
    <x v="243"/>
    <n v="62"/>
    <n v="5707"/>
  </r>
  <r>
    <x v="1"/>
    <s v="ODEM"/>
    <x v="244"/>
    <n v="84"/>
    <n v="7011"/>
  </r>
  <r>
    <x v="1"/>
    <s v="ODEM"/>
    <x v="245"/>
    <n v="71"/>
    <n v="12144"/>
  </r>
  <r>
    <x v="1"/>
    <s v="ODEM"/>
    <x v="246"/>
    <n v="60"/>
    <n v="16404"/>
  </r>
  <r>
    <x v="1"/>
    <s v="ODEM"/>
    <x v="247"/>
    <n v="72"/>
    <n v="33366"/>
  </r>
  <r>
    <x v="1"/>
    <s v="ODEM"/>
    <x v="248"/>
    <n v="58"/>
    <n v="77162"/>
  </r>
  <r>
    <x v="1"/>
    <s v="ODEM"/>
    <x v="249"/>
    <n v="51"/>
    <n v="76765"/>
  </r>
  <r>
    <x v="1"/>
    <s v="ODEM"/>
    <x v="250"/>
    <n v="49"/>
    <n v="105153"/>
  </r>
  <r>
    <x v="1"/>
    <s v="ODEM"/>
    <x v="251"/>
    <n v="43"/>
    <n v="109399"/>
  </r>
  <r>
    <x v="1"/>
    <s v="ODEM"/>
    <x v="252"/>
    <n v="43"/>
    <n v="109365"/>
  </r>
  <r>
    <x v="1"/>
    <s v="ODEM"/>
    <x v="253"/>
    <n v="45"/>
    <n v="109361"/>
  </r>
  <r>
    <x v="1"/>
    <s v="ODEM"/>
    <x v="254"/>
    <n v="42"/>
    <n v="108368"/>
  </r>
  <r>
    <x v="1"/>
    <s v="ODEM"/>
    <x v="255"/>
    <n v="39"/>
    <n v="108268"/>
  </r>
  <r>
    <x v="1"/>
    <s v="ODEM"/>
    <x v="256"/>
    <n v="43"/>
    <n v="17545"/>
  </r>
  <r>
    <x v="1"/>
    <s v="ODEM"/>
    <x v="257"/>
    <n v="48"/>
    <n v="19813"/>
  </r>
  <r>
    <x v="1"/>
    <s v="ODEM"/>
    <x v="258"/>
    <n v="49"/>
    <n v="16610"/>
  </r>
  <r>
    <x v="1"/>
    <s v="ODEM"/>
    <x v="259"/>
    <n v="66"/>
    <n v="25448"/>
  </r>
  <r>
    <x v="1"/>
    <s v="ODEM"/>
    <x v="260"/>
    <n v="74"/>
    <n v="38942"/>
  </r>
  <r>
    <x v="1"/>
    <s v="ODEM"/>
    <x v="261"/>
    <n v="65"/>
    <n v="38493"/>
  </r>
  <r>
    <x v="1"/>
    <s v="ODEM"/>
    <x v="262"/>
    <n v="43"/>
    <n v="38067"/>
  </r>
  <r>
    <x v="1"/>
    <s v="ODEM"/>
    <x v="263"/>
    <n v="38"/>
    <n v="38840"/>
  </r>
  <r>
    <x v="1"/>
    <s v="ODEM"/>
    <x v="264"/>
    <n v="25"/>
    <n v="3951"/>
  </r>
  <r>
    <x v="1"/>
    <s v="ODEM"/>
    <x v="265"/>
    <n v="21"/>
    <n v="3864"/>
  </r>
  <r>
    <x v="1"/>
    <s v="ODEM"/>
    <x v="266"/>
    <n v="24"/>
    <n v="3595"/>
  </r>
  <r>
    <x v="1"/>
    <s v="ODEM"/>
    <x v="267"/>
    <n v="28"/>
    <n v="3805"/>
  </r>
  <r>
    <x v="1"/>
    <s v="ODEM"/>
    <x v="268"/>
    <n v="22"/>
    <n v="3139"/>
  </r>
  <r>
    <x v="1"/>
    <s v="ODEM"/>
    <x v="269"/>
    <n v="29"/>
    <n v="3195"/>
  </r>
  <r>
    <x v="1"/>
    <s v="ODEM"/>
    <x v="270"/>
    <n v="24"/>
    <n v="2826"/>
  </r>
  <r>
    <x v="1"/>
    <s v="ODEM"/>
    <x v="271"/>
    <n v="17"/>
    <n v="3642"/>
  </r>
  <r>
    <x v="1"/>
    <s v="ODEM"/>
    <x v="272"/>
    <n v="19"/>
    <n v="2342"/>
  </r>
  <r>
    <x v="1"/>
    <s v="ODEM"/>
    <x v="273"/>
    <n v="23"/>
    <n v="247"/>
  </r>
  <r>
    <x v="1"/>
    <s v="ODEM"/>
    <x v="274"/>
    <n v="26"/>
    <n v="317"/>
  </r>
  <r>
    <x v="1"/>
    <s v="ODEM"/>
    <x v="275"/>
    <n v="21"/>
    <n v="882"/>
  </r>
  <r>
    <x v="1"/>
    <s v="ODEM"/>
    <x v="276"/>
    <n v="30"/>
    <n v="22419"/>
  </r>
  <r>
    <x v="1"/>
    <s v="ODEM"/>
    <x v="277"/>
    <n v="47"/>
    <n v="28093"/>
  </r>
  <r>
    <x v="1"/>
    <s v="ODEM"/>
    <x v="278"/>
    <n v="51"/>
    <n v="33498"/>
  </r>
  <r>
    <x v="1"/>
    <s v="ODEM"/>
    <x v="279"/>
    <n v="71"/>
    <n v="36241"/>
  </r>
  <r>
    <x v="1"/>
    <s v="ODEM"/>
    <x v="280"/>
    <n v="60"/>
    <n v="42579"/>
  </r>
  <r>
    <x v="1"/>
    <s v="ODEM"/>
    <x v="281"/>
    <n v="24"/>
    <n v="58173"/>
  </r>
  <r>
    <x v="1"/>
    <s v="ODEM"/>
    <x v="282"/>
    <n v="27"/>
    <n v="53592"/>
  </r>
  <r>
    <x v="1"/>
    <s v="ODEM"/>
    <x v="283"/>
    <n v="42"/>
    <n v="57857"/>
  </r>
  <r>
    <x v="1"/>
    <s v="ODEM"/>
    <x v="284"/>
    <n v="61"/>
    <n v="65705"/>
  </r>
  <r>
    <x v="1"/>
    <s v="ODEM"/>
    <x v="285"/>
    <n v="97"/>
    <n v="86520"/>
  </r>
  <r>
    <x v="1"/>
    <s v="ODEM"/>
    <x v="286"/>
    <n v="96"/>
    <n v="110285"/>
  </r>
  <r>
    <x v="1"/>
    <s v="ODEM"/>
    <x v="287"/>
    <n v="90"/>
    <n v="105463"/>
  </r>
  <r>
    <x v="1"/>
    <s v="ODEM"/>
    <x v="288"/>
    <n v="73"/>
    <n v="105933"/>
  </r>
  <r>
    <x v="1"/>
    <s v="ODEM"/>
    <x v="289"/>
    <n v="53"/>
    <n v="105199"/>
  </r>
  <r>
    <x v="1"/>
    <s v="ODEM"/>
    <x v="290"/>
    <n v="27"/>
    <n v="108326"/>
  </r>
  <r>
    <x v="1"/>
    <s v="ODEM"/>
    <x v="291"/>
    <n v="27"/>
    <n v="108341"/>
  </r>
  <r>
    <x v="1"/>
    <s v="ODEM"/>
    <x v="292"/>
    <n v="25"/>
    <n v="107854"/>
  </r>
  <r>
    <x v="1"/>
    <s v="ODEM"/>
    <x v="293"/>
    <n v="32"/>
    <n v="107941"/>
  </r>
  <r>
    <x v="1"/>
    <s v="ODEM"/>
    <x v="294"/>
    <n v="30"/>
    <n v="108664"/>
  </r>
  <r>
    <x v="1"/>
    <s v="ODEM"/>
    <x v="295"/>
    <n v="26"/>
    <n v="65162"/>
  </r>
  <r>
    <x v="1"/>
    <s v="ODEM"/>
    <x v="296"/>
    <n v="22"/>
    <n v="65391"/>
  </r>
  <r>
    <x v="1"/>
    <s v="ODEM"/>
    <x v="297"/>
    <n v="26"/>
    <n v="65781"/>
  </r>
  <r>
    <x v="1"/>
    <s v="ODEM"/>
    <x v="298"/>
    <n v="33"/>
    <n v="65713"/>
  </r>
  <r>
    <x v="1"/>
    <s v="ODEM"/>
    <x v="299"/>
    <n v="30"/>
    <n v="65573"/>
  </r>
  <r>
    <x v="1"/>
    <s v="ODEM"/>
    <x v="300"/>
    <n v="25"/>
    <n v="78555"/>
  </r>
  <r>
    <x v="1"/>
    <s v="ODEM"/>
    <x v="301"/>
    <n v="22"/>
    <n v="79648"/>
  </r>
  <r>
    <x v="1"/>
    <s v="ODEM"/>
    <x v="302"/>
    <n v="18"/>
    <n v="79599"/>
  </r>
  <r>
    <x v="1"/>
    <s v="ODEM"/>
    <x v="303"/>
    <n v="17"/>
    <n v="56281"/>
  </r>
  <r>
    <x v="1"/>
    <s v="ODEM"/>
    <x v="304"/>
    <n v="12"/>
    <n v="55178"/>
  </r>
  <r>
    <x v="1"/>
    <s v="ODEM"/>
    <x v="305"/>
    <n v="16"/>
    <n v="56435"/>
  </r>
  <r>
    <x v="1"/>
    <s v="ODEM"/>
    <x v="306"/>
    <n v="17"/>
    <n v="54855"/>
  </r>
  <r>
    <x v="1"/>
    <s v="ODEM"/>
    <x v="307"/>
    <n v="19"/>
    <n v="53841"/>
  </r>
  <r>
    <x v="1"/>
    <s v="ODEM"/>
    <x v="308"/>
    <n v="22"/>
    <n v="53845"/>
  </r>
  <r>
    <x v="1"/>
    <s v="ODEM"/>
    <x v="309"/>
    <n v="20"/>
    <n v="53845"/>
  </r>
  <r>
    <x v="1"/>
    <s v="ODEM"/>
    <x v="310"/>
    <n v="13"/>
    <n v="53386"/>
  </r>
  <r>
    <x v="1"/>
    <s v="ODEM"/>
    <x v="311"/>
    <n v="19"/>
    <n v="53843"/>
  </r>
  <r>
    <x v="1"/>
    <s v="ODEM"/>
    <x v="312"/>
    <n v="19"/>
    <n v="53814"/>
  </r>
  <r>
    <x v="1"/>
    <s v="ODEM"/>
    <x v="313"/>
    <n v="24"/>
    <n v="53932"/>
  </r>
  <r>
    <x v="1"/>
    <s v="ODEM"/>
    <x v="314"/>
    <n v="23"/>
    <n v="53477"/>
  </r>
  <r>
    <x v="1"/>
    <s v="ODEM"/>
    <x v="315"/>
    <n v="18"/>
    <n v="53476"/>
  </r>
  <r>
    <x v="1"/>
    <s v="ODEM"/>
    <x v="316"/>
    <n v="22"/>
    <n v="53528"/>
  </r>
  <r>
    <x v="1"/>
    <s v="ODEM"/>
    <x v="317"/>
    <n v="32"/>
    <n v="53550"/>
  </r>
  <r>
    <x v="1"/>
    <s v="ODEM"/>
    <x v="318"/>
    <n v="12"/>
    <n v="53377"/>
  </r>
  <r>
    <x v="1"/>
    <s v="ODEM"/>
    <x v="319"/>
    <n v="12"/>
    <n v="53384"/>
  </r>
  <r>
    <x v="1"/>
    <s v="ODEM"/>
    <x v="320"/>
    <n v="18"/>
    <n v="53559"/>
  </r>
  <r>
    <x v="1"/>
    <s v="ODEM"/>
    <x v="321"/>
    <n v="26"/>
    <n v="53572"/>
  </r>
  <r>
    <x v="1"/>
    <s v="ODEM"/>
    <x v="322"/>
    <n v="29"/>
    <n v="53643"/>
  </r>
  <r>
    <x v="1"/>
    <s v="ODEM"/>
    <x v="323"/>
    <n v="32"/>
    <n v="53468"/>
  </r>
  <r>
    <x v="1"/>
    <s v="ODEM"/>
    <x v="324"/>
    <n v="21"/>
    <n v="53463"/>
  </r>
  <r>
    <x v="1"/>
    <s v="ODEM"/>
    <x v="325"/>
    <n v="12"/>
    <n v="53469"/>
  </r>
  <r>
    <x v="1"/>
    <s v="ODEM"/>
    <x v="326"/>
    <n v="25"/>
    <n v="53506"/>
  </r>
  <r>
    <x v="1"/>
    <s v="ODEM"/>
    <x v="327"/>
    <n v="34"/>
    <n v="53531"/>
  </r>
  <r>
    <x v="1"/>
    <s v="ODEM"/>
    <x v="328"/>
    <n v="13"/>
    <n v="53479"/>
  </r>
  <r>
    <x v="1"/>
    <s v="ODEM"/>
    <x v="329"/>
    <n v="23"/>
    <n v="34032"/>
  </r>
  <r>
    <x v="1"/>
    <s v="ODEM"/>
    <x v="330"/>
    <n v="36"/>
    <n v="34131"/>
  </r>
  <r>
    <x v="1"/>
    <s v="ODEM"/>
    <x v="331"/>
    <n v="31"/>
    <n v="57550"/>
  </r>
  <r>
    <x v="1"/>
    <s v="ODEM"/>
    <x v="332"/>
    <n v="20"/>
    <n v="27690"/>
  </r>
  <r>
    <x v="1"/>
    <s v="ODEM"/>
    <x v="333"/>
    <n v="30"/>
    <n v="43877"/>
  </r>
  <r>
    <x v="1"/>
    <s v="ODEM"/>
    <x v="334"/>
    <n v="38"/>
    <n v="45588"/>
  </r>
  <r>
    <x v="1"/>
    <s v="ODEM"/>
    <x v="335"/>
    <n v="32"/>
    <n v="45573"/>
  </r>
  <r>
    <x v="1"/>
    <s v="ODEM"/>
    <x v="336"/>
    <n v="29"/>
    <n v="44905"/>
  </r>
  <r>
    <x v="1"/>
    <s v="ODEM"/>
    <x v="337"/>
    <n v="8"/>
    <n v="44871"/>
  </r>
  <r>
    <x v="1"/>
    <s v="ODEM"/>
    <x v="338"/>
    <n v="21"/>
    <n v="44813"/>
  </r>
  <r>
    <x v="1"/>
    <s v="ODEM"/>
    <x v="339"/>
    <n v="22"/>
    <n v="44813"/>
  </r>
  <r>
    <x v="1"/>
    <s v="ODEM"/>
    <x v="340"/>
    <n v="8"/>
    <n v="21445"/>
  </r>
  <r>
    <x v="1"/>
    <s v="ODEM"/>
    <x v="341"/>
    <n v="14"/>
    <n v="1981"/>
  </r>
  <r>
    <x v="1"/>
    <s v="ODEM"/>
    <x v="342"/>
    <n v="14"/>
    <n v="2107"/>
  </r>
  <r>
    <x v="1"/>
    <s v="ODEM"/>
    <x v="343"/>
    <n v="21"/>
    <n v="2206"/>
  </r>
  <r>
    <x v="1"/>
    <s v="ODEM"/>
    <x v="344"/>
    <n v="21"/>
    <n v="5603"/>
  </r>
  <r>
    <x v="1"/>
    <s v="ODEM"/>
    <x v="345"/>
    <n v="11"/>
    <n v="5600"/>
  </r>
  <r>
    <x v="1"/>
    <s v="ODEM"/>
    <x v="346"/>
    <n v="18"/>
    <n v="5698"/>
  </r>
  <r>
    <x v="1"/>
    <s v="ODEM"/>
    <x v="347"/>
    <n v="21"/>
    <n v="5818"/>
  </r>
  <r>
    <x v="1"/>
    <s v="ODEM"/>
    <x v="348"/>
    <n v="32"/>
    <n v="29175"/>
  </r>
  <r>
    <x v="1"/>
    <s v="ODEM"/>
    <x v="349"/>
    <n v="17"/>
    <n v="30138"/>
  </r>
  <r>
    <x v="1"/>
    <s v="ODEM"/>
    <x v="350"/>
    <n v="23"/>
    <n v="30159"/>
  </r>
  <r>
    <x v="1"/>
    <s v="ODEM"/>
    <x v="351"/>
    <n v="29"/>
    <n v="30670"/>
  </r>
  <r>
    <x v="1"/>
    <s v="ODEM"/>
    <x v="352"/>
    <n v="44"/>
    <n v="30737"/>
  </r>
  <r>
    <x v="1"/>
    <s v="ODEM"/>
    <x v="353"/>
    <n v="41"/>
    <n v="25625"/>
  </r>
  <r>
    <x v="1"/>
    <s v="ODEM"/>
    <x v="354"/>
    <n v="14"/>
    <n v="25570"/>
  </r>
  <r>
    <x v="1"/>
    <s v="ODEM"/>
    <x v="355"/>
    <n v="15"/>
    <n v="25374"/>
  </r>
  <r>
    <x v="1"/>
    <s v="ODEM"/>
    <x v="356"/>
    <n v="14"/>
    <n v="25245"/>
  </r>
  <r>
    <x v="1"/>
    <s v="ODEM"/>
    <x v="357"/>
    <n v="5"/>
    <n v="1330"/>
  </r>
  <r>
    <x v="1"/>
    <s v="ODEM"/>
    <x v="358"/>
    <n v="3"/>
    <n v="1041"/>
  </r>
  <r>
    <x v="1"/>
    <s v="ODEM"/>
    <x v="359"/>
    <n v="1"/>
    <n v="0"/>
  </r>
  <r>
    <x v="2"/>
    <s v="ODEM"/>
    <x v="360"/>
    <n v="1"/>
    <n v="0"/>
  </r>
  <r>
    <x v="2"/>
    <s v="ODEM"/>
    <x v="361"/>
    <n v="1"/>
    <n v="0"/>
  </r>
  <r>
    <x v="2"/>
    <s v="ODEM"/>
    <x v="362"/>
    <n v="15"/>
    <n v="0"/>
  </r>
  <r>
    <x v="2"/>
    <s v="ODEM"/>
    <x v="363"/>
    <n v="10"/>
    <n v="27"/>
  </r>
  <r>
    <x v="2"/>
    <s v="ODEM"/>
    <x v="364"/>
    <n v="19"/>
    <n v="176"/>
  </r>
  <r>
    <x v="2"/>
    <s v="ODEM"/>
    <x v="365"/>
    <n v="23"/>
    <n v="176"/>
  </r>
  <r>
    <x v="2"/>
    <s v="ODEM"/>
    <x v="366"/>
    <n v="19"/>
    <n v="215"/>
  </r>
  <r>
    <x v="2"/>
    <s v="ODEM"/>
    <x v="367"/>
    <n v="3"/>
    <n v="215"/>
  </r>
  <r>
    <x v="2"/>
    <s v="ODEM"/>
    <x v="368"/>
    <n v="11"/>
    <n v="289"/>
  </r>
  <r>
    <x v="2"/>
    <s v="ODEM"/>
    <x v="369"/>
    <n v="13"/>
    <n v="289"/>
  </r>
  <r>
    <x v="2"/>
    <s v="ODEM"/>
    <x v="370"/>
    <n v="19"/>
    <n v="603"/>
  </r>
  <r>
    <x v="2"/>
    <s v="ODEM"/>
    <x v="371"/>
    <n v="4"/>
    <n v="603"/>
  </r>
  <r>
    <x v="2"/>
    <s v="ODEM"/>
    <x v="372"/>
    <n v="8"/>
    <n v="474"/>
  </r>
  <r>
    <x v="2"/>
    <s v="ODEM"/>
    <x v="373"/>
    <n v="10"/>
    <n v="474"/>
  </r>
  <r>
    <x v="2"/>
    <s v="ODEM"/>
    <x v="374"/>
    <n v="5"/>
    <n v="497"/>
  </r>
  <r>
    <x v="2"/>
    <s v="ODEM"/>
    <x v="375"/>
    <n v="9"/>
    <n v="579"/>
  </r>
  <r>
    <x v="2"/>
    <s v="ODEM"/>
    <x v="376"/>
    <n v="15"/>
    <n v="589"/>
  </r>
  <r>
    <x v="2"/>
    <s v="ODEM"/>
    <x v="377"/>
    <n v="17"/>
    <n v="624"/>
  </r>
  <r>
    <x v="2"/>
    <s v="ODEM"/>
    <x v="378"/>
    <n v="12"/>
    <n v="710"/>
  </r>
  <r>
    <x v="2"/>
    <s v="ODEM"/>
    <x v="379"/>
    <n v="6"/>
    <n v="705"/>
  </r>
  <r>
    <x v="2"/>
    <s v="ODEM"/>
    <x v="380"/>
    <n v="9"/>
    <n v="705"/>
  </r>
  <r>
    <x v="2"/>
    <s v="ODEM"/>
    <x v="381"/>
    <n v="10"/>
    <n v="651"/>
  </r>
  <r>
    <x v="2"/>
    <s v="ODEM"/>
    <x v="382"/>
    <n v="12"/>
    <n v="686"/>
  </r>
  <r>
    <x v="2"/>
    <s v="ODEM"/>
    <x v="383"/>
    <n v="9"/>
    <n v="830"/>
  </r>
  <r>
    <x v="2"/>
    <s v="ODEM"/>
    <x v="384"/>
    <n v="6"/>
    <n v="828"/>
  </r>
  <r>
    <x v="2"/>
    <s v="ODEM"/>
    <x v="385"/>
    <n v="10"/>
    <n v="828"/>
  </r>
  <r>
    <x v="2"/>
    <s v="ODEM"/>
    <x v="386"/>
    <n v="10"/>
    <n v="828"/>
  </r>
  <r>
    <x v="2"/>
    <s v="ODEM"/>
    <x v="387"/>
    <n v="8"/>
    <n v="828"/>
  </r>
  <r>
    <x v="2"/>
    <s v="ODEM"/>
    <x v="388"/>
    <n v="3"/>
    <n v="923"/>
  </r>
  <r>
    <x v="2"/>
    <s v="ODEM"/>
    <x v="389"/>
    <n v="4"/>
    <n v="923"/>
  </r>
  <r>
    <x v="2"/>
    <s v="ODEM"/>
    <x v="390"/>
    <n v="9"/>
    <n v="923"/>
  </r>
  <r>
    <x v="2"/>
    <s v="ODEM"/>
    <x v="391"/>
    <n v="11"/>
    <n v="923"/>
  </r>
  <r>
    <x v="2"/>
    <s v="ODEM"/>
    <x v="392"/>
    <n v="9"/>
    <n v="744"/>
  </r>
  <r>
    <x v="2"/>
    <s v="ODEM"/>
    <x v="393"/>
    <n v="2"/>
    <n v="704"/>
  </r>
  <r>
    <x v="2"/>
    <s v="ODEM"/>
    <x v="394"/>
    <n v="5"/>
    <n v="704"/>
  </r>
  <r>
    <x v="2"/>
    <s v="ODEM"/>
    <x v="395"/>
    <n v="3"/>
    <n v="704"/>
  </r>
  <r>
    <x v="2"/>
    <s v="ODEM"/>
    <x v="396"/>
    <n v="4"/>
    <n v="704"/>
  </r>
  <r>
    <x v="2"/>
    <s v="ODEM"/>
    <x v="397"/>
    <n v="3"/>
    <n v="0"/>
  </r>
  <r>
    <x v="2"/>
    <s v="ODEM"/>
    <x v="398"/>
    <n v="1"/>
    <n v="0"/>
  </r>
  <r>
    <x v="2"/>
    <s v="ODEM"/>
    <x v="399"/>
    <n v="2"/>
    <n v="1"/>
  </r>
  <r>
    <x v="2"/>
    <s v="ODEM"/>
    <x v="400"/>
    <n v="3"/>
    <n v="1"/>
  </r>
  <r>
    <x v="2"/>
    <s v="ODEM"/>
    <x v="401"/>
    <n v="4"/>
    <n v="1"/>
  </r>
  <r>
    <x v="2"/>
    <s v="ODEM"/>
    <x v="402"/>
    <n v="4"/>
    <n v="1"/>
  </r>
  <r>
    <x v="2"/>
    <s v="ODEM"/>
    <x v="403"/>
    <n v="1"/>
    <n v="1"/>
  </r>
  <r>
    <x v="2"/>
    <s v="ODEM"/>
    <x v="404"/>
    <n v="1"/>
    <n v="1"/>
  </r>
  <r>
    <x v="2"/>
    <s v="ODEM"/>
    <x v="405"/>
    <n v="1"/>
    <n v="1"/>
  </r>
  <r>
    <x v="2"/>
    <s v="ODEM"/>
    <x v="406"/>
    <n v="2"/>
    <n v="1"/>
  </r>
  <r>
    <x v="2"/>
    <s v="ODEM"/>
    <x v="407"/>
    <n v="1"/>
    <n v="0"/>
  </r>
  <r>
    <x v="2"/>
    <s v="ODEM"/>
    <x v="408"/>
    <n v="0"/>
    <n v="0"/>
  </r>
  <r>
    <x v="2"/>
    <s v="ODEM"/>
    <x v="409"/>
    <n v="6"/>
    <n v="1.7"/>
  </r>
  <r>
    <x v="2"/>
    <s v="ODEM"/>
    <x v="410"/>
    <n v="9"/>
    <n v="18.5"/>
  </r>
  <r>
    <x v="2"/>
    <s v="ODEM"/>
    <x v="411"/>
    <n v="11"/>
    <n v="18.5"/>
  </r>
  <r>
    <x v="2"/>
    <s v="ODEM"/>
    <x v="412"/>
    <n v="14"/>
    <n v="126"/>
  </r>
  <r>
    <x v="2"/>
    <s v="ODEM"/>
    <x v="413"/>
    <n v="13"/>
    <n v="118.7"/>
  </r>
  <r>
    <x v="2"/>
    <s v="ODEM"/>
    <x v="414"/>
    <n v="13"/>
    <n v="141.9"/>
  </r>
  <r>
    <x v="2"/>
    <s v="ODEM"/>
    <x v="415"/>
    <n v="8"/>
    <n v="236.24"/>
  </r>
  <r>
    <x v="2"/>
    <s v="ODEM"/>
    <x v="416"/>
    <n v="8"/>
    <n v="246.14"/>
  </r>
  <r>
    <x v="2"/>
    <s v="ODEM"/>
    <x v="417"/>
    <n v="9"/>
    <n v="246.14"/>
  </r>
  <r>
    <x v="2"/>
    <s v="ODEM"/>
    <x v="418"/>
    <n v="9"/>
    <n v="234.5"/>
  </r>
  <r>
    <x v="2"/>
    <s v="ODEM"/>
    <x v="419"/>
    <n v="6"/>
    <n v="189.5"/>
  </r>
  <r>
    <x v="2"/>
    <s v="ODEM"/>
    <x v="420"/>
    <n v="3"/>
    <n v="31.5"/>
  </r>
  <r>
    <x v="2"/>
    <s v="ODEM"/>
    <x v="421"/>
    <n v="8"/>
    <n v="31.5"/>
  </r>
  <r>
    <x v="2"/>
    <s v="ODEM"/>
    <x v="422"/>
    <n v="12"/>
    <n v="21.51"/>
  </r>
  <r>
    <x v="2"/>
    <s v="ODEM"/>
    <x v="423"/>
    <n v="17"/>
    <n v="235.11"/>
  </r>
  <r>
    <x v="2"/>
    <s v="ODEM"/>
    <x v="424"/>
    <n v="15"/>
    <n v="245.2"/>
  </r>
  <r>
    <x v="2"/>
    <s v="ODEM"/>
    <x v="425"/>
    <n v="15"/>
    <n v="685.3"/>
  </r>
  <r>
    <x v="2"/>
    <s v="ODEM"/>
    <x v="426"/>
    <n v="13"/>
    <n v="684.7"/>
  </r>
  <r>
    <x v="2"/>
    <s v="ODEM"/>
    <x v="427"/>
    <n v="10"/>
    <n v="684.46"/>
  </r>
  <r>
    <x v="2"/>
    <s v="ODEM"/>
    <x v="428"/>
    <n v="10"/>
    <n v="684.46"/>
  </r>
  <r>
    <x v="2"/>
    <s v="ODEM"/>
    <x v="429"/>
    <n v="15"/>
    <n v="900.3"/>
  </r>
  <r>
    <x v="2"/>
    <s v="ODEM"/>
    <x v="430"/>
    <n v="15"/>
    <n v="957.3"/>
  </r>
  <r>
    <x v="2"/>
    <s v="ODEM"/>
    <x v="431"/>
    <n v="16"/>
    <n v="957.34500000000003"/>
  </r>
  <r>
    <x v="2"/>
    <s v="ODEM"/>
    <x v="432"/>
    <n v="4"/>
    <n v="606"/>
  </r>
  <r>
    <x v="2"/>
    <s v="ODEM"/>
    <x v="433"/>
    <n v="7"/>
    <n v="606.30999999999995"/>
  </r>
  <r>
    <x v="2"/>
    <s v="ODEM"/>
    <x v="434"/>
    <n v="7"/>
    <n v="372"/>
  </r>
  <r>
    <x v="2"/>
    <s v="ODEM"/>
    <x v="435"/>
    <n v="8"/>
    <n v="357"/>
  </r>
  <r>
    <x v="2"/>
    <s v="ODEM"/>
    <x v="436"/>
    <n v="11"/>
    <n v="357.01"/>
  </r>
  <r>
    <x v="2"/>
    <s v="ODEM"/>
    <x v="437"/>
    <n v="5"/>
    <n v="0.41"/>
  </r>
  <r>
    <x v="2"/>
    <s v="ODEM"/>
    <x v="438"/>
    <n v="10"/>
    <n v="0.4"/>
  </r>
  <r>
    <x v="2"/>
    <s v="ODEM"/>
    <x v="439"/>
    <n v="15"/>
    <n v="2.5499999999999998"/>
  </r>
  <r>
    <x v="2"/>
    <s v="ODEM"/>
    <x v="440"/>
    <n v="19"/>
    <n v="2.2000000000000002"/>
  </r>
  <r>
    <x v="2"/>
    <s v="ODEM"/>
    <x v="441"/>
    <n v="18"/>
    <n v="233.45"/>
  </r>
  <r>
    <x v="2"/>
    <s v="ODEM"/>
    <x v="442"/>
    <n v="12"/>
    <n v="96.15"/>
  </r>
  <r>
    <x v="2"/>
    <s v="ODEM"/>
    <x v="443"/>
    <n v="16"/>
    <n v="67.98"/>
  </r>
  <r>
    <x v="2"/>
    <s v="ODEM"/>
    <x v="444"/>
    <n v="30"/>
    <n v="89.45"/>
  </r>
  <r>
    <x v="2"/>
    <s v="ODEM"/>
    <x v="445"/>
    <n v="31"/>
    <n v="87.8"/>
  </r>
  <r>
    <x v="2"/>
    <s v="ODEM"/>
    <x v="446"/>
    <n v="27"/>
    <n v="1586.43"/>
  </r>
  <r>
    <x v="2"/>
    <s v="ODEM"/>
    <x v="447"/>
    <n v="14"/>
    <n v="2617.23"/>
  </r>
  <r>
    <x v="2"/>
    <s v="ODEM"/>
    <x v="448"/>
    <n v="18"/>
    <n v="55.5"/>
  </r>
  <r>
    <x v="2"/>
    <s v="ODEM"/>
    <x v="449"/>
    <n v="13"/>
    <n v="63.37"/>
  </r>
  <r>
    <x v="2"/>
    <s v="ODEM"/>
    <x v="450"/>
    <n v="14"/>
    <n v="87.51"/>
  </r>
  <r>
    <x v="2"/>
    <s v="ODEM"/>
    <x v="451"/>
    <n v="14"/>
    <n v="87.51"/>
  </r>
  <r>
    <x v="2"/>
    <s v="ODEM"/>
    <x v="452"/>
    <n v="5"/>
    <n v="10.6"/>
  </r>
  <r>
    <x v="2"/>
    <s v="ODEM"/>
    <x v="453"/>
    <n v="14"/>
    <n v="11"/>
  </r>
  <r>
    <x v="2"/>
    <s v="ODEM"/>
    <x v="454"/>
    <n v="17"/>
    <n v="10.15"/>
  </r>
  <r>
    <x v="2"/>
    <s v="ODEM"/>
    <x v="455"/>
    <n v="18"/>
    <n v="42.4"/>
  </r>
  <r>
    <x v="2"/>
    <s v="ODEM"/>
    <x v="456"/>
    <n v="21"/>
    <n v="50"/>
  </r>
  <r>
    <x v="2"/>
    <s v="ODEM"/>
    <x v="457"/>
    <n v="17"/>
    <n v="1050"/>
  </r>
  <r>
    <x v="2"/>
    <s v="ODEM"/>
    <x v="458"/>
    <n v="19"/>
    <n v="1545.33"/>
  </r>
  <r>
    <x v="2"/>
    <s v="ODEM"/>
    <x v="459"/>
    <n v="17"/>
    <n v="1680.01"/>
  </r>
  <r>
    <x v="2"/>
    <s v="ODEM"/>
    <x v="460"/>
    <n v="21"/>
    <n v="1728.74"/>
  </r>
  <r>
    <x v="2"/>
    <s v="ODEM"/>
    <x v="461"/>
    <n v="15"/>
    <n v="514.39"/>
  </r>
  <r>
    <x v="2"/>
    <s v="ODEM"/>
    <x v="462"/>
    <n v="23"/>
    <n v="548.66999999999996"/>
  </r>
  <r>
    <x v="2"/>
    <s v="ODEM"/>
    <x v="463"/>
    <n v="36"/>
    <n v="568.69000000000005"/>
  </r>
  <r>
    <x v="2"/>
    <s v="ODEM"/>
    <x v="464"/>
    <n v="37"/>
    <n v="554.29"/>
  </r>
  <r>
    <x v="2"/>
    <s v="ODEM"/>
    <x v="465"/>
    <n v="31"/>
    <n v="322.81"/>
  </r>
  <r>
    <x v="2"/>
    <s v="ODEM"/>
    <x v="466"/>
    <n v="13"/>
    <n v="14.28"/>
  </r>
  <r>
    <x v="2"/>
    <s v="ODEM"/>
    <x v="467"/>
    <n v="23"/>
    <n v="123.45"/>
  </r>
  <r>
    <x v="2"/>
    <s v="ODEM"/>
    <x v="468"/>
    <n v="47"/>
    <n v="158.215"/>
  </r>
  <r>
    <x v="2"/>
    <s v="ODEM"/>
    <x v="469"/>
    <n v="47"/>
    <n v="68.875"/>
  </r>
  <r>
    <x v="2"/>
    <s v="ODEM"/>
    <x v="470"/>
    <n v="46"/>
    <n v="67.805000000000007"/>
  </r>
  <r>
    <x v="2"/>
    <s v="ODEM"/>
    <x v="471"/>
    <n v="32"/>
    <n v="58.34"/>
  </r>
  <r>
    <x v="2"/>
    <s v="ODEM"/>
    <x v="472"/>
    <n v="37"/>
    <n v="68.94"/>
  </r>
  <r>
    <x v="2"/>
    <s v="ODEM"/>
    <x v="473"/>
    <n v="45"/>
    <n v="1200.18"/>
  </r>
  <r>
    <x v="2"/>
    <s v="ODEM"/>
    <x v="474"/>
    <n v="48"/>
    <n v="2379.1999999999998"/>
  </r>
  <r>
    <x v="2"/>
    <s v="ODEM"/>
    <x v="475"/>
    <n v="48"/>
    <n v="2320.8000000000002"/>
  </r>
  <r>
    <x v="2"/>
    <s v="ODEM"/>
    <x v="476"/>
    <n v="23"/>
    <n v="150.69999999999999"/>
  </r>
  <r>
    <x v="2"/>
    <s v="ODEM"/>
    <x v="477"/>
    <n v="23"/>
    <n v="168.9"/>
  </r>
  <r>
    <x v="2"/>
    <s v="ODEM"/>
    <x v="478"/>
    <n v="28"/>
    <n v="168.3"/>
  </r>
  <r>
    <x v="2"/>
    <s v="ODEM"/>
    <x v="479"/>
    <n v="30"/>
    <n v="6673.32"/>
  </r>
  <r>
    <x v="2"/>
    <s v="ODEM"/>
    <x v="480"/>
    <n v="40"/>
    <n v="6240.23"/>
  </r>
  <r>
    <x v="2"/>
    <s v="ODEM"/>
    <x v="481"/>
    <n v="37"/>
    <n v="6224.7"/>
  </r>
  <r>
    <x v="2"/>
    <s v="ODEM"/>
    <x v="482"/>
    <n v="34"/>
    <n v="241.1"/>
  </r>
  <r>
    <x v="2"/>
    <s v="ODEM"/>
    <x v="483"/>
    <n v="36"/>
    <n v="264.89999999999998"/>
  </r>
  <r>
    <x v="2"/>
    <s v="ODEM"/>
    <x v="484"/>
    <n v="36"/>
    <n v="264.89999999999998"/>
  </r>
  <r>
    <x v="2"/>
    <s v="ODEM"/>
    <x v="485"/>
    <n v="27"/>
    <n v="264.02499999999998"/>
  </r>
  <r>
    <x v="2"/>
    <s v="ODEM"/>
    <x v="486"/>
    <n v="15"/>
    <n v="254.9"/>
  </r>
  <r>
    <x v="2"/>
    <s v="ODEM"/>
    <x v="487"/>
    <n v="22"/>
    <n v="569.97"/>
  </r>
  <r>
    <x v="2"/>
    <s v="ODEM"/>
    <x v="488"/>
    <n v="22"/>
    <n v="129.68"/>
  </r>
  <r>
    <x v="2"/>
    <s v="ODEM"/>
    <x v="489"/>
    <n v="32"/>
    <n v="134"/>
  </r>
  <r>
    <x v="2"/>
    <s v="ODEM"/>
    <x v="490"/>
    <n v="29"/>
    <n v="1304"/>
  </r>
  <r>
    <x v="2"/>
    <s v="ODEM"/>
    <x v="491"/>
    <n v="42"/>
    <n v="1909"/>
  </r>
  <r>
    <x v="2"/>
    <s v="ODEM"/>
    <x v="492"/>
    <n v="43"/>
    <n v="5381.72"/>
  </r>
  <r>
    <x v="2"/>
    <s v="ODEM"/>
    <x v="493"/>
    <n v="55"/>
    <n v="4704.92"/>
  </r>
  <r>
    <x v="2"/>
    <s v="ODEM"/>
    <x v="494"/>
    <n v="59"/>
    <n v="6164.11"/>
  </r>
  <r>
    <x v="2"/>
    <s v="ODEM"/>
    <x v="495"/>
    <n v="69"/>
    <n v="8486.27"/>
  </r>
  <r>
    <x v="2"/>
    <s v="ODEM"/>
    <x v="496"/>
    <n v="42"/>
    <n v="13778.47"/>
  </r>
  <r>
    <x v="2"/>
    <s v="ODEM"/>
    <x v="497"/>
    <n v="45"/>
    <n v="13683.68"/>
  </r>
  <r>
    <x v="2"/>
    <s v="ODEM"/>
    <x v="498"/>
    <n v="49"/>
    <n v="16455.25"/>
  </r>
  <r>
    <x v="2"/>
    <s v="ODEM"/>
    <x v="499"/>
    <n v="95"/>
    <n v="30642.51"/>
  </r>
  <r>
    <x v="2"/>
    <s v="ODEM"/>
    <x v="500"/>
    <n v="139"/>
    <n v="74119.41"/>
  </r>
  <r>
    <x v="2"/>
    <s v="ODEM"/>
    <x v="501"/>
    <n v="121"/>
    <n v="157875"/>
  </r>
  <r>
    <x v="2"/>
    <s v="ODEM"/>
    <x v="502"/>
    <n v="101"/>
    <n v="206884"/>
  </r>
  <r>
    <x v="2"/>
    <s v="ODEM"/>
    <x v="503"/>
    <n v="89"/>
    <n v="330324"/>
  </r>
  <r>
    <x v="2"/>
    <s v="ODEM"/>
    <x v="504"/>
    <n v="72"/>
    <n v="362567.73"/>
  </r>
  <r>
    <x v="2"/>
    <s v="ODEM"/>
    <x v="505"/>
    <n v="77"/>
    <n v="410182"/>
  </r>
  <r>
    <x v="2"/>
    <s v="ODEM"/>
    <x v="506"/>
    <n v="101"/>
    <n v="444235"/>
  </r>
  <r>
    <x v="2"/>
    <s v="ODEM"/>
    <x v="507"/>
    <n v="144"/>
    <n v="494693"/>
  </r>
  <r>
    <x v="2"/>
    <s v="ODEM"/>
    <x v="508"/>
    <n v="92"/>
    <n v="1145733"/>
  </r>
  <r>
    <x v="2"/>
    <s v="ODEM"/>
    <x v="509"/>
    <m/>
    <m/>
  </r>
  <r>
    <x v="2"/>
    <s v="ODEM"/>
    <x v="509"/>
    <m/>
    <m/>
  </r>
  <r>
    <x v="2"/>
    <s v="ODEM"/>
    <x v="509"/>
    <m/>
    <m/>
  </r>
  <r>
    <x v="2"/>
    <s v="ODEM"/>
    <x v="509"/>
    <m/>
    <m/>
  </r>
  <r>
    <x v="2"/>
    <s v="ODEM"/>
    <x v="509"/>
    <m/>
    <m/>
  </r>
  <r>
    <x v="3"/>
    <m/>
    <x v="509"/>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32A531-E685-47EA-BFE2-3200A4498D5B}" name="PivotTable1" cacheId="12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7">
  <location ref="A3:B153" firstHeaderRow="1" firstDataRow="1" firstDataCol="1" rowPageCount="1" colPageCount="1"/>
  <pivotFields count="5">
    <pivotField axis="axisPage" multipleItemSelectionAllowed="1" showAll="0">
      <items count="52">
        <item h="1" m="1" x="47"/>
        <item h="1" m="1" x="48"/>
        <item h="1" m="1" x="49"/>
        <item h="1" m="1" x="50"/>
        <item h="1" x="0"/>
        <item h="1" x="3"/>
        <item h="1" x="1"/>
        <item x="2"/>
        <item h="1" m="1" x="4"/>
        <item h="1" m="1" x="5"/>
        <item h="1" m="1" x="6"/>
        <item h="1" m="1" x="7"/>
        <item h="1" m="1" x="8"/>
        <item h="1" m="1" x="9"/>
        <item h="1" m="1" x="10"/>
        <item h="1" m="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h="1" m="1" x="41"/>
        <item h="1" m="1" x="42"/>
        <item h="1" m="1" x="43"/>
        <item h="1" m="1" x="44"/>
        <item h="1" m="1" x="45"/>
        <item h="1" m="1" x="46"/>
        <item t="default"/>
      </items>
    </pivotField>
    <pivotField showAll="0"/>
    <pivotField axis="axisRow" showAll="0">
      <items count="5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509"/>
        <item x="83"/>
        <item x="84"/>
        <item x="85"/>
        <item x="86"/>
        <item x="87"/>
        <item x="88"/>
        <item x="89"/>
        <item x="90"/>
        <item x="91"/>
        <item x="92"/>
        <item x="94"/>
        <item x="93"/>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418"/>
        <item x="398"/>
        <item x="399"/>
        <item x="400"/>
        <item x="401"/>
        <item x="402"/>
        <item x="403"/>
        <item x="404"/>
        <item x="405"/>
        <item x="406"/>
        <item x="407"/>
        <item x="408"/>
        <item x="409"/>
        <item x="410"/>
        <item x="411"/>
        <item x="412"/>
        <item x="413"/>
        <item x="414"/>
        <item x="415"/>
        <item x="416"/>
        <item x="417"/>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t="default"/>
      </items>
    </pivotField>
    <pivotField dataField="1" showAll="0"/>
    <pivotField showAll="0"/>
  </pivotFields>
  <rowFields count="1">
    <field x="2"/>
  </rowFields>
  <rowItems count="150">
    <i>
      <x v="83"/>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rowItems>
  <colItems count="1">
    <i/>
  </colItems>
  <pageFields count="1">
    <pageField fld="0" hier="-1"/>
  </pageFields>
  <dataFields count="1">
    <dataField name="Active Fires" fld="3" baseField="0" baseItem="0"/>
  </dataFields>
  <formats count="5">
    <format dxfId="472">
      <pivotArea field="0" type="button" dataOnly="0" labelOnly="1" outline="0" axis="axisPage" fieldPosition="0"/>
    </format>
    <format dxfId="471">
      <pivotArea dataOnly="0" labelOnly="1" grandRow="1" outline="0" fieldPosition="0"/>
    </format>
    <format dxfId="470">
      <pivotArea dataOnly="0" labelOnly="1" outline="0" fieldPosition="0">
        <references count="1">
          <reference field="4294967294" count="1">
            <x v="0"/>
          </reference>
        </references>
      </pivotArea>
    </format>
    <format dxfId="469">
      <pivotArea outline="0" collapsedLevelsAreSubtotals="1" fieldPosition="0"/>
    </format>
    <format dxfId="468">
      <pivotArea dataOnly="0" labelOnly="1" outline="0" fieldPosition="0">
        <references count="1">
          <reference field="4294967294" count="1">
            <x v="0"/>
          </reference>
        </references>
      </pivotArea>
    </format>
  </formats>
  <chartFormats count="18">
    <chartFormat chart="0" format="0" series="1">
      <pivotArea type="data" outline="0" fieldPosition="0">
        <references count="1">
          <reference field="4294967294" count="1" selected="0">
            <x v="0"/>
          </reference>
        </references>
      </pivotArea>
    </chartFormat>
    <chartFormat chart="30" format="3"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 chart="32" format="3"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 chart="42" format="3" series="1">
      <pivotArea type="data" outline="0" fieldPosition="0">
        <references count="1">
          <reference field="4294967294" count="1" selected="0">
            <x v="0"/>
          </reference>
        </references>
      </pivotArea>
    </chartFormat>
    <chartFormat chart="43" format="5" series="1">
      <pivotArea type="data" outline="0" fieldPosition="0">
        <references count="1">
          <reference field="4294967294" count="1" selected="0">
            <x v="0"/>
          </reference>
        </references>
      </pivotArea>
    </chartFormat>
    <chartFormat chart="50" format="3" series="1">
      <pivotArea type="data" outline="0" fieldPosition="0">
        <references count="1">
          <reference field="4294967294" count="1" selected="0">
            <x v="0"/>
          </reference>
        </references>
      </pivotArea>
    </chartFormat>
    <chartFormat chart="51" format="5" series="1">
      <pivotArea type="data" outline="0" fieldPosition="0">
        <references count="1">
          <reference field="4294967294" count="1" selected="0">
            <x v="0"/>
          </reference>
        </references>
      </pivotArea>
    </chartFormat>
    <chartFormat chart="53" format="7" series="1">
      <pivotArea type="data" outline="0" fieldPosition="0">
        <references count="1">
          <reference field="4294967294" count="1" selected="0">
            <x v="0"/>
          </reference>
        </references>
      </pivotArea>
    </chartFormat>
    <chartFormat chart="56" format="5" series="1">
      <pivotArea type="data" outline="0" fieldPosition="0">
        <references count="1">
          <reference field="4294967294" count="1" selected="0">
            <x v="0"/>
          </reference>
        </references>
      </pivotArea>
    </chartFormat>
    <chartFormat chart="69" format="7" series="1">
      <pivotArea type="data" outline="0" fieldPosition="0">
        <references count="1">
          <reference field="4294967294" count="1" selected="0">
            <x v="0"/>
          </reference>
        </references>
      </pivotArea>
    </chartFormat>
    <chartFormat chart="70" format="9" series="1">
      <pivotArea type="data" outline="0" fieldPosition="0">
        <references count="1">
          <reference field="4294967294" count="1" selected="0">
            <x v="0"/>
          </reference>
        </references>
      </pivotArea>
    </chartFormat>
    <chartFormat chart="86" format="7" series="1">
      <pivotArea type="data" outline="0" fieldPosition="0">
        <references count="1">
          <reference field="4294967294" count="1" selected="0">
            <x v="0"/>
          </reference>
        </references>
      </pivotArea>
    </chartFormat>
    <chartFormat chart="87" format="9" series="1">
      <pivotArea type="data" outline="0" fieldPosition="0">
        <references count="1">
          <reference field="4294967294" count="1" selected="0">
            <x v="0"/>
          </reference>
        </references>
      </pivotArea>
    </chartFormat>
    <chartFormat chart="90" format="7" series="1">
      <pivotArea type="data" outline="0" fieldPosition="0">
        <references count="1">
          <reference field="4294967294" count="1" selected="0">
            <x v="0"/>
          </reference>
        </references>
      </pivotArea>
    </chartFormat>
    <chartFormat chart="91" format="9" series="1">
      <pivotArea type="data" outline="0" fieldPosition="0">
        <references count="1">
          <reference field="4294967294" count="1" selected="0">
            <x v="0"/>
          </reference>
        </references>
      </pivotArea>
    </chartFormat>
    <chartFormat chart="114" format="13" series="1">
      <pivotArea type="data" outline="0" fieldPosition="0">
        <references count="1">
          <reference field="4294967294" count="1" selected="0">
            <x v="0"/>
          </reference>
        </references>
      </pivotArea>
    </chartFormat>
  </chart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2DB165-91A2-4F20-B18A-9A18F348496C}" name="PivotTable1" cacheId="119" applyNumberFormats="0" applyBorderFormats="0" applyFontFormats="0" applyPatternFormats="0" applyAlignmentFormats="0" applyWidthHeightFormats="1" dataCaption="VALUES" updatedVersion="8" minRefreshableVersion="3" colGrandTotals="0" itemPrintTitles="1" createdVersion="8" indent="0" compact="0" compactData="0" gridDropZones="1" rowHeaderCaption="Fire Details" customListSort="0">
  <location ref="A25:R69" firstHeaderRow="1" firstDataRow="2" firstDataCol="5" rowPageCount="1" colPageCount="1"/>
  <pivotFields count="20">
    <pivotField axis="axisPage" compact="0" outline="0" subtotalTop="0" multipleItemSelectionAllowed="1" showAll="0">
      <items count="9">
        <item h="1" x="0"/>
        <item h="1" x="1"/>
        <item h="1" x="2"/>
        <item h="1" x="3"/>
        <item h="1" x="4"/>
        <item h="1" x="5"/>
        <item h="1" x="7"/>
        <item x="6"/>
        <item t="default"/>
      </items>
    </pivotField>
    <pivotField axis="axisRow" compact="0" outline="0" subtotalTop="0" showAll="0" sortType="ascending" defaultSubtotal="0">
      <items count="386">
        <item x="240"/>
        <item x="184"/>
        <item x="293"/>
        <item x="241"/>
        <item x="242"/>
        <item m="1" x="360"/>
        <item x="243"/>
        <item m="1" x="310"/>
        <item m="1" x="312"/>
        <item m="1" x="313"/>
        <item m="1" x="315"/>
        <item m="1" x="316"/>
        <item m="1" x="328"/>
        <item m="1" x="317"/>
        <item m="1" x="329"/>
        <item m="1" x="348"/>
        <item m="1" x="318"/>
        <item m="1" x="309"/>
        <item m="1" x="319"/>
        <item m="1" x="320"/>
        <item m="1" x="321"/>
        <item x="244"/>
        <item x="245"/>
        <item x="246"/>
        <item x="247"/>
        <item m="1" x="305"/>
        <item m="1" x="306"/>
        <item x="248"/>
        <item x="249"/>
        <item x="250"/>
        <item x="251"/>
        <item x="252"/>
        <item m="1" x="378"/>
        <item m="1" x="377"/>
        <item x="253"/>
        <item x="84"/>
        <item x="254"/>
        <item x="78"/>
        <item x="255"/>
        <item m="1" x="330"/>
        <item x="186"/>
        <item x="13"/>
        <item m="1" x="302"/>
        <item x="256"/>
        <item x="95"/>
        <item x="5"/>
        <item x="215"/>
        <item x="101"/>
        <item x="103"/>
        <item x="257"/>
        <item x="12"/>
        <item m="1" x="374"/>
        <item x="104"/>
        <item x="258"/>
        <item x="1"/>
        <item x="87"/>
        <item x="18"/>
        <item x="259"/>
        <item x="124"/>
        <item x="125"/>
        <item x="260"/>
        <item x="40"/>
        <item x="99"/>
        <item x="126"/>
        <item x="41"/>
        <item x="189"/>
        <item x="209"/>
        <item x="231"/>
        <item x="261"/>
        <item x="208"/>
        <item m="1" x="311"/>
        <item x="262"/>
        <item x="263"/>
        <item x="42"/>
        <item x="43"/>
        <item x="127"/>
        <item x="128"/>
        <item x="129"/>
        <item x="130"/>
        <item m="1" x="324"/>
        <item x="6"/>
        <item x="264"/>
        <item x="230"/>
        <item x="77"/>
        <item x="105"/>
        <item x="34"/>
        <item x="44"/>
        <item x="265"/>
        <item x="223"/>
        <item x="179"/>
        <item x="266"/>
        <item x="131"/>
        <item x="267"/>
        <item m="1" x="331"/>
        <item x="132"/>
        <item x="268"/>
        <item x="106"/>
        <item m="1" x="303"/>
        <item x="81"/>
        <item x="45"/>
        <item x="133"/>
        <item m="1" x="314"/>
        <item x="191"/>
        <item x="46"/>
        <item x="269"/>
        <item x="234"/>
        <item x="107"/>
        <item x="47"/>
        <item x="98"/>
        <item x="48"/>
        <item x="270"/>
        <item x="134"/>
        <item m="1" x="332"/>
        <item x="271"/>
        <item x="108"/>
        <item m="1" x="304"/>
        <item x="202"/>
        <item m="1" x="333"/>
        <item x="203"/>
        <item x="14"/>
        <item x="109"/>
        <item m="1" x="350"/>
        <item m="1" x="334"/>
        <item x="272"/>
        <item x="226"/>
        <item x="49"/>
        <item x="51"/>
        <item x="206"/>
        <item m="1" x="355"/>
        <item m="1" x="335"/>
        <item x="235"/>
        <item x="135"/>
        <item x="110"/>
        <item x="50"/>
        <item x="136"/>
        <item x="52"/>
        <item x="111"/>
        <item x="73"/>
        <item x="137"/>
        <item x="16"/>
        <item x="32"/>
        <item x="217"/>
        <item x="138"/>
        <item x="112"/>
        <item x="273"/>
        <item m="1" x="384"/>
        <item x="10"/>
        <item x="15"/>
        <item x="274"/>
        <item x="53"/>
        <item x="196"/>
        <item x="113"/>
        <item x="221"/>
        <item x="180"/>
        <item m="1" x="336"/>
        <item x="114"/>
        <item x="185"/>
        <item x="29"/>
        <item x="115"/>
        <item x="220"/>
        <item x="139"/>
        <item x="76"/>
        <item x="237"/>
        <item x="140"/>
        <item x="275"/>
        <item x="26"/>
        <item x="276"/>
        <item x="54"/>
        <item x="141"/>
        <item x="142"/>
        <item x="88"/>
        <item x="55"/>
        <item x="143"/>
        <item x="210"/>
        <item x="11"/>
        <item x="38"/>
        <item x="193"/>
        <item x="27"/>
        <item x="190"/>
        <item x="90"/>
        <item x="205"/>
        <item x="277"/>
        <item x="86"/>
        <item x="56"/>
        <item x="278"/>
        <item x="279"/>
        <item x="36"/>
        <item m="1" x="354"/>
        <item m="1" x="337"/>
        <item x="200"/>
        <item x="204"/>
        <item x="280"/>
        <item m="1" x="356"/>
        <item m="1" x="338"/>
        <item x="144"/>
        <item x="2"/>
        <item x="102"/>
        <item x="218"/>
        <item x="281"/>
        <item m="1" x="339"/>
        <item x="35"/>
        <item x="96"/>
        <item x="282"/>
        <item x="57"/>
        <item x="3"/>
        <item x="283"/>
        <item x="71"/>
        <item x="145"/>
        <item x="284"/>
        <item x="146"/>
        <item m="1" x="368"/>
        <item m="1" x="370"/>
        <item x="147"/>
        <item x="89"/>
        <item x="58"/>
        <item x="224"/>
        <item x="93"/>
        <item x="233"/>
        <item x="33"/>
        <item x="239"/>
        <item x="116"/>
        <item x="214"/>
        <item x="148"/>
        <item x="117"/>
        <item m="1" x="365"/>
        <item m="1" x="366"/>
        <item m="1" x="369"/>
        <item m="1" x="367"/>
        <item x="17"/>
        <item x="59"/>
        <item x="0"/>
        <item x="211"/>
        <item x="149"/>
        <item x="60"/>
        <item x="118"/>
        <item x="197"/>
        <item x="100"/>
        <item x="212"/>
        <item x="285"/>
        <item x="286"/>
        <item x="287"/>
        <item x="227"/>
        <item x="229"/>
        <item x="61"/>
        <item x="236"/>
        <item x="222"/>
        <item x="238"/>
        <item x="62"/>
        <item x="150"/>
        <item x="151"/>
        <item x="152"/>
        <item m="1" x="322"/>
        <item m="1" x="380"/>
        <item m="1" x="323"/>
        <item x="232"/>
        <item m="1" x="376"/>
        <item x="19"/>
        <item m="1" x="381"/>
        <item x="63"/>
        <item x="207"/>
        <item m="1" x="364"/>
        <item x="195"/>
        <item m="1" x="385"/>
        <item x="28"/>
        <item x="288"/>
        <item x="64"/>
        <item x="119"/>
        <item x="85"/>
        <item x="289"/>
        <item x="290"/>
        <item x="153"/>
        <item m="1" x="340"/>
        <item x="154"/>
        <item m="1" x="357"/>
        <item m="1" x="341"/>
        <item x="65"/>
        <item x="225"/>
        <item x="31"/>
        <item m="1" x="353"/>
        <item m="1" x="342"/>
        <item x="155"/>
        <item x="291"/>
        <item x="156"/>
        <item x="66"/>
        <item x="67"/>
        <item x="157"/>
        <item m="1" x="343"/>
        <item x="292"/>
        <item x="91"/>
        <item x="120"/>
        <item x="158"/>
        <item m="1" x="351"/>
        <item m="1" x="344"/>
        <item m="1" x="325"/>
        <item m="1" x="307"/>
        <item x="188"/>
        <item m="1" x="326"/>
        <item x="159"/>
        <item x="23"/>
        <item x="4"/>
        <item x="294"/>
        <item x="213"/>
        <item x="72"/>
        <item x="160"/>
        <item x="295"/>
        <item x="183"/>
        <item x="74"/>
        <item m="1" x="373"/>
        <item x="182"/>
        <item x="68"/>
        <item x="7"/>
        <item x="80"/>
        <item x="161"/>
        <item x="296"/>
        <item x="162"/>
        <item x="163"/>
        <item x="219"/>
        <item x="201"/>
        <item m="1" x="363"/>
        <item x="297"/>
        <item x="39"/>
        <item x="164"/>
        <item m="1" x="359"/>
        <item m="1" x="327"/>
        <item x="94"/>
        <item x="165"/>
        <item x="166"/>
        <item x="167"/>
        <item x="216"/>
        <item x="22"/>
        <item x="83"/>
        <item x="228"/>
        <item m="1" x="345"/>
        <item x="298"/>
        <item x="82"/>
        <item x="181"/>
        <item x="194"/>
        <item x="30"/>
        <item x="69"/>
        <item x="168"/>
        <item x="20"/>
        <item m="1" x="379"/>
        <item m="1" x="383"/>
        <item x="121"/>
        <item x="169"/>
        <item x="199"/>
        <item m="1" x="358"/>
        <item m="1" x="346"/>
        <item m="1" x="349"/>
        <item x="170"/>
        <item x="9"/>
        <item x="192"/>
        <item m="1" x="372"/>
        <item x="25"/>
        <item m="1" x="362"/>
        <item m="1" x="371"/>
        <item m="1" x="375"/>
        <item x="171"/>
        <item x="299"/>
        <item x="75"/>
        <item m="1" x="361"/>
        <item x="37"/>
        <item m="1" x="382"/>
        <item x="172"/>
        <item x="79"/>
        <item x="300"/>
        <item x="173"/>
        <item x="174"/>
        <item x="175"/>
        <item x="8"/>
        <item x="176"/>
        <item m="1" x="352"/>
        <item m="1" x="347"/>
        <item x="92"/>
        <item x="122"/>
        <item x="24"/>
        <item x="177"/>
        <item x="198"/>
        <item x="123"/>
        <item x="97"/>
        <item x="70"/>
        <item x="187"/>
        <item x="21"/>
        <item x="178"/>
        <item m="1" x="308"/>
        <item x="301"/>
      </items>
    </pivotField>
    <pivotField axis="axisRow" compact="0" outline="0" subtotalTop="0" showAll="0" defaultSubtotal="0">
      <items count="33">
        <item x="19"/>
        <item x="14"/>
        <item x="21"/>
        <item x="4"/>
        <item x="28"/>
        <item x="15"/>
        <item x="20"/>
        <item x="17"/>
        <item x="8"/>
        <item x="5"/>
        <item x="1"/>
        <item x="27"/>
        <item x="11"/>
        <item x="0"/>
        <item x="9"/>
        <item x="7"/>
        <item x="31"/>
        <item x="16"/>
        <item x="22"/>
        <item x="13"/>
        <item x="6"/>
        <item x="3"/>
        <item x="23"/>
        <item x="10"/>
        <item x="24"/>
        <item x="18"/>
        <item x="2"/>
        <item x="12"/>
        <item x="25"/>
        <item x="26"/>
        <item m="1" x="32"/>
        <item x="29"/>
        <item x="30"/>
      </items>
    </pivotField>
    <pivotField dataField="1" compact="0" outline="0" subtotalTop="0" showAll="0"/>
    <pivotField axis="axisRow" compact="0" outline="0" subtotalTop="0" showAll="0" sortType="descending">
      <items count="97">
        <item m="1" x="34"/>
        <item x="19"/>
        <item m="1" x="95"/>
        <item m="1" x="94"/>
        <item m="1" x="82"/>
        <item m="1" x="55"/>
        <item m="1" x="76"/>
        <item x="0"/>
        <item x="16"/>
        <item m="1" x="37"/>
        <item x="6"/>
        <item m="1" x="43"/>
        <item x="2"/>
        <item x="11"/>
        <item m="1" x="27"/>
        <item x="7"/>
        <item m="1" x="93"/>
        <item x="4"/>
        <item m="1" x="41"/>
        <item m="1" x="92"/>
        <item m="1" x="59"/>
        <item m="1" x="35"/>
        <item m="1" x="91"/>
        <item m="1" x="54"/>
        <item m="1" x="31"/>
        <item m="1" x="45"/>
        <item m="1" x="56"/>
        <item m="1" x="29"/>
        <item m="1" x="90"/>
        <item x="18"/>
        <item m="1" x="47"/>
        <item m="1" x="71"/>
        <item x="3"/>
        <item m="1" x="58"/>
        <item m="1" x="30"/>
        <item m="1" x="89"/>
        <item m="1" x="26"/>
        <item m="1" x="79"/>
        <item m="1" x="42"/>
        <item m="1" x="25"/>
        <item x="22"/>
        <item m="1" x="39"/>
        <item m="1" x="51"/>
        <item x="15"/>
        <item m="1" x="84"/>
        <item m="1" x="66"/>
        <item m="1" x="83"/>
        <item m="1" x="23"/>
        <item m="1" x="88"/>
        <item m="1" x="86"/>
        <item m="1" x="67"/>
        <item m="1" x="61"/>
        <item x="10"/>
        <item m="1" x="87"/>
        <item m="1" x="85"/>
        <item m="1" x="46"/>
        <item m="1" x="63"/>
        <item x="1"/>
        <item m="1" x="48"/>
        <item x="14"/>
        <item m="1" x="24"/>
        <item m="1" x="50"/>
        <item m="1" x="81"/>
        <item m="1" x="80"/>
        <item m="1" x="72"/>
        <item m="1" x="57"/>
        <item m="1" x="60"/>
        <item m="1" x="77"/>
        <item m="1" x="78"/>
        <item m="1" x="62"/>
        <item m="1" x="53"/>
        <item m="1" x="75"/>
        <item m="1" x="32"/>
        <item m="1" x="74"/>
        <item m="1" x="73"/>
        <item m="1" x="70"/>
        <item m="1" x="36"/>
        <item m="1" x="69"/>
        <item m="1" x="68"/>
        <item m="1" x="65"/>
        <item m="1" x="64"/>
        <item m="1" x="38"/>
        <item x="5"/>
        <item m="1" x="33"/>
        <item m="1" x="28"/>
        <item m="1" x="52"/>
        <item x="20"/>
        <item m="1" x="49"/>
        <item x="8"/>
        <item m="1" x="44"/>
        <item m="1" x="40"/>
        <item x="9"/>
        <item x="12"/>
        <item x="13"/>
        <item x="17"/>
        <item x="21"/>
        <item t="default"/>
      </items>
      <autoSortScope>
        <pivotArea dataOnly="0" outline="0" fieldPosition="0">
          <references count="1">
            <reference field="4294967294" count="1" selected="0">
              <x v="0"/>
            </reference>
          </references>
        </pivotArea>
      </autoSortScope>
    </pivotField>
    <pivotField axis="axisRow" compact="0" outline="0" subtotalTop="0" showAll="0" defaultSubtotal="0">
      <items count="371">
        <item x="82"/>
        <item x="83"/>
        <item x="101"/>
        <item x="160"/>
        <item x="140"/>
        <item x="157"/>
        <item x="118"/>
        <item x="159"/>
        <item x="43"/>
        <item x="0"/>
        <item x="137"/>
        <item x="108"/>
        <item x="121"/>
        <item x="111"/>
        <item m="1" x="368"/>
        <item x="134"/>
        <item x="124"/>
        <item x="129"/>
        <item x="146"/>
        <item x="100"/>
        <item x="112"/>
        <item x="143"/>
        <item x="148"/>
        <item x="109"/>
        <item x="145"/>
        <item x="154"/>
        <item x="147"/>
        <item x="139"/>
        <item x="105"/>
        <item x="138"/>
        <item x="115"/>
        <item x="117"/>
        <item m="1" x="370"/>
        <item x="125"/>
        <item x="114"/>
        <item x="126"/>
        <item x="136"/>
        <item x="156"/>
        <item x="144"/>
        <item x="141"/>
        <item x="113"/>
        <item m="1" x="369"/>
        <item x="120"/>
        <item x="132"/>
        <item x="150"/>
        <item x="116"/>
        <item x="128"/>
        <item x="119"/>
        <item x="158"/>
        <item x="127"/>
        <item x="135"/>
        <item x="142"/>
        <item x="133"/>
        <item x="130"/>
        <item x="152"/>
        <item x="153"/>
        <item x="151"/>
        <item x="106"/>
        <item x="110"/>
        <item x="149"/>
        <item x="131"/>
        <item x="84"/>
        <item x="85"/>
        <item x="86"/>
        <item x="87"/>
        <item x="88"/>
        <item x="91"/>
        <item x="92"/>
        <item x="93"/>
        <item x="94"/>
        <item x="95"/>
        <item x="96"/>
        <item x="97"/>
        <item x="98"/>
        <item x="99"/>
        <item x="102"/>
        <item x="104"/>
        <item x="107"/>
        <item x="103"/>
        <item x="123"/>
        <item x="122"/>
        <item x="155"/>
        <item m="1" x="366"/>
        <item m="1" x="367"/>
        <item x="89"/>
        <item x="90"/>
        <item x="61"/>
        <item x="62"/>
        <item m="1" x="361"/>
        <item x="63"/>
        <item x="69"/>
        <item x="70"/>
        <item x="64"/>
        <item x="65"/>
        <item x="66"/>
        <item x="67"/>
        <item x="68"/>
        <item x="37"/>
        <item x="42"/>
        <item x="39"/>
        <item x="52"/>
        <item x="56"/>
        <item x="47"/>
        <item x="58"/>
        <item x="35"/>
        <item x="44"/>
        <item x="45"/>
        <item x="48"/>
        <item x="55"/>
        <item x="46"/>
        <item x="41"/>
        <item x="40"/>
        <item x="49"/>
        <item x="1"/>
        <item x="2"/>
        <item x="3"/>
        <item x="4"/>
        <item x="5"/>
        <item x="6"/>
        <item x="7"/>
        <item x="8"/>
        <item x="9"/>
        <item x="50"/>
        <item x="59"/>
        <item x="10"/>
        <item x="11"/>
        <item x="12"/>
        <item x="13"/>
        <item x="57"/>
        <item x="15"/>
        <item x="16"/>
        <item x="18"/>
        <item x="19"/>
        <item x="60"/>
        <item x="20"/>
        <item x="21"/>
        <item x="22"/>
        <item x="51"/>
        <item x="23"/>
        <item x="24"/>
        <item x="25"/>
        <item x="26"/>
        <item x="27"/>
        <item x="28"/>
        <item x="29"/>
        <item x="38"/>
        <item x="53"/>
        <item x="30"/>
        <item x="36"/>
        <item x="31"/>
        <item x="32"/>
        <item x="54"/>
        <item x="33"/>
        <item x="34"/>
        <item m="1" x="362"/>
        <item m="1" x="363"/>
        <item x="17"/>
        <item m="1" x="364"/>
        <item m="1" x="365"/>
        <item x="71"/>
        <item x="72"/>
        <item x="73"/>
        <item x="74"/>
        <item x="75"/>
        <item x="76"/>
        <item x="77"/>
        <item x="78"/>
        <item x="79"/>
        <item x="80"/>
        <item x="81"/>
        <item x="14"/>
        <item x="161"/>
        <item m="1" x="360"/>
        <item x="162"/>
        <item m="1" x="359"/>
        <item m="1" x="354"/>
        <item x="164"/>
        <item m="1" x="357"/>
        <item m="1" x="355"/>
        <item m="1" x="358"/>
        <item x="167"/>
        <item x="165"/>
        <item m="1" x="356"/>
        <item x="168"/>
        <item x="163"/>
        <item x="166"/>
        <item m="1" x="353"/>
        <item m="1" x="352"/>
        <item x="169"/>
        <item m="1" x="351"/>
        <item x="170"/>
        <item x="171"/>
        <item m="1" x="348"/>
        <item m="1" x="349"/>
        <item m="1" x="350"/>
        <item x="175"/>
        <item m="1" x="347"/>
        <item x="172"/>
        <item x="173"/>
        <item x="174"/>
        <item x="176"/>
        <item m="1" x="346"/>
        <item x="185"/>
        <item x="177"/>
        <item x="179"/>
        <item m="1" x="345"/>
        <item m="1" x="344"/>
        <item m="1" x="341"/>
        <item m="1" x="343"/>
        <item m="1" x="340"/>
        <item m="1" x="339"/>
        <item m="1" x="342"/>
        <item m="1" x="329"/>
        <item x="178"/>
        <item m="1" x="328"/>
        <item x="184"/>
        <item x="180"/>
        <item m="1" x="330"/>
        <item x="181"/>
        <item m="1" x="331"/>
        <item m="1" x="332"/>
        <item m="1" x="333"/>
        <item m="1" x="334"/>
        <item m="1" x="335"/>
        <item m="1" x="336"/>
        <item m="1" x="337"/>
        <item m="1" x="338"/>
        <item x="193"/>
        <item x="194"/>
        <item x="195"/>
        <item x="196"/>
        <item x="197"/>
        <item x="182"/>
        <item x="183"/>
        <item x="186"/>
        <item x="187"/>
        <item x="188"/>
        <item x="189"/>
        <item x="190"/>
        <item x="191"/>
        <item x="192"/>
        <item x="198"/>
        <item x="199"/>
        <item x="200"/>
        <item x="201"/>
        <item x="202"/>
        <item x="203"/>
        <item x="204"/>
        <item x="205"/>
        <item m="1" x="327"/>
        <item x="206"/>
        <item m="1" x="326"/>
        <item x="208"/>
        <item x="207"/>
        <item x="209"/>
        <item m="1" x="325"/>
        <item x="211"/>
        <item x="210"/>
        <item m="1" x="319"/>
        <item m="1" x="320"/>
        <item m="1" x="321"/>
        <item m="1" x="324"/>
        <item x="215"/>
        <item m="1" x="322"/>
        <item x="217"/>
        <item x="218"/>
        <item x="219"/>
        <item m="1" x="318"/>
        <item m="1" x="323"/>
        <item x="221"/>
        <item x="222"/>
        <item x="220"/>
        <item x="212"/>
        <item x="213"/>
        <item x="214"/>
        <item x="216"/>
        <item x="223"/>
        <item x="224"/>
        <item x="225"/>
        <item m="1" x="288"/>
        <item x="276"/>
        <item m="1" x="317"/>
        <item x="273"/>
        <item m="1" x="316"/>
        <item x="263"/>
        <item m="1" x="315"/>
        <item x="246"/>
        <item x="226"/>
        <item x="275"/>
        <item m="1" x="290"/>
        <item m="1" x="314"/>
        <item x="259"/>
        <item x="252"/>
        <item m="1" x="308"/>
        <item m="1" x="313"/>
        <item m="1" x="312"/>
        <item x="270"/>
        <item m="1" x="309"/>
        <item x="227"/>
        <item x="251"/>
        <item m="1" x="311"/>
        <item x="271"/>
        <item x="228"/>
        <item m="1" x="310"/>
        <item x="229"/>
        <item x="264"/>
        <item x="280"/>
        <item x="272"/>
        <item m="1" x="307"/>
        <item x="241"/>
        <item m="1" x="300"/>
        <item x="256"/>
        <item m="1" x="302"/>
        <item m="1" x="293"/>
        <item m="1" x="291"/>
        <item m="1" x="287"/>
        <item x="277"/>
        <item m="1" x="292"/>
        <item m="1" x="304"/>
        <item m="1" x="299"/>
        <item m="1" x="289"/>
        <item m="1" x="295"/>
        <item x="230"/>
        <item x="249"/>
        <item m="1" x="286"/>
        <item x="233"/>
        <item x="232"/>
        <item m="1" x="296"/>
        <item m="1" x="294"/>
        <item m="1" x="285"/>
        <item m="1" x="303"/>
        <item x="257"/>
        <item m="1" x="305"/>
        <item m="1" x="284"/>
        <item m="1" x="297"/>
        <item m="1" x="301"/>
        <item m="1" x="306"/>
        <item m="1" x="283"/>
        <item m="1" x="281"/>
        <item x="238"/>
        <item x="248"/>
        <item m="1" x="298"/>
        <item x="250"/>
        <item x="260"/>
        <item x="266"/>
        <item x="268"/>
        <item x="262"/>
        <item x="240"/>
        <item x="269"/>
        <item x="231"/>
        <item x="265"/>
        <item x="274"/>
        <item x="254"/>
        <item m="1" x="282"/>
        <item x="234"/>
        <item x="236"/>
        <item x="237"/>
        <item x="244"/>
        <item x="245"/>
        <item x="255"/>
        <item x="279"/>
        <item x="235"/>
        <item x="239"/>
        <item x="242"/>
        <item x="243"/>
        <item x="247"/>
        <item x="253"/>
        <item x="258"/>
        <item x="261"/>
        <item x="267"/>
        <item x="278"/>
      </items>
    </pivotField>
    <pivotField dataField="1" compact="0" outline="0" subtotalTop="0" showAll="0"/>
    <pivotField dataField="1" compact="0" outline="0" subtotalTop="0" showAll="0"/>
    <pivotField dataField="1" compact="0" outline="0" subtotalTop="0" showAll="0"/>
    <pivotField dataField="1" compact="0" outline="0" subtotalTop="0" showAll="0"/>
    <pivotField dataField="1" compact="0" outline="0" subtotalTop="0" showAll="0"/>
    <pivotField dataField="1" compact="0" outline="0" subtotalTop="0" showAll="0"/>
    <pivotField dataField="1" compact="0" outline="0" subtotalTop="0" showAll="0"/>
    <pivotField dataField="1" compact="0" outline="0" subtotalTop="0" showAll="0"/>
    <pivotField dataField="1" compact="0" outline="0" subtotalTop="0" showAll="0"/>
    <pivotField dataField="1" compact="0" outline="0" subtotalTop="0" showAll="0"/>
    <pivotField dataField="1" compact="0" outline="0" subtotalTop="0" showAll="0"/>
    <pivotField dataField="1" compact="0" outline="0" subtotalTop="0" showAll="0"/>
    <pivotField compact="0" outline="0" subtotalTop="0" showAll="0">
      <items count="4">
        <item x="0"/>
        <item x="1"/>
        <item x="2"/>
        <item t="default"/>
      </items>
    </pivotField>
    <pivotField axis="axisRow" compact="0" outline="0" subtotalTop="0" multipleItemSelectionAllowed="1" showAll="0" nonAutoSortDefault="1">
      <items count="7">
        <item x="3"/>
        <item m="1" x="5"/>
        <item sd="0" x="0"/>
        <item h="1" x="2"/>
        <item x="1"/>
        <item sd="0" x="4"/>
        <item t="default"/>
      </items>
    </pivotField>
  </pivotFields>
  <rowFields count="5">
    <field x="19"/>
    <field x="1"/>
    <field x="2"/>
    <field x="5"/>
    <field x="4"/>
  </rowFields>
  <rowItems count="43">
    <i>
      <x/>
      <x v="21"/>
      <x v="23"/>
      <x v="322"/>
      <x v="15"/>
    </i>
    <i r="1">
      <x v="23"/>
      <x v="1"/>
      <x v="326"/>
      <x v="88"/>
    </i>
    <i r="1">
      <x v="24"/>
      <x v="1"/>
      <x v="325"/>
      <x v="91"/>
    </i>
    <i r="1">
      <x v="27"/>
      <x v="23"/>
      <x v="354"/>
      <x v="52"/>
    </i>
    <i r="1">
      <x v="28"/>
      <x v="15"/>
      <x v="361"/>
      <x v="13"/>
    </i>
    <i r="1">
      <x v="29"/>
      <x v="19"/>
      <x v="355"/>
      <x v="13"/>
    </i>
    <i r="1">
      <x v="30"/>
      <x v="1"/>
      <x v="198"/>
      <x v="13"/>
    </i>
    <i r="1">
      <x v="31"/>
      <x v="6"/>
      <x v="356"/>
      <x v="10"/>
    </i>
    <i r="1">
      <x v="36"/>
      <x v="15"/>
      <x v="362"/>
      <x v="13"/>
    </i>
    <i r="1">
      <x v="43"/>
      <x/>
      <x v="309"/>
      <x v="93"/>
    </i>
    <i r="1">
      <x v="49"/>
      <x v="6"/>
      <x v="363"/>
      <x v="59"/>
    </i>
    <i r="1">
      <x v="53"/>
      <x v="23"/>
      <x v="364"/>
      <x v="13"/>
    </i>
    <i r="1">
      <x v="57"/>
      <x v="23"/>
      <x v="357"/>
      <x v="13"/>
    </i>
    <i r="1">
      <x v="60"/>
      <x v="12"/>
      <x v="358"/>
      <x v="15"/>
    </i>
    <i r="1">
      <x v="71"/>
      <x/>
      <x v="365"/>
      <x v="13"/>
    </i>
    <i r="1">
      <x v="72"/>
      <x v="5"/>
      <x v="340"/>
      <x v="43"/>
    </i>
    <i r="1">
      <x v="81"/>
      <x v="23"/>
      <x v="323"/>
      <x v="15"/>
    </i>
    <i r="1">
      <x v="87"/>
      <x v="23"/>
      <x v="342"/>
      <x v="13"/>
    </i>
    <i r="1">
      <x v="95"/>
      <x v="3"/>
      <x v="8"/>
      <x v="13"/>
    </i>
    <i r="1">
      <x v="104"/>
      <x v="6"/>
      <x v="366"/>
      <x v="13"/>
    </i>
    <i r="1">
      <x v="144"/>
      <x v="20"/>
      <x v="311"/>
      <x v="94"/>
    </i>
    <i r="1">
      <x v="148"/>
      <x v="6"/>
      <x v="331"/>
      <x v="10"/>
    </i>
    <i r="1">
      <x v="164"/>
      <x v="5"/>
      <x v="367"/>
      <x v="13"/>
    </i>
    <i r="1">
      <x v="172"/>
      <x v="3"/>
      <x v="8"/>
      <x v="13"/>
    </i>
    <i r="1">
      <x v="181"/>
      <x v="14"/>
      <x v="343"/>
      <x v="13"/>
    </i>
    <i r="1">
      <x v="184"/>
      <x v="12"/>
      <x v="368"/>
      <x v="88"/>
    </i>
    <i r="1">
      <x v="185"/>
      <x v="4"/>
      <x v="346"/>
      <x v="29"/>
    </i>
    <i r="1">
      <x v="202"/>
      <x v="14"/>
      <x v="350"/>
      <x v="29"/>
    </i>
    <i r="1">
      <x v="205"/>
      <x v="18"/>
      <x v="344"/>
      <x v="13"/>
    </i>
    <i r="1">
      <x v="208"/>
      <x v="6"/>
      <x v="369"/>
      <x v="1"/>
    </i>
    <i r="1">
      <x v="264"/>
      <x v="14"/>
      <x v="301"/>
      <x v="86"/>
    </i>
    <i r="1">
      <x v="269"/>
      <x v="5"/>
      <x v="307"/>
      <x v="29"/>
    </i>
    <i r="1">
      <x v="287"/>
      <x/>
      <x v="351"/>
      <x v="95"/>
    </i>
    <i r="1">
      <x v="304"/>
      <x v="19"/>
      <x v="316"/>
      <x v="40"/>
    </i>
    <i r="1">
      <x v="313"/>
      <x v="5"/>
      <x v="307"/>
      <x v="29"/>
    </i>
    <i r="1">
      <x v="319"/>
      <x v="6"/>
      <x v="370"/>
      <x v="15"/>
    </i>
    <i r="1">
      <x v="333"/>
      <x v="6"/>
      <x v="360"/>
      <x v="10"/>
    </i>
    <i t="default">
      <x/>
    </i>
    <i>
      <x v="2"/>
    </i>
    <i>
      <x v="4"/>
      <x v="239"/>
      <x v="14"/>
      <x v="348"/>
      <x v="7"/>
    </i>
    <i t="default">
      <x v="4"/>
    </i>
    <i>
      <x v="5"/>
    </i>
    <i t="grand">
      <x/>
    </i>
  </rowItems>
  <colFields count="1">
    <field x="-2"/>
  </colFields>
  <colItems count="13">
    <i>
      <x/>
    </i>
    <i i="1">
      <x v="1"/>
    </i>
    <i i="2">
      <x v="2"/>
    </i>
    <i i="3">
      <x v="3"/>
    </i>
    <i i="4">
      <x v="4"/>
    </i>
    <i i="5">
      <x v="5"/>
    </i>
    <i i="6">
      <x v="6"/>
    </i>
    <i i="7">
      <x v="7"/>
    </i>
    <i i="8">
      <x v="8"/>
    </i>
    <i i="9">
      <x v="9"/>
    </i>
    <i i="10">
      <x v="10"/>
    </i>
    <i i="11">
      <x v="11"/>
    </i>
    <i i="12">
      <x v="12"/>
    </i>
  </colItems>
  <pageFields count="1">
    <pageField fld="0" hier="-1"/>
  </pageFields>
  <dataFields count="13">
    <dataField name="Acres burned" fld="3" baseField="0" baseItem="0" numFmtId="3"/>
    <dataField name="Injuries." fld="17" baseField="4" baseItem="15"/>
    <dataField name="Fatalities." fld="16" baseField="4" baseItem="15"/>
    <dataField name="Lev 1" fld="6" baseField="4" baseItem="12"/>
    <dataField name="Lev 2" fld="7" baseField="0" baseItem="0"/>
    <dataField name="Lev 3" fld="8" baseField="0" baseItem="0"/>
    <dataField name="Residential" fld="9" baseField="4" baseItem="12"/>
    <dataField name="Commercial" fld="10" baseField="4" baseItem="12"/>
    <dataField name="Other" fld="11" baseField="4" baseItem="12"/>
    <dataField name="Residential_" fld="12" baseField="4" baseItem="12"/>
    <dataField name="Commercial_" fld="13" baseField="4" baseItem="12"/>
    <dataField name="Other_" fld="14" baseField="4" baseItem="12"/>
    <dataField name="RV_as_home" fld="15" baseField="4" baseItem="7"/>
  </dataFields>
  <formats count="54">
    <format dxfId="526">
      <pivotArea dataOnly="0" labelOnly="1" outline="0" fieldPosition="0">
        <references count="1">
          <reference field="4294967294" count="6">
            <x v="6"/>
            <x v="7"/>
            <x v="8"/>
            <x v="9"/>
            <x v="10"/>
            <x v="11"/>
          </reference>
        </references>
      </pivotArea>
    </format>
    <format dxfId="525">
      <pivotArea outline="0" collapsedLevelsAreSubtotals="1" fieldPosition="0">
        <references count="1">
          <reference field="4294967294" count="9" selected="0">
            <x v="3"/>
            <x v="4"/>
            <x v="5"/>
            <x v="6"/>
            <x v="7"/>
            <x v="8"/>
            <x v="9"/>
            <x v="10"/>
            <x v="11"/>
          </reference>
        </references>
      </pivotArea>
    </format>
    <format dxfId="524">
      <pivotArea dataOnly="0" labelOnly="1" outline="0" fieldPosition="0">
        <references count="1">
          <reference field="4294967294" count="1">
            <x v="0"/>
          </reference>
        </references>
      </pivotArea>
    </format>
    <format dxfId="523">
      <pivotArea type="topRight" dataOnly="0" labelOnly="1" outline="0" offset="B1" fieldPosition="0"/>
    </format>
    <format dxfId="522">
      <pivotArea dataOnly="0" labelOnly="1" outline="0" fieldPosition="0">
        <references count="1">
          <reference field="4294967294" count="1">
            <x v="3"/>
          </reference>
        </references>
      </pivotArea>
    </format>
    <format dxfId="521">
      <pivotArea type="topRight" dataOnly="0" labelOnly="1" outline="0" offset="C1" fieldPosition="0"/>
    </format>
    <format dxfId="520">
      <pivotArea dataOnly="0" labelOnly="1" outline="0" fieldPosition="0">
        <references count="1">
          <reference field="4294967294" count="1">
            <x v="4"/>
          </reference>
        </references>
      </pivotArea>
    </format>
    <format dxfId="519">
      <pivotArea type="topRight" dataOnly="0" labelOnly="1" outline="0" offset="D1" fieldPosition="0"/>
    </format>
    <format dxfId="518">
      <pivotArea dataOnly="0" labelOnly="1" outline="0" fieldPosition="0">
        <references count="1">
          <reference field="4294967294" count="1">
            <x v="5"/>
          </reference>
        </references>
      </pivotArea>
    </format>
    <format dxfId="517">
      <pivotArea dataOnly="0" labelOnly="1" outline="0" fieldPosition="0">
        <references count="1">
          <reference field="4294967294" count="3">
            <x v="3"/>
            <x v="4"/>
            <x v="5"/>
          </reference>
        </references>
      </pivotArea>
    </format>
    <format dxfId="516">
      <pivotArea type="topRight" dataOnly="0" labelOnly="1" outline="0" offset="E1:G1" fieldPosition="0"/>
    </format>
    <format dxfId="515">
      <pivotArea dataOnly="0" labelOnly="1" outline="0" fieldPosition="0">
        <references count="1">
          <reference field="4294967294" count="3">
            <x v="6"/>
            <x v="7"/>
            <x v="8"/>
          </reference>
        </references>
      </pivotArea>
    </format>
    <format dxfId="514">
      <pivotArea type="topRight" dataOnly="0" labelOnly="1" outline="0" offset="H1:J1" fieldPosition="0"/>
    </format>
    <format dxfId="513">
      <pivotArea dataOnly="0" labelOnly="1" outline="0" fieldPosition="0">
        <references count="1">
          <reference field="4294967294" count="3">
            <x v="9"/>
            <x v="10"/>
            <x v="11"/>
          </reference>
        </references>
      </pivotArea>
    </format>
    <format dxfId="512">
      <pivotArea dataOnly="0" outline="0" fieldPosition="0">
        <references count="1">
          <reference field="4294967294" count="9">
            <x v="3"/>
            <x v="4"/>
            <x v="5"/>
            <x v="6"/>
            <x v="7"/>
            <x v="8"/>
            <x v="9"/>
            <x v="10"/>
            <x v="11"/>
          </reference>
        </references>
      </pivotArea>
    </format>
    <format dxfId="511">
      <pivotArea dataOnly="0" labelOnly="1" outline="0" fieldPosition="0">
        <references count="1">
          <reference field="4294967294" count="6">
            <x v="6"/>
            <x v="7"/>
            <x v="8"/>
            <x v="9"/>
            <x v="10"/>
            <x v="11"/>
          </reference>
        </references>
      </pivotArea>
    </format>
    <format dxfId="510">
      <pivotArea dataOnly="0" labelOnly="1" outline="0" fieldPosition="0">
        <references count="1">
          <reference field="4294967294" count="1">
            <x v="3"/>
          </reference>
        </references>
      </pivotArea>
    </format>
    <format dxfId="509">
      <pivotArea dataOnly="0" labelOnly="1" outline="0" fieldPosition="0">
        <references count="1">
          <reference field="4294967294" count="1">
            <x v="4"/>
          </reference>
        </references>
      </pivotArea>
    </format>
    <format dxfId="508">
      <pivotArea dataOnly="0" labelOnly="1" outline="0" fieldPosition="0">
        <references count="1">
          <reference field="4294967294" count="1">
            <x v="5"/>
          </reference>
        </references>
      </pivotArea>
    </format>
    <format dxfId="507">
      <pivotArea dataOnly="0" labelOnly="1" outline="0" fieldPosition="0">
        <references count="1">
          <reference field="4" count="0"/>
        </references>
      </pivotArea>
    </format>
    <format dxfId="506">
      <pivotArea field="4" type="button" dataOnly="0" labelOnly="1" outline="0" axis="axisRow" fieldPosition="4"/>
    </format>
    <format dxfId="505">
      <pivotArea field="4" type="button" dataOnly="0" labelOnly="1" outline="0" axis="axisRow" fieldPosition="4"/>
    </format>
    <format dxfId="504">
      <pivotArea dataOnly="0" labelOnly="1" outline="0" fieldPosition="0">
        <references count="1">
          <reference field="4" count="0"/>
        </references>
      </pivotArea>
    </format>
    <format dxfId="503">
      <pivotArea dataOnly="0" labelOnly="1" outline="0" fieldPosition="0">
        <references count="1">
          <reference field="4294967294" count="1">
            <x v="1"/>
          </reference>
        </references>
      </pivotArea>
    </format>
    <format dxfId="502">
      <pivotArea dataOnly="0" labelOnly="1" outline="0" fieldPosition="0">
        <references count="1">
          <reference field="4294967294" count="1">
            <x v="2"/>
          </reference>
        </references>
      </pivotArea>
    </format>
    <format dxfId="501">
      <pivotArea dataOnly="0" labelOnly="1" outline="0" fieldPosition="0">
        <references count="1">
          <reference field="4294967294" count="2">
            <x v="1"/>
            <x v="2"/>
          </reference>
        </references>
      </pivotArea>
    </format>
    <format dxfId="500">
      <pivotArea type="topRight" dataOnly="0" labelOnly="1" outline="0" offset="K1" fieldPosition="0"/>
    </format>
    <format dxfId="499">
      <pivotArea type="topRight" dataOnly="0" labelOnly="1" outline="0" offset="K1" fieldPosition="0"/>
    </format>
    <format dxfId="498">
      <pivotArea type="topRight" dataOnly="0" labelOnly="1" outline="0" offset="E1" fieldPosition="0"/>
    </format>
    <format dxfId="497">
      <pivotArea type="topRight" dataOnly="0" labelOnly="1" outline="0" offset="D1" fieldPosition="0"/>
    </format>
    <format dxfId="496">
      <pivotArea type="topRight" dataOnly="0" labelOnly="1" outline="0" offset="C1" fieldPosition="0"/>
    </format>
    <format dxfId="495">
      <pivotArea type="topRight" dataOnly="0" labelOnly="1" outline="0" offset="A1:B1" fieldPosition="0"/>
    </format>
    <format dxfId="494">
      <pivotArea dataOnly="0" labelOnly="1" outline="0" fieldPosition="0">
        <references count="1">
          <reference field="4294967294" count="2">
            <x v="1"/>
            <x v="2"/>
          </reference>
        </references>
      </pivotArea>
    </format>
    <format dxfId="493">
      <pivotArea outline="0" fieldPosition="0">
        <references count="1">
          <reference field="4294967294" count="2" selected="0">
            <x v="1"/>
            <x v="2"/>
          </reference>
        </references>
      </pivotArea>
    </format>
    <format dxfId="492">
      <pivotArea dataOnly="0" labelOnly="1" outline="0" fieldPosition="0">
        <references count="1">
          <reference field="4294967294" count="1">
            <x v="0"/>
          </reference>
        </references>
      </pivotArea>
    </format>
    <format dxfId="491">
      <pivotArea dataOnly="0" labelOnly="1" outline="0" fieldPosition="0">
        <references count="1">
          <reference field="4294967294" count="2">
            <x v="1"/>
            <x v="2"/>
          </reference>
        </references>
      </pivotArea>
    </format>
    <format dxfId="490">
      <pivotArea dataOnly="0" labelOnly="1" outline="0" fieldPosition="0">
        <references count="1">
          <reference field="4294967294" count="6">
            <x v="6"/>
            <x v="7"/>
            <x v="8"/>
            <x v="9"/>
            <x v="10"/>
            <x v="11"/>
          </reference>
        </references>
      </pivotArea>
    </format>
    <format dxfId="489">
      <pivotArea outline="0" fieldPosition="0">
        <references count="2">
          <reference field="4294967294" count="5" selected="0">
            <x v="0"/>
            <x v="1"/>
            <x v="2"/>
            <x v="3"/>
            <x v="4"/>
          </reference>
          <reference field="19" count="1" selected="0" defaultSubtotal="1">
            <x v="0"/>
          </reference>
        </references>
      </pivotArea>
    </format>
    <format dxfId="488">
      <pivotArea outline="0" fieldPosition="0">
        <references count="2">
          <reference field="4294967294" count="5" selected="0">
            <x v="0"/>
            <x v="1"/>
            <x v="2"/>
            <x v="3"/>
            <x v="4"/>
          </reference>
          <reference field="19" count="1" selected="0" defaultSubtotal="1">
            <x v="0"/>
          </reference>
        </references>
      </pivotArea>
    </format>
    <format dxfId="487">
      <pivotArea field="-2" type="button" dataOnly="0" labelOnly="1" outline="0" axis="axisCol" fieldPosition="0"/>
    </format>
    <format dxfId="486">
      <pivotArea type="topRight" dataOnly="0" labelOnly="1" outline="0" offset="A1" fieldPosition="0"/>
    </format>
    <format dxfId="485">
      <pivotArea dataOnly="0" labelOnly="1" outline="0" fieldPosition="0">
        <references count="1">
          <reference field="4294967294" count="1">
            <x v="1"/>
          </reference>
        </references>
      </pivotArea>
    </format>
    <format dxfId="484">
      <pivotArea dataOnly="0" labelOnly="1" outline="0" fieldPosition="0">
        <references count="1">
          <reference field="4294967294" count="3">
            <x v="3"/>
            <x v="4"/>
            <x v="5"/>
          </reference>
        </references>
      </pivotArea>
    </format>
    <format dxfId="483">
      <pivotArea dataOnly="0" labelOnly="1" outline="0" fieldPosition="0">
        <references count="1">
          <reference field="4294967294" count="6">
            <x v="6"/>
            <x v="7"/>
            <x v="8"/>
            <x v="9"/>
            <x v="10"/>
            <x v="11"/>
          </reference>
        </references>
      </pivotArea>
    </format>
    <format dxfId="482">
      <pivotArea type="topRight" dataOnly="0" labelOnly="1" outline="0" offset="G1:H1" fieldPosition="0"/>
    </format>
    <format dxfId="481">
      <pivotArea dataOnly="0" labelOnly="1" outline="0" fieldPosition="0">
        <references count="1">
          <reference field="4294967294" count="1">
            <x v="12"/>
          </reference>
        </references>
      </pivotArea>
    </format>
    <format dxfId="480">
      <pivotArea type="topRight" dataOnly="0" labelOnly="1" outline="0" offset="L1" fieldPosition="0"/>
    </format>
    <format dxfId="479">
      <pivotArea dataOnly="0" labelOnly="1" outline="0" fieldPosition="0">
        <references count="1">
          <reference field="4294967294" count="1">
            <x v="12"/>
          </reference>
        </references>
      </pivotArea>
    </format>
    <format dxfId="478">
      <pivotArea dataOnly="0" labelOnly="1" outline="0" fieldPosition="0">
        <references count="1">
          <reference field="4294967294" count="1">
            <x v="12"/>
          </reference>
        </references>
      </pivotArea>
    </format>
    <format dxfId="477">
      <pivotArea dataOnly="0" labelOnly="1" outline="0" fieldPosition="0">
        <references count="1">
          <reference field="4294967294" count="1">
            <x v="12"/>
          </reference>
        </references>
      </pivotArea>
    </format>
    <format dxfId="476">
      <pivotArea dataOnly="0" labelOnly="1" outline="0" fieldPosition="0">
        <references count="1">
          <reference field="4294967294" count="1">
            <x v="12"/>
          </reference>
        </references>
      </pivotArea>
    </format>
    <format dxfId="475">
      <pivotArea dataOnly="0" labelOnly="1" outline="0" fieldPosition="0">
        <references count="1">
          <reference field="4294967294" count="1">
            <x v="11"/>
          </reference>
        </references>
      </pivotArea>
    </format>
    <format dxfId="474">
      <pivotArea type="topRight" dataOnly="0" labelOnly="1" outline="0" offset="L1" fieldPosition="0"/>
    </format>
    <format dxfId="473">
      <pivotArea dataOnly="0" labelOnly="1" outline="0" fieldPosition="0">
        <references count="1">
          <reference field="4294967294" count="1">
            <x v="12"/>
          </reference>
        </references>
      </pivotArea>
    </format>
  </formats>
  <conditionalFormats count="4">
    <conditionalFormat priority="7">
      <pivotAreas count="1">
        <pivotArea type="data" outline="0" collapsedLevelsAreSubtotals="1" fieldPosition="0">
          <references count="6">
            <reference field="4294967294" count="1" selected="0">
              <x v="2"/>
            </reference>
            <reference field="1" count="1" selected="0">
              <x v="156"/>
            </reference>
            <reference field="2" count="1" selected="0">
              <x v="31"/>
            </reference>
            <reference field="4" count="1" selected="0">
              <x v="15"/>
            </reference>
            <reference field="5" count="1" selected="0">
              <x v="180"/>
            </reference>
            <reference field="19" count="1" selected="0">
              <x v="0"/>
            </reference>
          </references>
        </pivotArea>
      </pivotAreas>
    </conditionalFormat>
    <conditionalFormat priority="4">
      <pivotAreas count="1">
        <pivotArea type="data" grandRow="1" outline="0" collapsedLevelsAreSubtotals="1" fieldPosition="0">
          <references count="1">
            <reference field="4294967294" count="1" selected="0">
              <x v="1"/>
            </reference>
          </references>
        </pivotArea>
      </pivotAreas>
    </conditionalFormat>
    <conditionalFormat priority="3">
      <pivotAreas count="1">
        <pivotArea type="data" grandRow="1" outline="0" collapsedLevelsAreSubtotals="1" fieldPosition="0">
          <references count="1">
            <reference field="4294967294" count="1" selected="0">
              <x v="1"/>
            </reference>
          </references>
        </pivotArea>
      </pivotAreas>
    </conditionalFormat>
    <conditionalFormat priority="1">
      <pivotAreas count="1">
        <pivotArea type="data" grandRow="1" outline="0" collapsedLevelsAreSubtotals="1" fieldPosition="0">
          <references count="1">
            <reference field="4294967294" count="1" selected="0">
              <x v="2"/>
            </reference>
          </references>
        </pivotArea>
      </pivotAreas>
    </conditionalFormat>
  </conditionalFormats>
  <pivotTableStyleInfo name="PivotStyleMedium9" showRowHeaders="1" showColHeaders="1" showRowStripes="1" showColStripes="1" showLastColumn="1"/>
  <extLst>
    <ext xmlns:x14="http://schemas.microsoft.com/office/spreadsheetml/2009/9/main" uri="{962EF5D1-5CA2-4c93-8EF4-DBF5C05439D2}">
      <x14:pivotTableDefinition xmlns:xm="http://schemas.microsoft.com/office/excel/2006/main" altText="Wildfire report sorted by stus then fire name." altTextSummary="Wildfire data is summarized from multiple agencies.  As large as defined by the National Wildland Coordinating Group, is any wildland fire in timber 100 acres or greater, and 300 acres or greater in grasslands/rangelands, or has an Incident Management Team assigned to it.  Staus of E/PL denotes a fire that is no longer tracked aas large but still has evacuations or resulted in property loss.  A contained fire is generally in full suppression, is no longer tracked as large, is not a threat to structures, and has no evacuation warnings."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033C91-4530-4BF6-9AC3-DCE14E3E53CA}" name="PivotTable14" cacheId="119"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I16:K17" firstHeaderRow="0" firstDataRow="1" firstDataCol="0"/>
  <pivotFields count="20">
    <pivotField showAll="0">
      <items count="9">
        <item h="1" x="0"/>
        <item h="1" x="1"/>
        <item h="1" x="2"/>
        <item h="1" x="3"/>
        <item h="1" x="4"/>
        <item h="1" x="5"/>
        <item x="6"/>
        <item h="1" x="7"/>
        <item t="default"/>
      </items>
    </pivotField>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s>
  <rowItems count="1">
    <i/>
  </rowItems>
  <colFields count="1">
    <field x="-2"/>
  </colFields>
  <colItems count="3">
    <i>
      <x/>
    </i>
    <i i="1">
      <x v="1"/>
    </i>
    <i i="2">
      <x v="2"/>
    </i>
  </colItems>
  <dataFields count="3">
    <dataField name="Be Ready" fld="6" baseField="0" baseItem="1"/>
    <dataField name="Be    Set" fld="7" baseField="0" baseItem="1"/>
    <dataField name="Go NOW" fld="8" baseField="0" baseItem="2"/>
  </dataFields>
  <formats count="26">
    <format dxfId="552">
      <pivotArea dataOnly="0" labelOnly="1" outline="0" fieldPosition="0">
        <references count="1">
          <reference field="4294967294" count="1">
            <x v="0"/>
          </reference>
        </references>
      </pivotArea>
    </format>
    <format dxfId="551">
      <pivotArea dataOnly="0" labelOnly="1" outline="0" fieldPosition="0">
        <references count="1">
          <reference field="4294967294" count="1">
            <x v="1"/>
          </reference>
        </references>
      </pivotArea>
    </format>
    <format dxfId="550">
      <pivotArea dataOnly="0" labelOnly="1" outline="0" fieldPosition="0">
        <references count="1">
          <reference field="4294967294" count="1">
            <x v="2"/>
          </reference>
        </references>
      </pivotArea>
    </format>
    <format dxfId="549">
      <pivotArea dataOnly="0" labelOnly="1" outline="0" fieldPosition="0">
        <references count="1">
          <reference field="4294967294" count="3">
            <x v="0"/>
            <x v="1"/>
            <x v="2"/>
          </reference>
        </references>
      </pivotArea>
    </format>
    <format dxfId="548">
      <pivotArea dataOnly="0" labelOnly="1" outline="0" fieldPosition="0">
        <references count="1">
          <reference field="4294967294" count="1">
            <x v="0"/>
          </reference>
        </references>
      </pivotArea>
    </format>
    <format dxfId="547">
      <pivotArea dataOnly="0" labelOnly="1" outline="0" fieldPosition="0">
        <references count="1">
          <reference field="4294967294" count="1">
            <x v="1"/>
          </reference>
        </references>
      </pivotArea>
    </format>
    <format dxfId="546">
      <pivotArea dataOnly="0" labelOnly="1" outline="0" fieldPosition="0">
        <references count="1">
          <reference field="4294967294" count="1">
            <x v="2"/>
          </reference>
        </references>
      </pivotArea>
    </format>
    <format dxfId="545">
      <pivotArea dataOnly="0" labelOnly="1" outline="0" fieldPosition="0">
        <references count="1">
          <reference field="4294967294" count="3">
            <x v="0"/>
            <x v="1"/>
            <x v="2"/>
          </reference>
        </references>
      </pivotArea>
    </format>
    <format dxfId="544">
      <pivotArea outline="0" collapsedLevelsAreSubtotals="1" fieldPosition="0"/>
    </format>
    <format dxfId="543">
      <pivotArea outline="0" collapsedLevelsAreSubtotals="1" fieldPosition="0"/>
    </format>
    <format dxfId="542">
      <pivotArea dataOnly="0" labelOnly="1" outline="0" fieldPosition="0">
        <references count="1">
          <reference field="4294967294" count="3">
            <x v="0"/>
            <x v="1"/>
            <x v="2"/>
          </reference>
        </references>
      </pivotArea>
    </format>
    <format dxfId="541">
      <pivotArea dataOnly="0" labelOnly="1" outline="0" fieldPosition="0">
        <references count="1">
          <reference field="4294967294" count="3">
            <x v="0"/>
            <x v="1"/>
            <x v="2"/>
          </reference>
        </references>
      </pivotArea>
    </format>
    <format dxfId="540">
      <pivotArea dataOnly="0" labelOnly="1" outline="0" fieldPosition="0">
        <references count="1">
          <reference field="4294967294" count="3">
            <x v="0"/>
            <x v="1"/>
            <x v="2"/>
          </reference>
        </references>
      </pivotArea>
    </format>
    <format dxfId="539">
      <pivotArea type="all" dataOnly="0" outline="0" fieldPosition="0"/>
    </format>
    <format dxfId="538">
      <pivotArea outline="0" collapsedLevelsAreSubtotals="1" fieldPosition="0"/>
    </format>
    <format dxfId="537">
      <pivotArea dataOnly="0" labelOnly="1" outline="0" fieldPosition="0">
        <references count="1">
          <reference field="4294967294" count="3">
            <x v="0"/>
            <x v="1"/>
            <x v="2"/>
          </reference>
        </references>
      </pivotArea>
    </format>
    <format dxfId="536">
      <pivotArea outline="0" collapsedLevelsAreSubtotals="1" fieldPosition="0"/>
    </format>
    <format dxfId="535">
      <pivotArea outline="0" collapsedLevelsAreSubtotals="1" fieldPosition="0"/>
    </format>
    <format dxfId="534">
      <pivotArea type="all" dataOnly="0" outline="0" fieldPosition="0"/>
    </format>
    <format dxfId="533">
      <pivotArea outline="0" collapsedLevelsAreSubtotals="1" fieldPosition="0"/>
    </format>
    <format dxfId="532">
      <pivotArea dataOnly="0" labelOnly="1" outline="0" fieldPosition="0">
        <references count="1">
          <reference field="4294967294" count="3">
            <x v="0"/>
            <x v="1"/>
            <x v="2"/>
          </reference>
        </references>
      </pivotArea>
    </format>
    <format dxfId="531">
      <pivotArea outline="0" collapsedLevelsAreSubtotals="1" fieldPosition="0"/>
    </format>
    <format dxfId="530">
      <pivotArea outline="0" collapsedLevelsAreSubtotals="1" fieldPosition="0">
        <references count="1">
          <reference field="4294967294" count="1" selected="0">
            <x v="0"/>
          </reference>
        </references>
      </pivotArea>
    </format>
    <format dxfId="529">
      <pivotArea outline="0" collapsedLevelsAreSubtotals="1" fieldPosition="0">
        <references count="1">
          <reference field="4294967294" count="1" selected="0">
            <x v="2"/>
          </reference>
        </references>
      </pivotArea>
    </format>
    <format dxfId="528">
      <pivotArea dataOnly="0" labelOnly="1" outline="0" fieldPosition="0">
        <references count="1">
          <reference field="4294967294" count="3">
            <x v="0"/>
            <x v="1"/>
            <x v="2"/>
          </reference>
        </references>
      </pivotArea>
    </format>
    <format dxfId="527">
      <pivotArea dataOnly="0" labelOnly="1" outline="0" fieldPosition="0">
        <references count="1">
          <reference field="4294967294" count="3">
            <x v="0"/>
            <x v="1"/>
            <x v="2"/>
          </reference>
        </references>
      </pivotArea>
    </format>
  </formats>
  <pivotTableStyleInfo name="PivotStyleMedium1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11A210-50E1-47A5-98B5-A789B8BF71EF}" name="PivotTable17" cacheId="119" applyNumberFormats="0" applyBorderFormats="0" applyFontFormats="0" applyPatternFormats="0" applyAlignmentFormats="0" applyWidthHeightFormats="1" dataCaption="Values" updatedVersion="8" minRefreshableVersion="3" itemPrintTitles="1" createdVersion="8" indent="0" showHeaders="0" outline="1" outlineData="1" multipleFieldFilters="0">
  <location ref="A9:B13" firstHeaderRow="1" firstDataRow="1" firstDataCol="1"/>
  <pivotFields count="20">
    <pivotField showAll="0">
      <items count="9">
        <item h="1" x="0"/>
        <item h="1" x="1"/>
        <item h="1" x="2"/>
        <item h="1" x="3"/>
        <item h="1" x="4"/>
        <item h="1" x="5"/>
        <item x="6"/>
        <item h="1" x="7"/>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3"/>
        <item h="1" m="1" x="5"/>
        <item x="0"/>
        <item h="1" x="2"/>
        <item x="1"/>
        <item h="1" x="4"/>
        <item t="default"/>
      </items>
    </pivotField>
  </pivotFields>
  <rowFields count="1">
    <field x="19"/>
  </rowFields>
  <rowItems count="4">
    <i>
      <x/>
    </i>
    <i>
      <x v="2"/>
    </i>
    <i>
      <x v="4"/>
    </i>
    <i t="grand">
      <x/>
    </i>
  </rowItems>
  <colItems count="1">
    <i/>
  </colItems>
  <dataFields count="1">
    <dataField name="# of Fires" fld="1" subtotal="count" baseField="19" baseItem="0"/>
  </dataFields>
  <formats count="12">
    <format dxfId="564">
      <pivotArea outline="0" collapsedLevelsAreSubtotals="1" fieldPosition="0"/>
    </format>
    <format dxfId="563">
      <pivotArea dataOnly="0" outline="0" axis="axisValues" fieldPosition="0"/>
    </format>
    <format dxfId="562">
      <pivotArea outline="0" collapsedLevelsAreSubtotals="1" fieldPosition="0"/>
    </format>
    <format dxfId="561">
      <pivotArea dataOnly="0" labelOnly="1" outline="0" axis="axisValues" fieldPosition="0"/>
    </format>
    <format dxfId="560">
      <pivotArea type="all" dataOnly="0" outline="0" fieldPosition="0"/>
    </format>
    <format dxfId="559">
      <pivotArea outline="0" collapsedLevelsAreSubtotals="1" fieldPosition="0"/>
    </format>
    <format dxfId="558">
      <pivotArea dataOnly="0" labelOnly="1" grandRow="1" outline="0" fieldPosition="0"/>
    </format>
    <format dxfId="557">
      <pivotArea dataOnly="0" labelOnly="1" outline="0" axis="axisValues" fieldPosition="0"/>
    </format>
    <format dxfId="556">
      <pivotArea type="all" dataOnly="0" outline="0" fieldPosition="0"/>
    </format>
    <format dxfId="555">
      <pivotArea outline="0" collapsedLevelsAreSubtotals="1" fieldPosition="0"/>
    </format>
    <format dxfId="554">
      <pivotArea dataOnly="0" labelOnly="1" grandRow="1" outline="0" fieldPosition="0"/>
    </format>
    <format dxfId="553">
      <pivotArea dataOnly="0" labelOnly="1" outline="0" axis="axisValues" fieldPosition="0"/>
    </format>
  </formats>
  <pivotTableStyleInfo name="PivotStyleMedium1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A2BB33-34FF-4E8F-9953-68AE4EF81F21}" name="PivotTable15" cacheId="119"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O16:R17" firstHeaderRow="0" firstDataRow="1" firstDataCol="0"/>
  <pivotFields count="20">
    <pivotField showAll="0">
      <items count="9">
        <item h="1" x="0"/>
        <item h="1" x="1"/>
        <item h="1" x="2"/>
        <item h="1" x="3"/>
        <item h="1" x="4"/>
        <item h="1" x="5"/>
        <item x="6"/>
        <item h="1" x="7"/>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s>
  <rowItems count="1">
    <i/>
  </rowItems>
  <colFields count="1">
    <field x="-2"/>
  </colFields>
  <colItems count="4">
    <i>
      <x/>
    </i>
    <i i="1">
      <x v="1"/>
    </i>
    <i i="2">
      <x v="2"/>
    </i>
    <i i="3">
      <x v="3"/>
    </i>
  </colItems>
  <dataFields count="4">
    <dataField name="R" fld="12" baseField="0" baseItem="1"/>
    <dataField name="C" fld="13" baseField="0" baseItem="1"/>
    <dataField name="O" fld="14" baseField="0" baseItem="2"/>
    <dataField name="RVH" fld="15" baseField="0" baseItem="3"/>
  </dataFields>
  <formats count="39">
    <format dxfId="603">
      <pivotArea dataOnly="0" labelOnly="1" outline="0" fieldPosition="0">
        <references count="1">
          <reference field="4294967294" count="3">
            <x v="0"/>
            <x v="1"/>
            <x v="2"/>
          </reference>
        </references>
      </pivotArea>
    </format>
    <format dxfId="602">
      <pivotArea dataOnly="0" labelOnly="1" outline="0" fieldPosition="0">
        <references count="1">
          <reference field="4294967294" count="3">
            <x v="0"/>
            <x v="1"/>
            <x v="2"/>
          </reference>
        </references>
      </pivotArea>
    </format>
    <format dxfId="601">
      <pivotArea dataOnly="0" labelOnly="1" outline="0" fieldPosition="0">
        <references count="1">
          <reference field="4294967294" count="3">
            <x v="0"/>
            <x v="1"/>
            <x v="2"/>
          </reference>
        </references>
      </pivotArea>
    </format>
    <format dxfId="600">
      <pivotArea type="all" dataOnly="0" outline="0" fieldPosition="0"/>
    </format>
    <format dxfId="599">
      <pivotArea outline="0" collapsedLevelsAreSubtotals="1" fieldPosition="0"/>
    </format>
    <format dxfId="598">
      <pivotArea dataOnly="0" labelOnly="1" outline="0" fieldPosition="0">
        <references count="1">
          <reference field="4294967294" count="3">
            <x v="0"/>
            <x v="1"/>
            <x v="2"/>
          </reference>
        </references>
      </pivotArea>
    </format>
    <format dxfId="597">
      <pivotArea type="all" dataOnly="0" outline="0" fieldPosition="0"/>
    </format>
    <format dxfId="596">
      <pivotArea outline="0" collapsedLevelsAreSubtotals="1" fieldPosition="0"/>
    </format>
    <format dxfId="595">
      <pivotArea dataOnly="0" labelOnly="1" outline="0" fieldPosition="0">
        <references count="1">
          <reference field="4294967294" count="3">
            <x v="0"/>
            <x v="1"/>
            <x v="2"/>
          </reference>
        </references>
      </pivotArea>
    </format>
    <format dxfId="594">
      <pivotArea type="all" dataOnly="0" outline="0" fieldPosition="0"/>
    </format>
    <format dxfId="593">
      <pivotArea outline="0" collapsedLevelsAreSubtotals="1" fieldPosition="0"/>
    </format>
    <format dxfId="592">
      <pivotArea dataOnly="0" labelOnly="1" outline="0" fieldPosition="0">
        <references count="1">
          <reference field="4294967294" count="3">
            <x v="0"/>
            <x v="1"/>
            <x v="2"/>
          </reference>
        </references>
      </pivotArea>
    </format>
    <format dxfId="591">
      <pivotArea type="all" dataOnly="0" outline="0" fieldPosition="0"/>
    </format>
    <format dxfId="590">
      <pivotArea outline="0" collapsedLevelsAreSubtotals="1" fieldPosition="0"/>
    </format>
    <format dxfId="589">
      <pivotArea dataOnly="0" labelOnly="1" outline="0" fieldPosition="0">
        <references count="1">
          <reference field="4294967294" count="3">
            <x v="0"/>
            <x v="1"/>
            <x v="2"/>
          </reference>
        </references>
      </pivotArea>
    </format>
    <format dxfId="588">
      <pivotArea dataOnly="0" labelOnly="1" outline="0" fieldPosition="0">
        <references count="1">
          <reference field="4294967294" count="3">
            <x v="0"/>
            <x v="1"/>
            <x v="2"/>
          </reference>
        </references>
      </pivotArea>
    </format>
    <format dxfId="587">
      <pivotArea dataOnly="0" labelOnly="1" outline="0" fieldPosition="0">
        <references count="1">
          <reference field="4294967294" count="3">
            <x v="0"/>
            <x v="1"/>
            <x v="2"/>
          </reference>
        </references>
      </pivotArea>
    </format>
    <format dxfId="586">
      <pivotArea dataOnly="0" labelOnly="1" outline="0" fieldPosition="0">
        <references count="1">
          <reference field="4294967294" count="3">
            <x v="0"/>
            <x v="1"/>
            <x v="2"/>
          </reference>
        </references>
      </pivotArea>
    </format>
    <format dxfId="585">
      <pivotArea dataOnly="0" labelOnly="1" outline="0" fieldPosition="0">
        <references count="1">
          <reference field="4294967294" count="3">
            <x v="0"/>
            <x v="1"/>
            <x v="2"/>
          </reference>
        </references>
      </pivotArea>
    </format>
    <format dxfId="584">
      <pivotArea type="all" dataOnly="0" outline="0" fieldPosition="0"/>
    </format>
    <format dxfId="583">
      <pivotArea outline="0" collapsedLevelsAreSubtotals="1" fieldPosition="0"/>
    </format>
    <format dxfId="582">
      <pivotArea dataOnly="0" labelOnly="1" outline="0" fieldPosition="0">
        <references count="1">
          <reference field="4294967294" count="3">
            <x v="0"/>
            <x v="1"/>
            <x v="2"/>
          </reference>
        </references>
      </pivotArea>
    </format>
    <format dxfId="581">
      <pivotArea type="all" dataOnly="0" outline="0" fieldPosition="0"/>
    </format>
    <format dxfId="580">
      <pivotArea outline="0" collapsedLevelsAreSubtotals="1" fieldPosition="0"/>
    </format>
    <format dxfId="579">
      <pivotArea dataOnly="0" labelOnly="1" outline="0" fieldPosition="0">
        <references count="1">
          <reference field="4294967294" count="3">
            <x v="0"/>
            <x v="1"/>
            <x v="2"/>
          </reference>
        </references>
      </pivotArea>
    </format>
    <format dxfId="578">
      <pivotArea outline="0" collapsedLevelsAreSubtotals="1" fieldPosition="0"/>
    </format>
    <format dxfId="577">
      <pivotArea dataOnly="0" labelOnly="1" outline="0" fieldPosition="0">
        <references count="1">
          <reference field="4294967294" count="1">
            <x v="3"/>
          </reference>
        </references>
      </pivotArea>
    </format>
    <format dxfId="576">
      <pivotArea dataOnly="0" labelOnly="1" outline="0" fieldPosition="0">
        <references count="1">
          <reference field="4294967294" count="1">
            <x v="3"/>
          </reference>
        </references>
      </pivotArea>
    </format>
    <format dxfId="575">
      <pivotArea dataOnly="0" labelOnly="1" outline="0" fieldPosition="0">
        <references count="1">
          <reference field="4294967294" count="1">
            <x v="3"/>
          </reference>
        </references>
      </pivotArea>
    </format>
    <format dxfId="574">
      <pivotArea outline="0" collapsedLevelsAreSubtotals="1" fieldPosition="0">
        <references count="1">
          <reference field="4294967294" count="1" selected="0">
            <x v="3"/>
          </reference>
        </references>
      </pivotArea>
    </format>
    <format dxfId="573">
      <pivotArea dataOnly="0" labelOnly="1" outline="0" fieldPosition="0">
        <references count="1">
          <reference field="4294967294" count="1">
            <x v="3"/>
          </reference>
        </references>
      </pivotArea>
    </format>
    <format dxfId="572">
      <pivotArea dataOnly="0" labelOnly="1" outline="0" fieldPosition="0">
        <references count="1">
          <reference field="4294967294" count="1">
            <x v="1"/>
          </reference>
        </references>
      </pivotArea>
    </format>
    <format dxfId="571">
      <pivotArea dataOnly="0" labelOnly="1" outline="0" fieldPosition="0">
        <references count="1">
          <reference field="4294967294" count="1">
            <x v="1"/>
          </reference>
        </references>
      </pivotArea>
    </format>
    <format dxfId="570">
      <pivotArea outline="0" collapsedLevelsAreSubtotals="1" fieldPosition="0">
        <references count="1">
          <reference field="4294967294" count="1" selected="0">
            <x v="1"/>
          </reference>
        </references>
      </pivotArea>
    </format>
    <format dxfId="569">
      <pivotArea outline="0" collapsedLevelsAreSubtotals="1" fieldPosition="0">
        <references count="1">
          <reference field="4294967294" count="1" selected="0">
            <x v="2"/>
          </reference>
        </references>
      </pivotArea>
    </format>
    <format dxfId="568">
      <pivotArea outline="0" collapsedLevelsAreSubtotals="1" fieldPosition="0">
        <references count="1">
          <reference field="4294967294" count="1" selected="0">
            <x v="3"/>
          </reference>
        </references>
      </pivotArea>
    </format>
    <format dxfId="567">
      <pivotArea dataOnly="0" labelOnly="1" outline="0" fieldPosition="0">
        <references count="1">
          <reference field="4294967294" count="1">
            <x v="3"/>
          </reference>
        </references>
      </pivotArea>
    </format>
    <format dxfId="566">
      <pivotArea outline="0" collapsedLevelsAreSubtotals="1" fieldPosition="0">
        <references count="1">
          <reference field="4294967294" count="3" selected="0">
            <x v="0"/>
            <x v="1"/>
            <x v="2"/>
          </reference>
        </references>
      </pivotArea>
    </format>
    <format dxfId="565">
      <pivotArea outline="0" collapsedLevelsAreSubtotals="1" fieldPosition="0"/>
    </format>
  </formats>
  <pivotTableStyleInfo name="PivotStyleMedium1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5BBFA9-4E09-4F3A-B470-960D577D412F}" name="Evac totals" cacheId="119"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H10:J11" firstHeaderRow="0" firstDataRow="1" firstDataCol="0"/>
  <pivotFields count="20">
    <pivotField showAll="0">
      <items count="9">
        <item h="1" x="0"/>
        <item h="1" x="1"/>
        <item h="1" x="2"/>
        <item h="1" x="3"/>
        <item h="1" x="4"/>
        <item h="1" x="5"/>
        <item x="6"/>
        <item h="1" x="7"/>
        <item t="default"/>
      </items>
    </pivotField>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Be Ready" fld="6" baseField="0" baseItem="1"/>
    <dataField name="Be    Set" fld="7" baseField="0" baseItem="1"/>
    <dataField name="Go NOW" fld="8" baseField="0" baseItem="2"/>
  </dataFields>
  <formats count="23">
    <format dxfId="380">
      <pivotArea dataOnly="0" labelOnly="1" outline="0" fieldPosition="0">
        <references count="1">
          <reference field="4294967294" count="1">
            <x v="0"/>
          </reference>
        </references>
      </pivotArea>
    </format>
    <format dxfId="379">
      <pivotArea dataOnly="0" labelOnly="1" outline="0" fieldPosition="0">
        <references count="1">
          <reference field="4294967294" count="1">
            <x v="1"/>
          </reference>
        </references>
      </pivotArea>
    </format>
    <format dxfId="378">
      <pivotArea dataOnly="0" labelOnly="1" outline="0" fieldPosition="0">
        <references count="1">
          <reference field="4294967294" count="1">
            <x v="2"/>
          </reference>
        </references>
      </pivotArea>
    </format>
    <format dxfId="377">
      <pivotArea dataOnly="0" labelOnly="1" outline="0" fieldPosition="0">
        <references count="1">
          <reference field="4294967294" count="3">
            <x v="0"/>
            <x v="1"/>
            <x v="2"/>
          </reference>
        </references>
      </pivotArea>
    </format>
    <format dxfId="376">
      <pivotArea dataOnly="0" labelOnly="1" outline="0" fieldPosition="0">
        <references count="1">
          <reference field="4294967294" count="1">
            <x v="0"/>
          </reference>
        </references>
      </pivotArea>
    </format>
    <format dxfId="375">
      <pivotArea dataOnly="0" labelOnly="1" outline="0" fieldPosition="0">
        <references count="1">
          <reference field="4294967294" count="1">
            <x v="1"/>
          </reference>
        </references>
      </pivotArea>
    </format>
    <format dxfId="374">
      <pivotArea dataOnly="0" labelOnly="1" outline="0" fieldPosition="0">
        <references count="1">
          <reference field="4294967294" count="1">
            <x v="2"/>
          </reference>
        </references>
      </pivotArea>
    </format>
    <format dxfId="373">
      <pivotArea dataOnly="0" labelOnly="1" outline="0" fieldPosition="0">
        <references count="1">
          <reference field="4294967294" count="3">
            <x v="0"/>
            <x v="1"/>
            <x v="2"/>
          </reference>
        </references>
      </pivotArea>
    </format>
    <format dxfId="372">
      <pivotArea outline="0" collapsedLevelsAreSubtotals="1" fieldPosition="0"/>
    </format>
    <format dxfId="371">
      <pivotArea outline="0" collapsedLevelsAreSubtotals="1" fieldPosition="0"/>
    </format>
    <format dxfId="370">
      <pivotArea dataOnly="0" labelOnly="1" outline="0" fieldPosition="0">
        <references count="1">
          <reference field="4294967294" count="3">
            <x v="0"/>
            <x v="1"/>
            <x v="2"/>
          </reference>
        </references>
      </pivotArea>
    </format>
    <format dxfId="369">
      <pivotArea dataOnly="0" labelOnly="1" outline="0" fieldPosition="0">
        <references count="1">
          <reference field="4294967294" count="3">
            <x v="0"/>
            <x v="1"/>
            <x v="2"/>
          </reference>
        </references>
      </pivotArea>
    </format>
    <format dxfId="368">
      <pivotArea dataOnly="0" labelOnly="1" outline="0" fieldPosition="0">
        <references count="1">
          <reference field="4294967294" count="3">
            <x v="0"/>
            <x v="1"/>
            <x v="2"/>
          </reference>
        </references>
      </pivotArea>
    </format>
    <format dxfId="367">
      <pivotArea type="all" dataOnly="0" outline="0" fieldPosition="0"/>
    </format>
    <format dxfId="366">
      <pivotArea outline="0" collapsedLevelsAreSubtotals="1" fieldPosition="0"/>
    </format>
    <format dxfId="365">
      <pivotArea dataOnly="0" labelOnly="1" outline="0" fieldPosition="0">
        <references count="1">
          <reference field="4294967294" count="3">
            <x v="0"/>
            <x v="1"/>
            <x v="2"/>
          </reference>
        </references>
      </pivotArea>
    </format>
    <format dxfId="364">
      <pivotArea outline="0" collapsedLevelsAreSubtotals="1" fieldPosition="0"/>
    </format>
    <format dxfId="363">
      <pivotArea outline="0" collapsedLevelsAreSubtotals="1" fieldPosition="0"/>
    </format>
    <format dxfId="362">
      <pivotArea type="all" dataOnly="0" outline="0" fieldPosition="0"/>
    </format>
    <format dxfId="361">
      <pivotArea outline="0" collapsedLevelsAreSubtotals="1" fieldPosition="0"/>
    </format>
    <format dxfId="360">
      <pivotArea dataOnly="0" labelOnly="1" outline="0" fieldPosition="0">
        <references count="1">
          <reference field="4294967294" count="3">
            <x v="0"/>
            <x v="1"/>
            <x v="2"/>
          </reference>
        </references>
      </pivotArea>
    </format>
    <format dxfId="359">
      <pivotArea outline="0" collapsedLevelsAreSubtotals="1" fieldPosition="0"/>
    </format>
    <format dxfId="358">
      <pivotArea dataOnly="0" labelOnly="1" outline="0" fieldPosition="0">
        <references count="1">
          <reference field="4294967294" count="3">
            <x v="0"/>
            <x v="1"/>
            <x v="2"/>
          </reference>
        </references>
      </pivotArea>
    </format>
  </formats>
  <pivotTableStyleInfo name="PivotStyleMedium1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6945AE-66B2-4407-B50D-9D4D1CE358FB}" name="Structure loss" cacheId="119"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N10:P11" firstHeaderRow="0" firstDataRow="1" firstDataCol="0"/>
  <pivotFields count="20">
    <pivotField showAll="0">
      <items count="9">
        <item h="1" x="0"/>
        <item h="1" x="1"/>
        <item h="1" x="2"/>
        <item h="1" x="3"/>
        <item h="1" x="4"/>
        <item h="1" x="5"/>
        <item x="6"/>
        <item h="1" x="7"/>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s>
  <rowItems count="1">
    <i/>
  </rowItems>
  <colFields count="1">
    <field x="-2"/>
  </colFields>
  <colItems count="3">
    <i>
      <x/>
    </i>
    <i i="1">
      <x v="1"/>
    </i>
    <i i="2">
      <x v="2"/>
    </i>
  </colItems>
  <dataFields count="3">
    <dataField name="R" fld="12" baseField="0" baseItem="1"/>
    <dataField name="C" fld="13" baseField="0" baseItem="1"/>
    <dataField name="O" fld="14" baseField="0" baseItem="2"/>
  </dataFields>
  <formats count="26">
    <format dxfId="406">
      <pivotArea dataOnly="0" labelOnly="1" outline="0" fieldPosition="0">
        <references count="1">
          <reference field="4294967294" count="3">
            <x v="0"/>
            <x v="1"/>
            <x v="2"/>
          </reference>
        </references>
      </pivotArea>
    </format>
    <format dxfId="405">
      <pivotArea dataOnly="0" labelOnly="1" outline="0" fieldPosition="0">
        <references count="1">
          <reference field="4294967294" count="3">
            <x v="0"/>
            <x v="1"/>
            <x v="2"/>
          </reference>
        </references>
      </pivotArea>
    </format>
    <format dxfId="404">
      <pivotArea dataOnly="0" labelOnly="1" outline="0" fieldPosition="0">
        <references count="1">
          <reference field="4294967294" count="3">
            <x v="0"/>
            <x v="1"/>
            <x v="2"/>
          </reference>
        </references>
      </pivotArea>
    </format>
    <format dxfId="403">
      <pivotArea type="all" dataOnly="0" outline="0" fieldPosition="0"/>
    </format>
    <format dxfId="402">
      <pivotArea outline="0" collapsedLevelsAreSubtotals="1" fieldPosition="0"/>
    </format>
    <format dxfId="401">
      <pivotArea dataOnly="0" labelOnly="1" outline="0" fieldPosition="0">
        <references count="1">
          <reference field="4294967294" count="3">
            <x v="0"/>
            <x v="1"/>
            <x v="2"/>
          </reference>
        </references>
      </pivotArea>
    </format>
    <format dxfId="400">
      <pivotArea type="all" dataOnly="0" outline="0" fieldPosition="0"/>
    </format>
    <format dxfId="399">
      <pivotArea outline="0" collapsedLevelsAreSubtotals="1" fieldPosition="0"/>
    </format>
    <format dxfId="398">
      <pivotArea dataOnly="0" labelOnly="1" outline="0" fieldPosition="0">
        <references count="1">
          <reference field="4294967294" count="3">
            <x v="0"/>
            <x v="1"/>
            <x v="2"/>
          </reference>
        </references>
      </pivotArea>
    </format>
    <format dxfId="397">
      <pivotArea type="all" dataOnly="0" outline="0" fieldPosition="0"/>
    </format>
    <format dxfId="396">
      <pivotArea outline="0" collapsedLevelsAreSubtotals="1" fieldPosition="0"/>
    </format>
    <format dxfId="395">
      <pivotArea dataOnly="0" labelOnly="1" outline="0" fieldPosition="0">
        <references count="1">
          <reference field="4294967294" count="3">
            <x v="0"/>
            <x v="1"/>
            <x v="2"/>
          </reference>
        </references>
      </pivotArea>
    </format>
    <format dxfId="394">
      <pivotArea type="all" dataOnly="0" outline="0" fieldPosition="0"/>
    </format>
    <format dxfId="393">
      <pivotArea outline="0" collapsedLevelsAreSubtotals="1" fieldPosition="0"/>
    </format>
    <format dxfId="392">
      <pivotArea dataOnly="0" labelOnly="1" outline="0" fieldPosition="0">
        <references count="1">
          <reference field="4294967294" count="3">
            <x v="0"/>
            <x v="1"/>
            <x v="2"/>
          </reference>
        </references>
      </pivotArea>
    </format>
    <format dxfId="391">
      <pivotArea dataOnly="0" labelOnly="1" outline="0" fieldPosition="0">
        <references count="1">
          <reference field="4294967294" count="3">
            <x v="0"/>
            <x v="1"/>
            <x v="2"/>
          </reference>
        </references>
      </pivotArea>
    </format>
    <format dxfId="390">
      <pivotArea dataOnly="0" labelOnly="1" outline="0" fieldPosition="0">
        <references count="1">
          <reference field="4294967294" count="3">
            <x v="0"/>
            <x v="1"/>
            <x v="2"/>
          </reference>
        </references>
      </pivotArea>
    </format>
    <format dxfId="389">
      <pivotArea dataOnly="0" labelOnly="1" outline="0" fieldPosition="0">
        <references count="1">
          <reference field="4294967294" count="3">
            <x v="0"/>
            <x v="1"/>
            <x v="2"/>
          </reference>
        </references>
      </pivotArea>
    </format>
    <format dxfId="388">
      <pivotArea dataOnly="0" labelOnly="1" outline="0" fieldPosition="0">
        <references count="1">
          <reference field="4294967294" count="3">
            <x v="0"/>
            <x v="1"/>
            <x v="2"/>
          </reference>
        </references>
      </pivotArea>
    </format>
    <format dxfId="387">
      <pivotArea type="all" dataOnly="0" outline="0" fieldPosition="0"/>
    </format>
    <format dxfId="386">
      <pivotArea outline="0" collapsedLevelsAreSubtotals="1" fieldPosition="0"/>
    </format>
    <format dxfId="385">
      <pivotArea dataOnly="0" labelOnly="1" outline="0" fieldPosition="0">
        <references count="1">
          <reference field="4294967294" count="3">
            <x v="0"/>
            <x v="1"/>
            <x v="2"/>
          </reference>
        </references>
      </pivotArea>
    </format>
    <format dxfId="384">
      <pivotArea type="all" dataOnly="0" outline="0" fieldPosition="0"/>
    </format>
    <format dxfId="383">
      <pivotArea outline="0" collapsedLevelsAreSubtotals="1" fieldPosition="0"/>
    </format>
    <format dxfId="382">
      <pivotArea dataOnly="0" labelOnly="1" outline="0" fieldPosition="0">
        <references count="1">
          <reference field="4294967294" count="3">
            <x v="0"/>
            <x v="1"/>
            <x v="2"/>
          </reference>
        </references>
      </pivotArea>
    </format>
    <format dxfId="381">
      <pivotArea outline="0" collapsedLevelsAreSubtotals="1" fieldPosition="0"/>
    </format>
  </formats>
  <pivotTableStyleInfo name="PivotStyleMedium1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3A1CDE4-35FD-456C-8591-086DFDBF212F}" name="Report-status, fire" cacheId="119" applyNumberFormats="0" applyBorderFormats="0" applyFontFormats="0" applyPatternFormats="0" applyAlignmentFormats="0" applyWidthHeightFormats="1" dataCaption="VALUES" updatedVersion="8" minRefreshableVersion="3" colGrandTotals="0" itemPrintTitles="1" createdVersion="8" indent="0" compact="0" compactData="0" gridDropZones="1" rowHeaderCaption="Fire Details" customListSort="0">
  <location ref="A21:Q100" firstHeaderRow="1" firstDataRow="2" firstDataCol="5" rowPageCount="1" colPageCount="1"/>
  <pivotFields count="20">
    <pivotField axis="axisPage" compact="0" outline="0" subtotalTop="0" multipleItemSelectionAllowed="1" showAll="0">
      <items count="9">
        <item h="1" x="0"/>
        <item h="1" x="1"/>
        <item h="1" x="2"/>
        <item h="1" x="3"/>
        <item h="1" x="4"/>
        <item h="1" x="5"/>
        <item h="1" x="7"/>
        <item x="6"/>
        <item t="default"/>
      </items>
    </pivotField>
    <pivotField axis="axisRow" compact="0" outline="0" subtotalTop="0" showAll="0" sortType="ascending" defaultSubtotal="0">
      <items count="386">
        <item x="240"/>
        <item x="184"/>
        <item x="293"/>
        <item x="241"/>
        <item x="242"/>
        <item m="1" x="360"/>
        <item x="243"/>
        <item m="1" x="310"/>
        <item m="1" x="312"/>
        <item m="1" x="313"/>
        <item m="1" x="315"/>
        <item m="1" x="316"/>
        <item m="1" x="328"/>
        <item m="1" x="317"/>
        <item m="1" x="329"/>
        <item m="1" x="348"/>
        <item m="1" x="318"/>
        <item m="1" x="309"/>
        <item m="1" x="319"/>
        <item m="1" x="320"/>
        <item m="1" x="321"/>
        <item x="244"/>
        <item x="245"/>
        <item x="246"/>
        <item x="247"/>
        <item m="1" x="305"/>
        <item m="1" x="306"/>
        <item x="248"/>
        <item x="249"/>
        <item x="250"/>
        <item x="251"/>
        <item x="252"/>
        <item m="1" x="378"/>
        <item m="1" x="377"/>
        <item x="253"/>
        <item x="84"/>
        <item x="254"/>
        <item x="78"/>
        <item x="255"/>
        <item m="1" x="330"/>
        <item x="186"/>
        <item x="13"/>
        <item m="1" x="302"/>
        <item x="256"/>
        <item x="95"/>
        <item x="5"/>
        <item x="215"/>
        <item x="101"/>
        <item x="103"/>
        <item x="257"/>
        <item x="12"/>
        <item m="1" x="374"/>
        <item x="104"/>
        <item x="258"/>
        <item x="1"/>
        <item x="87"/>
        <item x="18"/>
        <item x="259"/>
        <item x="124"/>
        <item x="125"/>
        <item x="260"/>
        <item x="40"/>
        <item x="99"/>
        <item x="126"/>
        <item x="41"/>
        <item x="189"/>
        <item x="209"/>
        <item x="231"/>
        <item x="261"/>
        <item x="208"/>
        <item m="1" x="311"/>
        <item x="262"/>
        <item x="263"/>
        <item x="42"/>
        <item x="43"/>
        <item x="127"/>
        <item x="128"/>
        <item x="129"/>
        <item x="130"/>
        <item m="1" x="324"/>
        <item x="6"/>
        <item x="264"/>
        <item x="230"/>
        <item x="77"/>
        <item x="105"/>
        <item x="34"/>
        <item x="44"/>
        <item x="265"/>
        <item x="223"/>
        <item x="179"/>
        <item x="266"/>
        <item x="131"/>
        <item x="267"/>
        <item m="1" x="331"/>
        <item x="132"/>
        <item x="268"/>
        <item x="106"/>
        <item m="1" x="303"/>
        <item x="81"/>
        <item x="45"/>
        <item x="133"/>
        <item m="1" x="314"/>
        <item x="191"/>
        <item x="46"/>
        <item x="269"/>
        <item x="234"/>
        <item x="107"/>
        <item x="47"/>
        <item x="98"/>
        <item x="48"/>
        <item x="270"/>
        <item x="134"/>
        <item m="1" x="332"/>
        <item x="271"/>
        <item x="108"/>
        <item m="1" x="304"/>
        <item x="202"/>
        <item m="1" x="333"/>
        <item x="203"/>
        <item x="14"/>
        <item x="109"/>
        <item m="1" x="350"/>
        <item m="1" x="334"/>
        <item x="272"/>
        <item x="226"/>
        <item x="49"/>
        <item x="51"/>
        <item x="206"/>
        <item m="1" x="355"/>
        <item m="1" x="335"/>
        <item x="235"/>
        <item x="135"/>
        <item x="110"/>
        <item x="50"/>
        <item x="136"/>
        <item x="52"/>
        <item x="111"/>
        <item x="73"/>
        <item x="137"/>
        <item x="16"/>
        <item x="32"/>
        <item x="217"/>
        <item x="138"/>
        <item x="112"/>
        <item x="273"/>
        <item m="1" x="384"/>
        <item x="10"/>
        <item x="15"/>
        <item x="274"/>
        <item x="53"/>
        <item x="196"/>
        <item x="113"/>
        <item x="221"/>
        <item x="180"/>
        <item m="1" x="336"/>
        <item x="114"/>
        <item x="185"/>
        <item x="29"/>
        <item x="115"/>
        <item x="220"/>
        <item x="139"/>
        <item x="76"/>
        <item x="237"/>
        <item x="140"/>
        <item x="275"/>
        <item x="26"/>
        <item x="276"/>
        <item x="54"/>
        <item x="141"/>
        <item x="142"/>
        <item x="88"/>
        <item x="55"/>
        <item x="143"/>
        <item x="210"/>
        <item x="11"/>
        <item x="38"/>
        <item x="193"/>
        <item x="27"/>
        <item x="190"/>
        <item x="90"/>
        <item x="205"/>
        <item x="277"/>
        <item x="86"/>
        <item x="56"/>
        <item x="278"/>
        <item x="279"/>
        <item x="36"/>
        <item m="1" x="354"/>
        <item m="1" x="337"/>
        <item x="200"/>
        <item x="204"/>
        <item x="280"/>
        <item m="1" x="356"/>
        <item m="1" x="338"/>
        <item x="144"/>
        <item x="2"/>
        <item x="102"/>
        <item x="218"/>
        <item x="281"/>
        <item m="1" x="339"/>
        <item x="35"/>
        <item x="96"/>
        <item x="282"/>
        <item x="57"/>
        <item x="3"/>
        <item x="283"/>
        <item x="71"/>
        <item x="145"/>
        <item x="284"/>
        <item x="146"/>
        <item m="1" x="368"/>
        <item m="1" x="370"/>
        <item x="147"/>
        <item x="89"/>
        <item x="58"/>
        <item x="224"/>
        <item x="93"/>
        <item x="233"/>
        <item x="33"/>
        <item x="239"/>
        <item x="116"/>
        <item x="214"/>
        <item x="148"/>
        <item x="117"/>
        <item m="1" x="365"/>
        <item m="1" x="366"/>
        <item m="1" x="369"/>
        <item m="1" x="367"/>
        <item x="17"/>
        <item x="59"/>
        <item x="0"/>
        <item x="211"/>
        <item x="149"/>
        <item x="60"/>
        <item x="118"/>
        <item x="197"/>
        <item x="100"/>
        <item x="212"/>
        <item x="285"/>
        <item x="286"/>
        <item x="287"/>
        <item x="227"/>
        <item x="229"/>
        <item x="61"/>
        <item x="236"/>
        <item x="222"/>
        <item x="238"/>
        <item x="62"/>
        <item x="150"/>
        <item x="151"/>
        <item x="152"/>
        <item m="1" x="322"/>
        <item m="1" x="380"/>
        <item m="1" x="323"/>
        <item x="232"/>
        <item m="1" x="376"/>
        <item x="19"/>
        <item m="1" x="381"/>
        <item x="63"/>
        <item x="207"/>
        <item m="1" x="364"/>
        <item x="195"/>
        <item m="1" x="385"/>
        <item x="28"/>
        <item x="288"/>
        <item x="64"/>
        <item x="119"/>
        <item x="85"/>
        <item x="289"/>
        <item x="290"/>
        <item x="153"/>
        <item m="1" x="340"/>
        <item x="154"/>
        <item m="1" x="357"/>
        <item m="1" x="341"/>
        <item x="65"/>
        <item x="225"/>
        <item x="31"/>
        <item m="1" x="353"/>
        <item m="1" x="342"/>
        <item x="155"/>
        <item x="291"/>
        <item x="156"/>
        <item x="66"/>
        <item x="67"/>
        <item x="157"/>
        <item m="1" x="343"/>
        <item x="292"/>
        <item x="91"/>
        <item x="120"/>
        <item x="158"/>
        <item m="1" x="351"/>
        <item m="1" x="344"/>
        <item m="1" x="325"/>
        <item m="1" x="307"/>
        <item x="188"/>
        <item m="1" x="326"/>
        <item x="159"/>
        <item x="23"/>
        <item x="4"/>
        <item x="294"/>
        <item x="213"/>
        <item x="72"/>
        <item x="160"/>
        <item x="295"/>
        <item x="183"/>
        <item x="74"/>
        <item m="1" x="373"/>
        <item x="182"/>
        <item x="68"/>
        <item x="7"/>
        <item x="80"/>
        <item x="161"/>
        <item x="296"/>
        <item x="162"/>
        <item x="163"/>
        <item x="219"/>
        <item x="201"/>
        <item m="1" x="363"/>
        <item x="297"/>
        <item x="39"/>
        <item x="164"/>
        <item m="1" x="359"/>
        <item m="1" x="327"/>
        <item x="94"/>
        <item x="165"/>
        <item x="166"/>
        <item x="167"/>
        <item x="216"/>
        <item x="22"/>
        <item x="83"/>
        <item x="228"/>
        <item m="1" x="345"/>
        <item x="298"/>
        <item x="82"/>
        <item x="181"/>
        <item x="194"/>
        <item x="30"/>
        <item x="69"/>
        <item x="168"/>
        <item x="20"/>
        <item m="1" x="379"/>
        <item m="1" x="383"/>
        <item x="121"/>
        <item x="169"/>
        <item x="199"/>
        <item m="1" x="358"/>
        <item m="1" x="346"/>
        <item m="1" x="349"/>
        <item x="170"/>
        <item x="9"/>
        <item x="192"/>
        <item m="1" x="372"/>
        <item x="25"/>
        <item m="1" x="362"/>
        <item m="1" x="371"/>
        <item m="1" x="375"/>
        <item x="171"/>
        <item x="299"/>
        <item x="75"/>
        <item m="1" x="361"/>
        <item x="37"/>
        <item m="1" x="382"/>
        <item x="172"/>
        <item x="79"/>
        <item x="300"/>
        <item x="173"/>
        <item x="174"/>
        <item x="175"/>
        <item x="8"/>
        <item x="176"/>
        <item m="1" x="352"/>
        <item m="1" x="347"/>
        <item x="92"/>
        <item x="122"/>
        <item x="24"/>
        <item x="177"/>
        <item x="198"/>
        <item x="123"/>
        <item x="97"/>
        <item x="70"/>
        <item x="187"/>
        <item x="21"/>
        <item x="178"/>
        <item m="1" x="308"/>
        <item x="301"/>
      </items>
    </pivotField>
    <pivotField axis="axisRow" compact="0" outline="0" subtotalTop="0" showAll="0" defaultSubtotal="0">
      <items count="33">
        <item x="19"/>
        <item x="14"/>
        <item x="21"/>
        <item x="4"/>
        <item x="28"/>
        <item x="15"/>
        <item x="20"/>
        <item x="17"/>
        <item x="8"/>
        <item x="5"/>
        <item x="1"/>
        <item x="27"/>
        <item x="11"/>
        <item x="0"/>
        <item x="9"/>
        <item x="7"/>
        <item x="31"/>
        <item x="16"/>
        <item x="22"/>
        <item x="13"/>
        <item x="6"/>
        <item x="3"/>
        <item x="23"/>
        <item x="10"/>
        <item x="24"/>
        <item x="18"/>
        <item x="2"/>
        <item x="12"/>
        <item x="25"/>
        <item x="26"/>
        <item m="1" x="32"/>
        <item x="29"/>
        <item x="30"/>
      </items>
    </pivotField>
    <pivotField dataField="1" compact="0" outline="0" subtotalTop="0" showAll="0"/>
    <pivotField axis="axisRow" compact="0" outline="0" subtotalTop="0" showAll="0" sortType="descending">
      <items count="97">
        <item m="1" x="34"/>
        <item x="19"/>
        <item m="1" x="95"/>
        <item m="1" x="94"/>
        <item m="1" x="82"/>
        <item m="1" x="55"/>
        <item m="1" x="76"/>
        <item x="0"/>
        <item x="16"/>
        <item m="1" x="37"/>
        <item x="6"/>
        <item m="1" x="43"/>
        <item x="2"/>
        <item x="11"/>
        <item m="1" x="27"/>
        <item x="7"/>
        <item m="1" x="93"/>
        <item x="4"/>
        <item m="1" x="41"/>
        <item m="1" x="92"/>
        <item m="1" x="59"/>
        <item m="1" x="35"/>
        <item m="1" x="91"/>
        <item m="1" x="54"/>
        <item m="1" x="31"/>
        <item m="1" x="45"/>
        <item m="1" x="56"/>
        <item m="1" x="29"/>
        <item m="1" x="90"/>
        <item x="18"/>
        <item m="1" x="47"/>
        <item m="1" x="71"/>
        <item x="3"/>
        <item m="1" x="58"/>
        <item m="1" x="30"/>
        <item m="1" x="89"/>
        <item m="1" x="26"/>
        <item m="1" x="79"/>
        <item m="1" x="42"/>
        <item m="1" x="25"/>
        <item x="22"/>
        <item m="1" x="39"/>
        <item m="1" x="51"/>
        <item x="15"/>
        <item m="1" x="84"/>
        <item m="1" x="66"/>
        <item m="1" x="83"/>
        <item m="1" x="23"/>
        <item m="1" x="88"/>
        <item m="1" x="86"/>
        <item m="1" x="67"/>
        <item m="1" x="61"/>
        <item x="10"/>
        <item m="1" x="87"/>
        <item m="1" x="85"/>
        <item m="1" x="46"/>
        <item m="1" x="63"/>
        <item x="1"/>
        <item m="1" x="48"/>
        <item x="14"/>
        <item m="1" x="24"/>
        <item m="1" x="50"/>
        <item m="1" x="81"/>
        <item m="1" x="80"/>
        <item m="1" x="72"/>
        <item m="1" x="57"/>
        <item m="1" x="60"/>
        <item m="1" x="77"/>
        <item m="1" x="78"/>
        <item m="1" x="62"/>
        <item m="1" x="53"/>
        <item m="1" x="75"/>
        <item m="1" x="32"/>
        <item m="1" x="74"/>
        <item m="1" x="73"/>
        <item m="1" x="70"/>
        <item m="1" x="36"/>
        <item m="1" x="69"/>
        <item m="1" x="68"/>
        <item m="1" x="65"/>
        <item m="1" x="64"/>
        <item m="1" x="38"/>
        <item x="5"/>
        <item m="1" x="33"/>
        <item m="1" x="28"/>
        <item m="1" x="52"/>
        <item x="20"/>
        <item m="1" x="49"/>
        <item x="8"/>
        <item m="1" x="44"/>
        <item m="1" x="40"/>
        <item x="9"/>
        <item x="12"/>
        <item x="13"/>
        <item x="17"/>
        <item x="21"/>
        <item t="default"/>
      </items>
      <autoSortScope>
        <pivotArea dataOnly="0" outline="0" fieldPosition="0">
          <references count="1">
            <reference field="4294967294" count="1" selected="0">
              <x v="0"/>
            </reference>
          </references>
        </pivotArea>
      </autoSortScope>
    </pivotField>
    <pivotField axis="axisRow" compact="0" outline="0" subtotalTop="0" showAll="0" defaultSubtotal="0">
      <items count="371">
        <item x="82"/>
        <item x="83"/>
        <item x="101"/>
        <item x="160"/>
        <item x="140"/>
        <item x="157"/>
        <item x="118"/>
        <item x="159"/>
        <item x="43"/>
        <item x="0"/>
        <item x="137"/>
        <item x="108"/>
        <item x="121"/>
        <item x="111"/>
        <item m="1" x="368"/>
        <item x="134"/>
        <item x="124"/>
        <item x="129"/>
        <item x="146"/>
        <item x="100"/>
        <item x="112"/>
        <item x="143"/>
        <item x="148"/>
        <item x="109"/>
        <item x="145"/>
        <item x="154"/>
        <item x="147"/>
        <item x="139"/>
        <item x="105"/>
        <item x="138"/>
        <item x="115"/>
        <item x="117"/>
        <item m="1" x="370"/>
        <item x="125"/>
        <item x="114"/>
        <item x="126"/>
        <item x="136"/>
        <item x="156"/>
        <item x="144"/>
        <item x="141"/>
        <item x="113"/>
        <item m="1" x="369"/>
        <item x="120"/>
        <item x="132"/>
        <item x="150"/>
        <item x="116"/>
        <item x="128"/>
        <item x="119"/>
        <item x="158"/>
        <item x="127"/>
        <item x="135"/>
        <item x="142"/>
        <item x="133"/>
        <item x="130"/>
        <item x="152"/>
        <item x="153"/>
        <item x="151"/>
        <item x="106"/>
        <item x="110"/>
        <item x="149"/>
        <item x="131"/>
        <item x="84"/>
        <item x="85"/>
        <item x="86"/>
        <item x="87"/>
        <item x="88"/>
        <item x="91"/>
        <item x="92"/>
        <item x="93"/>
        <item x="94"/>
        <item x="95"/>
        <item x="96"/>
        <item x="97"/>
        <item x="98"/>
        <item x="99"/>
        <item x="102"/>
        <item x="104"/>
        <item x="107"/>
        <item x="103"/>
        <item x="123"/>
        <item x="122"/>
        <item x="155"/>
        <item m="1" x="366"/>
        <item m="1" x="367"/>
        <item x="89"/>
        <item x="90"/>
        <item x="61"/>
        <item x="62"/>
        <item m="1" x="361"/>
        <item x="63"/>
        <item x="69"/>
        <item x="70"/>
        <item x="64"/>
        <item x="65"/>
        <item x="66"/>
        <item x="67"/>
        <item x="68"/>
        <item x="37"/>
        <item x="42"/>
        <item x="39"/>
        <item x="52"/>
        <item x="56"/>
        <item x="47"/>
        <item x="58"/>
        <item x="35"/>
        <item x="44"/>
        <item x="45"/>
        <item x="48"/>
        <item x="55"/>
        <item x="46"/>
        <item x="41"/>
        <item x="40"/>
        <item x="49"/>
        <item x="1"/>
        <item x="2"/>
        <item x="3"/>
        <item x="4"/>
        <item x="5"/>
        <item x="6"/>
        <item x="7"/>
        <item x="8"/>
        <item x="9"/>
        <item x="50"/>
        <item x="59"/>
        <item x="10"/>
        <item x="11"/>
        <item x="12"/>
        <item x="13"/>
        <item x="57"/>
        <item x="15"/>
        <item x="16"/>
        <item x="18"/>
        <item x="19"/>
        <item x="60"/>
        <item x="20"/>
        <item x="21"/>
        <item x="22"/>
        <item x="51"/>
        <item x="23"/>
        <item x="24"/>
        <item x="25"/>
        <item x="26"/>
        <item x="27"/>
        <item x="28"/>
        <item x="29"/>
        <item x="38"/>
        <item x="53"/>
        <item x="30"/>
        <item x="36"/>
        <item x="31"/>
        <item x="32"/>
        <item x="54"/>
        <item x="33"/>
        <item x="34"/>
        <item m="1" x="362"/>
        <item m="1" x="363"/>
        <item x="17"/>
        <item m="1" x="364"/>
        <item m="1" x="365"/>
        <item x="71"/>
        <item x="72"/>
        <item x="73"/>
        <item x="74"/>
        <item x="75"/>
        <item x="76"/>
        <item x="77"/>
        <item x="78"/>
        <item x="79"/>
        <item x="80"/>
        <item x="81"/>
        <item x="14"/>
        <item x="161"/>
        <item m="1" x="360"/>
        <item x="162"/>
        <item m="1" x="359"/>
        <item m="1" x="354"/>
        <item x="164"/>
        <item m="1" x="357"/>
        <item m="1" x="355"/>
        <item m="1" x="358"/>
        <item x="167"/>
        <item x="165"/>
        <item m="1" x="356"/>
        <item x="168"/>
        <item x="163"/>
        <item x="166"/>
        <item m="1" x="353"/>
        <item m="1" x="352"/>
        <item x="169"/>
        <item m="1" x="351"/>
        <item x="170"/>
        <item x="171"/>
        <item m="1" x="348"/>
        <item m="1" x="349"/>
        <item m="1" x="350"/>
        <item x="175"/>
        <item m="1" x="347"/>
        <item x="172"/>
        <item x="173"/>
        <item x="174"/>
        <item x="176"/>
        <item m="1" x="346"/>
        <item x="185"/>
        <item x="177"/>
        <item x="179"/>
        <item m="1" x="345"/>
        <item m="1" x="344"/>
        <item m="1" x="341"/>
        <item m="1" x="343"/>
        <item m="1" x="340"/>
        <item m="1" x="339"/>
        <item m="1" x="342"/>
        <item m="1" x="329"/>
        <item x="178"/>
        <item m="1" x="328"/>
        <item x="184"/>
        <item x="180"/>
        <item m="1" x="330"/>
        <item x="181"/>
        <item m="1" x="331"/>
        <item m="1" x="332"/>
        <item m="1" x="333"/>
        <item m="1" x="334"/>
        <item m="1" x="335"/>
        <item m="1" x="336"/>
        <item m="1" x="337"/>
        <item m="1" x="338"/>
        <item x="193"/>
        <item x="194"/>
        <item x="195"/>
        <item x="196"/>
        <item x="197"/>
        <item x="182"/>
        <item x="183"/>
        <item x="186"/>
        <item x="187"/>
        <item x="188"/>
        <item x="189"/>
        <item x="190"/>
        <item x="191"/>
        <item x="192"/>
        <item x="198"/>
        <item x="199"/>
        <item x="200"/>
        <item x="201"/>
        <item x="202"/>
        <item x="203"/>
        <item x="204"/>
        <item x="205"/>
        <item m="1" x="327"/>
        <item x="206"/>
        <item m="1" x="326"/>
        <item x="208"/>
        <item x="207"/>
        <item x="209"/>
        <item m="1" x="325"/>
        <item x="211"/>
        <item x="210"/>
        <item m="1" x="319"/>
        <item m="1" x="320"/>
        <item m="1" x="321"/>
        <item m="1" x="324"/>
        <item x="215"/>
        <item m="1" x="322"/>
        <item x="217"/>
        <item x="218"/>
        <item x="219"/>
        <item m="1" x="318"/>
        <item m="1" x="323"/>
        <item x="221"/>
        <item x="222"/>
        <item x="220"/>
        <item x="212"/>
        <item x="213"/>
        <item x="214"/>
        <item x="216"/>
        <item x="223"/>
        <item x="224"/>
        <item x="225"/>
        <item m="1" x="288"/>
        <item x="276"/>
        <item m="1" x="317"/>
        <item x="273"/>
        <item m="1" x="316"/>
        <item x="263"/>
        <item m="1" x="315"/>
        <item x="246"/>
        <item x="226"/>
        <item x="275"/>
        <item m="1" x="290"/>
        <item m="1" x="314"/>
        <item x="259"/>
        <item x="252"/>
        <item m="1" x="308"/>
        <item m="1" x="313"/>
        <item m="1" x="312"/>
        <item x="270"/>
        <item m="1" x="309"/>
        <item x="227"/>
        <item x="251"/>
        <item m="1" x="311"/>
        <item x="271"/>
        <item x="228"/>
        <item m="1" x="310"/>
        <item x="229"/>
        <item x="264"/>
        <item x="280"/>
        <item x="272"/>
        <item m="1" x="307"/>
        <item x="241"/>
        <item m="1" x="300"/>
        <item x="256"/>
        <item m="1" x="302"/>
        <item m="1" x="293"/>
        <item m="1" x="291"/>
        <item m="1" x="287"/>
        <item x="277"/>
        <item m="1" x="292"/>
        <item m="1" x="304"/>
        <item m="1" x="299"/>
        <item m="1" x="289"/>
        <item m="1" x="295"/>
        <item x="230"/>
        <item x="249"/>
        <item m="1" x="286"/>
        <item x="233"/>
        <item x="232"/>
        <item m="1" x="296"/>
        <item m="1" x="294"/>
        <item m="1" x="285"/>
        <item m="1" x="303"/>
        <item x="257"/>
        <item m="1" x="305"/>
        <item m="1" x="284"/>
        <item m="1" x="297"/>
        <item m="1" x="301"/>
        <item m="1" x="306"/>
        <item m="1" x="283"/>
        <item m="1" x="281"/>
        <item x="238"/>
        <item x="248"/>
        <item m="1" x="298"/>
        <item x="250"/>
        <item x="260"/>
        <item x="266"/>
        <item x="268"/>
        <item x="262"/>
        <item x="240"/>
        <item x="269"/>
        <item x="231"/>
        <item x="265"/>
        <item x="274"/>
        <item x="254"/>
        <item m="1" x="282"/>
        <item x="234"/>
        <item x="236"/>
        <item x="237"/>
        <item x="244"/>
        <item x="245"/>
        <item x="255"/>
        <item x="279"/>
        <item x="235"/>
        <item x="239"/>
        <item x="242"/>
        <item x="243"/>
        <item x="247"/>
        <item x="253"/>
        <item x="258"/>
        <item x="261"/>
        <item x="267"/>
        <item x="278"/>
      </items>
    </pivotField>
    <pivotField dataField="1" compact="0" outline="0" subtotalTop="0" showAll="0"/>
    <pivotField dataField="1" compact="0" outline="0" subtotalTop="0" showAll="0"/>
    <pivotField dataField="1" compact="0" outline="0" subtotalTop="0" showAll="0"/>
    <pivotField dataField="1" compact="0" outline="0" subtotalTop="0" showAll="0"/>
    <pivotField dataField="1" compact="0" outline="0" subtotalTop="0" showAll="0"/>
    <pivotField dataField="1" compact="0" outline="0" subtotalTop="0" showAll="0"/>
    <pivotField dataField="1" compact="0" outline="0" subtotalTop="0" showAll="0"/>
    <pivotField dataField="1" compact="0" outline="0" subtotalTop="0" showAll="0"/>
    <pivotField dataField="1" compact="0" outline="0" subtotalTop="0" showAll="0"/>
    <pivotField compact="0" outline="0" subtotalTop="0" showAll="0"/>
    <pivotField dataField="1" compact="0" outline="0" subtotalTop="0" showAll="0"/>
    <pivotField dataField="1" compact="0" outline="0" subtotalTop="0" showAll="0"/>
    <pivotField compact="0" outline="0" subtotalTop="0" showAll="0"/>
    <pivotField axis="axisRow" compact="0" outline="0" subtotalTop="0" multipleItemSelectionAllowed="1" showAll="0" nonAutoSortDefault="1">
      <items count="7">
        <item x="3"/>
        <item m="1" x="5"/>
        <item x="0"/>
        <item x="2"/>
        <item x="1"/>
        <item x="4"/>
        <item t="default"/>
      </items>
    </pivotField>
  </pivotFields>
  <rowFields count="5">
    <field x="19"/>
    <field x="1"/>
    <field x="2"/>
    <field x="5"/>
    <field x="4"/>
  </rowFields>
  <rowItems count="78">
    <i>
      <x/>
      <x v="21"/>
      <x v="23"/>
      <x v="322"/>
      <x v="15"/>
    </i>
    <i r="1">
      <x v="23"/>
      <x v="1"/>
      <x v="326"/>
      <x v="88"/>
    </i>
    <i r="1">
      <x v="24"/>
      <x v="1"/>
      <x v="325"/>
      <x v="91"/>
    </i>
    <i r="1">
      <x v="27"/>
      <x v="23"/>
      <x v="354"/>
      <x v="52"/>
    </i>
    <i r="1">
      <x v="28"/>
      <x v="15"/>
      <x v="361"/>
      <x v="13"/>
    </i>
    <i r="1">
      <x v="29"/>
      <x v="19"/>
      <x v="355"/>
      <x v="13"/>
    </i>
    <i r="1">
      <x v="30"/>
      <x v="1"/>
      <x v="198"/>
      <x v="13"/>
    </i>
    <i r="1">
      <x v="31"/>
      <x v="6"/>
      <x v="356"/>
      <x v="10"/>
    </i>
    <i r="1">
      <x v="36"/>
      <x v="15"/>
      <x v="362"/>
      <x v="13"/>
    </i>
    <i r="1">
      <x v="43"/>
      <x/>
      <x v="309"/>
      <x v="93"/>
    </i>
    <i r="1">
      <x v="49"/>
      <x v="6"/>
      <x v="363"/>
      <x v="59"/>
    </i>
    <i r="1">
      <x v="53"/>
      <x v="23"/>
      <x v="364"/>
      <x v="13"/>
    </i>
    <i r="1">
      <x v="57"/>
      <x v="23"/>
      <x v="357"/>
      <x v="13"/>
    </i>
    <i r="1">
      <x v="60"/>
      <x v="12"/>
      <x v="358"/>
      <x v="15"/>
    </i>
    <i r="1">
      <x v="71"/>
      <x/>
      <x v="365"/>
      <x v="13"/>
    </i>
    <i r="1">
      <x v="72"/>
      <x v="5"/>
      <x v="340"/>
      <x v="43"/>
    </i>
    <i r="1">
      <x v="81"/>
      <x v="23"/>
      <x v="323"/>
      <x v="15"/>
    </i>
    <i r="1">
      <x v="87"/>
      <x v="23"/>
      <x v="342"/>
      <x v="13"/>
    </i>
    <i r="1">
      <x v="95"/>
      <x v="3"/>
      <x v="8"/>
      <x v="13"/>
    </i>
    <i r="1">
      <x v="104"/>
      <x v="6"/>
      <x v="366"/>
      <x v="13"/>
    </i>
    <i r="1">
      <x v="144"/>
      <x v="20"/>
      <x v="311"/>
      <x v="94"/>
    </i>
    <i r="1">
      <x v="148"/>
      <x v="6"/>
      <x v="331"/>
      <x v="10"/>
    </i>
    <i r="1">
      <x v="164"/>
      <x v="5"/>
      <x v="367"/>
      <x v="13"/>
    </i>
    <i r="1">
      <x v="172"/>
      <x v="3"/>
      <x v="8"/>
      <x v="13"/>
    </i>
    <i r="1">
      <x v="181"/>
      <x v="14"/>
      <x v="343"/>
      <x v="13"/>
    </i>
    <i r="1">
      <x v="184"/>
      <x v="12"/>
      <x v="368"/>
      <x v="88"/>
    </i>
    <i r="1">
      <x v="185"/>
      <x v="4"/>
      <x v="346"/>
      <x v="29"/>
    </i>
    <i r="1">
      <x v="202"/>
      <x v="14"/>
      <x v="350"/>
      <x v="29"/>
    </i>
    <i r="1">
      <x v="205"/>
      <x v="18"/>
      <x v="344"/>
      <x v="13"/>
    </i>
    <i r="1">
      <x v="208"/>
      <x v="6"/>
      <x v="369"/>
      <x v="1"/>
    </i>
    <i r="1">
      <x v="264"/>
      <x v="14"/>
      <x v="301"/>
      <x v="86"/>
    </i>
    <i r="1">
      <x v="269"/>
      <x v="5"/>
      <x v="307"/>
      <x v="29"/>
    </i>
    <i r="1">
      <x v="287"/>
      <x/>
      <x v="351"/>
      <x v="95"/>
    </i>
    <i r="1">
      <x v="304"/>
      <x v="19"/>
      <x v="316"/>
      <x v="40"/>
    </i>
    <i r="1">
      <x v="313"/>
      <x v="5"/>
      <x v="307"/>
      <x v="29"/>
    </i>
    <i r="1">
      <x v="319"/>
      <x v="6"/>
      <x v="370"/>
      <x v="15"/>
    </i>
    <i r="1">
      <x v="333"/>
      <x v="6"/>
      <x v="360"/>
      <x v="10"/>
    </i>
    <i t="default">
      <x/>
    </i>
    <i>
      <x v="2"/>
      <x/>
      <x v="15"/>
      <x v="287"/>
      <x v="7"/>
    </i>
    <i r="1">
      <x v="2"/>
      <x v="4"/>
      <x v="288"/>
      <x v="7"/>
    </i>
    <i r="1">
      <x v="3"/>
      <x v="4"/>
      <x v="298"/>
      <x v="7"/>
    </i>
    <i r="1">
      <x v="4"/>
      <x v="15"/>
      <x v="302"/>
      <x v="7"/>
    </i>
    <i r="1">
      <x v="6"/>
      <x v="2"/>
      <x v="304"/>
      <x v="7"/>
    </i>
    <i r="1">
      <x v="22"/>
      <x v="1"/>
      <x v="349"/>
      <x v="7"/>
    </i>
    <i r="1">
      <x v="34"/>
      <x v="4"/>
      <x v="339"/>
      <x v="92"/>
    </i>
    <i r="1">
      <x v="38"/>
      <x v="12"/>
      <x v="347"/>
      <x v="7"/>
    </i>
    <i r="1">
      <x v="68"/>
      <x v="20"/>
      <x v="286"/>
      <x v="7"/>
    </i>
    <i r="1">
      <x v="90"/>
      <x v="12"/>
      <x v="299"/>
      <x v="7"/>
    </i>
    <i r="1">
      <x v="92"/>
      <x v="14"/>
      <x v="292"/>
      <x v="7"/>
    </i>
    <i r="1">
      <x v="113"/>
      <x v="12"/>
      <x v="352"/>
      <x v="7"/>
    </i>
    <i r="1">
      <x v="123"/>
      <x v="12"/>
      <x v="359"/>
      <x v="92"/>
    </i>
    <i r="1">
      <x v="166"/>
      <x/>
      <x v="291"/>
      <x v="7"/>
    </i>
    <i r="1">
      <x v="191"/>
      <x v="20"/>
      <x v="284"/>
      <x v="7"/>
    </i>
    <i r="1">
      <x v="198"/>
      <x v="6"/>
      <x v="305"/>
      <x v="7"/>
    </i>
    <i r="1">
      <x v="238"/>
      <x v="8"/>
      <x v="345"/>
      <x v="7"/>
    </i>
    <i r="1">
      <x v="240"/>
      <x v="12"/>
      <x v="296"/>
      <x v="7"/>
    </i>
    <i r="1">
      <x v="268"/>
      <x v="14"/>
      <x v="292"/>
      <x v="7"/>
    </i>
    <i r="1">
      <x v="281"/>
      <x v="2"/>
      <x v="282"/>
      <x v="7"/>
    </i>
    <i r="1">
      <x v="300"/>
      <x v="2"/>
      <x v="280"/>
      <x v="7"/>
    </i>
    <i r="1">
      <x v="358"/>
      <x v="20"/>
      <x v="284"/>
      <x v="7"/>
    </i>
    <i r="1">
      <x v="365"/>
      <x v="12"/>
      <x v="306"/>
      <x v="7"/>
    </i>
    <i t="default">
      <x v="2"/>
    </i>
    <i>
      <x v="4"/>
      <x v="239"/>
      <x v="14"/>
      <x v="348"/>
      <x v="7"/>
    </i>
    <i t="default">
      <x v="4"/>
    </i>
    <i>
      <x v="5"/>
      <x v="110"/>
      <x/>
      <x v="8"/>
      <x v="8"/>
    </i>
    <i r="2">
      <x v="1"/>
      <x v="8"/>
      <x v="8"/>
    </i>
    <i r="2">
      <x v="2"/>
      <x v="8"/>
      <x v="8"/>
    </i>
    <i r="2">
      <x v="4"/>
      <x v="8"/>
      <x v="8"/>
    </i>
    <i r="2">
      <x v="5"/>
      <x v="8"/>
      <x v="8"/>
    </i>
    <i r="2">
      <x v="6"/>
      <x v="8"/>
      <x v="8"/>
    </i>
    <i r="2">
      <x v="14"/>
      <x v="8"/>
      <x v="8"/>
    </i>
    <i r="2">
      <x v="15"/>
      <x v="8"/>
      <x v="8"/>
    </i>
    <i r="2">
      <x v="19"/>
      <x v="8"/>
      <x v="8"/>
    </i>
    <i r="2">
      <x v="22"/>
      <x v="8"/>
      <x v="8"/>
    </i>
    <i r="2">
      <x v="23"/>
      <x v="8"/>
      <x v="8"/>
    </i>
    <i r="2">
      <x v="29"/>
      <x v="8"/>
      <x v="8"/>
    </i>
    <i t="default">
      <x v="5"/>
    </i>
    <i t="grand">
      <x/>
    </i>
  </rowItems>
  <colFields count="1">
    <field x="-2"/>
  </colFields>
  <colItems count="12">
    <i>
      <x/>
    </i>
    <i i="1">
      <x v="1"/>
    </i>
    <i i="2">
      <x v="2"/>
    </i>
    <i i="3">
      <x v="3"/>
    </i>
    <i i="4">
      <x v="4"/>
    </i>
    <i i="5">
      <x v="5"/>
    </i>
    <i i="6">
      <x v="6"/>
    </i>
    <i i="7">
      <x v="7"/>
    </i>
    <i i="8">
      <x v="8"/>
    </i>
    <i i="9">
      <x v="9"/>
    </i>
    <i i="10">
      <x v="10"/>
    </i>
    <i i="11">
      <x v="11"/>
    </i>
  </colItems>
  <pageFields count="1">
    <pageField fld="0" hier="-1"/>
  </pageFields>
  <dataFields count="12">
    <dataField name="Acres burned" fld="3" baseField="0" baseItem="0" numFmtId="3"/>
    <dataField name="Injuries." fld="17" baseField="4" baseItem="15"/>
    <dataField name="Fatalities." fld="16" baseField="4" baseItem="15"/>
    <dataField name="Lev1" fld="6" baseField="4" baseItem="12"/>
    <dataField name="Lev2" fld="7" baseField="0" baseItem="0"/>
    <dataField name="Lev3" fld="8" baseField="0" baseItem="0"/>
    <dataField name="Residential" fld="9" baseField="4" baseItem="12"/>
    <dataField name="Commercial" fld="10" baseField="4" baseItem="12"/>
    <dataField name="Other" fld="11" baseField="4" baseItem="12"/>
    <dataField name="Residential_" fld="12" baseField="4" baseItem="12"/>
    <dataField name="Commercial_" fld="13" baseField="4" baseItem="12"/>
    <dataField name="Other_" fld="14" baseField="4" baseItem="12"/>
  </dataFields>
  <formats count="38">
    <format dxfId="444">
      <pivotArea dataOnly="0" labelOnly="1" outline="0" fieldPosition="0">
        <references count="1">
          <reference field="4294967294" count="6">
            <x v="6"/>
            <x v="7"/>
            <x v="8"/>
            <x v="9"/>
            <x v="10"/>
            <x v="11"/>
          </reference>
        </references>
      </pivotArea>
    </format>
    <format dxfId="443">
      <pivotArea outline="0" collapsedLevelsAreSubtotals="1" fieldPosition="0">
        <references count="1">
          <reference field="4294967294" count="9" selected="0">
            <x v="3"/>
            <x v="4"/>
            <x v="5"/>
            <x v="6"/>
            <x v="7"/>
            <x v="8"/>
            <x v="9"/>
            <x v="10"/>
            <x v="11"/>
          </reference>
        </references>
      </pivotArea>
    </format>
    <format dxfId="442">
      <pivotArea dataOnly="0" labelOnly="1" outline="0" fieldPosition="0">
        <references count="1">
          <reference field="4294967294" count="1">
            <x v="0"/>
          </reference>
        </references>
      </pivotArea>
    </format>
    <format dxfId="441">
      <pivotArea type="topRight" dataOnly="0" labelOnly="1" outline="0" offset="B1" fieldPosition="0"/>
    </format>
    <format dxfId="440">
      <pivotArea dataOnly="0" labelOnly="1" outline="0" fieldPosition="0">
        <references count="1">
          <reference field="4294967294" count="1">
            <x v="3"/>
          </reference>
        </references>
      </pivotArea>
    </format>
    <format dxfId="439">
      <pivotArea type="topRight" dataOnly="0" labelOnly="1" outline="0" offset="C1" fieldPosition="0"/>
    </format>
    <format dxfId="438">
      <pivotArea dataOnly="0" labelOnly="1" outline="0" fieldPosition="0">
        <references count="1">
          <reference field="4294967294" count="1">
            <x v="4"/>
          </reference>
        </references>
      </pivotArea>
    </format>
    <format dxfId="437">
      <pivotArea type="topRight" dataOnly="0" labelOnly="1" outline="0" offset="D1" fieldPosition="0"/>
    </format>
    <format dxfId="436">
      <pivotArea dataOnly="0" labelOnly="1" outline="0" fieldPosition="0">
        <references count="1">
          <reference field="4294967294" count="1">
            <x v="5"/>
          </reference>
        </references>
      </pivotArea>
    </format>
    <format dxfId="435">
      <pivotArea dataOnly="0" labelOnly="1" outline="0" fieldPosition="0">
        <references count="1">
          <reference field="4294967294" count="3">
            <x v="3"/>
            <x v="4"/>
            <x v="5"/>
          </reference>
        </references>
      </pivotArea>
    </format>
    <format dxfId="434">
      <pivotArea type="topRight" dataOnly="0" labelOnly="1" outline="0" offset="E1:G1" fieldPosition="0"/>
    </format>
    <format dxfId="433">
      <pivotArea dataOnly="0" labelOnly="1" outline="0" fieldPosition="0">
        <references count="1">
          <reference field="4294967294" count="3">
            <x v="6"/>
            <x v="7"/>
            <x v="8"/>
          </reference>
        </references>
      </pivotArea>
    </format>
    <format dxfId="432">
      <pivotArea type="topRight" dataOnly="0" labelOnly="1" outline="0" offset="H1:J1" fieldPosition="0"/>
    </format>
    <format dxfId="431">
      <pivotArea dataOnly="0" labelOnly="1" outline="0" fieldPosition="0">
        <references count="1">
          <reference field="4294967294" count="3">
            <x v="9"/>
            <x v="10"/>
            <x v="11"/>
          </reference>
        </references>
      </pivotArea>
    </format>
    <format dxfId="430">
      <pivotArea dataOnly="0" outline="0" fieldPosition="0">
        <references count="1">
          <reference field="4294967294" count="9">
            <x v="3"/>
            <x v="4"/>
            <x v="5"/>
            <x v="6"/>
            <x v="7"/>
            <x v="8"/>
            <x v="9"/>
            <x v="10"/>
            <x v="11"/>
          </reference>
        </references>
      </pivotArea>
    </format>
    <format dxfId="429">
      <pivotArea dataOnly="0" labelOnly="1" outline="0" fieldPosition="0">
        <references count="1">
          <reference field="4294967294" count="6">
            <x v="6"/>
            <x v="7"/>
            <x v="8"/>
            <x v="9"/>
            <x v="10"/>
            <x v="11"/>
          </reference>
        </references>
      </pivotArea>
    </format>
    <format dxfId="428">
      <pivotArea dataOnly="0" labelOnly="1" outline="0" fieldPosition="0">
        <references count="1">
          <reference field="4294967294" count="1">
            <x v="3"/>
          </reference>
        </references>
      </pivotArea>
    </format>
    <format dxfId="427">
      <pivotArea dataOnly="0" labelOnly="1" outline="0" fieldPosition="0">
        <references count="1">
          <reference field="4294967294" count="1">
            <x v="4"/>
          </reference>
        </references>
      </pivotArea>
    </format>
    <format dxfId="426">
      <pivotArea dataOnly="0" labelOnly="1" outline="0" fieldPosition="0">
        <references count="1">
          <reference field="4294967294" count="1">
            <x v="5"/>
          </reference>
        </references>
      </pivotArea>
    </format>
    <format dxfId="425">
      <pivotArea dataOnly="0" labelOnly="1" outline="0" fieldPosition="0">
        <references count="1">
          <reference field="4" count="0"/>
        </references>
      </pivotArea>
    </format>
    <format dxfId="424">
      <pivotArea field="4" type="button" dataOnly="0" labelOnly="1" outline="0" axis="axisRow" fieldPosition="4"/>
    </format>
    <format dxfId="423">
      <pivotArea field="4" type="button" dataOnly="0" labelOnly="1" outline="0" axis="axisRow" fieldPosition="4"/>
    </format>
    <format dxfId="422">
      <pivotArea dataOnly="0" labelOnly="1" outline="0" fieldPosition="0">
        <references count="1">
          <reference field="4" count="0"/>
        </references>
      </pivotArea>
    </format>
    <format dxfId="421">
      <pivotArea field="-2" type="button" dataOnly="0" labelOnly="1" outline="0" axis="axisCol" fieldPosition="0"/>
    </format>
    <format dxfId="420">
      <pivotArea type="topRight" dataOnly="0" labelOnly="1" outline="0" offset="G1" fieldPosition="0"/>
    </format>
    <format dxfId="419">
      <pivotArea dataOnly="0" labelOnly="1" outline="0" fieldPosition="0">
        <references count="1">
          <reference field="4294967294" count="1">
            <x v="1"/>
          </reference>
        </references>
      </pivotArea>
    </format>
    <format dxfId="418">
      <pivotArea dataOnly="0" labelOnly="1" outline="0" fieldPosition="0">
        <references count="1">
          <reference field="4294967294" count="1">
            <x v="2"/>
          </reference>
        </references>
      </pivotArea>
    </format>
    <format dxfId="417">
      <pivotArea dataOnly="0" labelOnly="1" outline="0" fieldPosition="0">
        <references count="1">
          <reference field="4294967294" count="2">
            <x v="1"/>
            <x v="2"/>
          </reference>
        </references>
      </pivotArea>
    </format>
    <format dxfId="416">
      <pivotArea type="topRight" dataOnly="0" labelOnly="1" outline="0" offset="K1" fieldPosition="0"/>
    </format>
    <format dxfId="415">
      <pivotArea type="topRight" dataOnly="0" labelOnly="1" outline="0" offset="K1" fieldPosition="0"/>
    </format>
    <format dxfId="414">
      <pivotArea type="topRight" dataOnly="0" labelOnly="1" outline="0" offset="H1" fieldPosition="0"/>
    </format>
    <format dxfId="413">
      <pivotArea type="topRight" dataOnly="0" labelOnly="1" outline="0" offset="E1" fieldPosition="0"/>
    </format>
    <format dxfId="412">
      <pivotArea type="topRight" dataOnly="0" labelOnly="1" outline="0" offset="D1" fieldPosition="0"/>
    </format>
    <format dxfId="411">
      <pivotArea type="topRight" dataOnly="0" labelOnly="1" outline="0" offset="C1" fieldPosition="0"/>
    </format>
    <format dxfId="410">
      <pivotArea type="topRight" dataOnly="0" labelOnly="1" outline="0" offset="A1:B1" fieldPosition="0"/>
    </format>
    <format dxfId="409">
      <pivotArea dataOnly="0" labelOnly="1" outline="0" fieldPosition="0">
        <references count="1">
          <reference field="4294967294" count="2">
            <x v="1"/>
            <x v="2"/>
          </reference>
        </references>
      </pivotArea>
    </format>
    <format dxfId="408">
      <pivotArea outline="0" fieldPosition="0">
        <references count="1">
          <reference field="4294967294" count="2" selected="0">
            <x v="1"/>
            <x v="2"/>
          </reference>
        </references>
      </pivotArea>
    </format>
    <format dxfId="407">
      <pivotArea dataOnly="0" labelOnly="1" outline="0" fieldPosition="0">
        <references count="1">
          <reference field="4294967294" count="1">
            <x v="0"/>
          </reference>
        </references>
      </pivotArea>
    </format>
  </formats>
  <pivotTableStyleInfo name="PivotStyleMedium12" showRowHeaders="1" showColHeaders="1" showRowStripes="1" showColStripes="1" showLastColumn="1"/>
  <extLst>
    <ext xmlns:x14="http://schemas.microsoft.com/office/spreadsheetml/2009/9/main" uri="{962EF5D1-5CA2-4c93-8EF4-DBF5C05439D2}">
      <x14:pivotTableDefinition xmlns:xm="http://schemas.microsoft.com/office/excel/2006/main" altText="Wildfire report sorted by stus then fire name." altTextSummary="Wildfire data is summarized from multiple agencies.  As large as defined by the National Wildland Coordinating Group, is any wildland fire in timber 100 acres or greater, and 300 acres or greater in grasslands/rangelands, or has an Incident Management Team assigned to it.  Staus of E/PL denotes a fire that is no longer tracked aas large but still has evacuations or resulted in property loss.  A contained fire is generally in full suppression, is no longer tracked as large, is not a threat to structures, and has no evacuation warnings." hideValuesRow="1"/>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0DD807A-A862-468A-B4F0-065C766B2EEA}" name="Fire total by status" cacheId="119" applyNumberFormats="0" applyBorderFormats="0" applyFontFormats="0" applyPatternFormats="0" applyAlignmentFormats="0" applyWidthHeightFormats="1" dataCaption="Values" updatedVersion="8" minRefreshableVersion="3" itemPrintTitles="1" createdVersion="8" indent="0" showHeaders="0" outline="1" outlineData="1" multipleFieldFilters="0">
  <location ref="A10:B14" firstHeaderRow="1" firstDataRow="1" firstDataCol="1"/>
  <pivotFields count="20">
    <pivotField showAll="0">
      <items count="9">
        <item h="1" x="0"/>
        <item h="1" x="1"/>
        <item h="1" x="2"/>
        <item h="1" x="3"/>
        <item h="1" x="4"/>
        <item h="1" x="5"/>
        <item x="6"/>
        <item h="1" x="7"/>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3"/>
        <item h="1" m="1" x="5"/>
        <item x="0"/>
        <item h="1" x="2"/>
        <item x="1"/>
        <item h="1" x="4"/>
        <item t="default"/>
      </items>
    </pivotField>
  </pivotFields>
  <rowFields count="1">
    <field x="19"/>
  </rowFields>
  <rowItems count="4">
    <i>
      <x/>
    </i>
    <i>
      <x v="2"/>
    </i>
    <i>
      <x v="4"/>
    </i>
    <i t="grand">
      <x/>
    </i>
  </rowItems>
  <colItems count="1">
    <i/>
  </colItems>
  <dataFields count="1">
    <dataField name="# of Fires" fld="1" subtotal="count" baseField="15" baseItem="0"/>
  </dataFields>
  <formats count="23">
    <format dxfId="467">
      <pivotArea outline="0" collapsedLevelsAreSubtotals="1" fieldPosition="0"/>
    </format>
    <format dxfId="466">
      <pivotArea dataOnly="0" labelOnly="1" fieldPosition="0">
        <references count="1">
          <reference field="19" count="0"/>
        </references>
      </pivotArea>
    </format>
    <format dxfId="465">
      <pivotArea collapsedLevelsAreSubtotals="1" fieldPosition="0">
        <references count="1">
          <reference field="19" count="0"/>
        </references>
      </pivotArea>
    </format>
    <format dxfId="464">
      <pivotArea dataOnly="0" labelOnly="1" fieldPosition="0">
        <references count="1">
          <reference field="19" count="0"/>
        </references>
      </pivotArea>
    </format>
    <format dxfId="463">
      <pivotArea collapsedLevelsAreSubtotals="1" fieldPosition="0">
        <references count="1">
          <reference field="19" count="1">
            <x v="0"/>
          </reference>
        </references>
      </pivotArea>
    </format>
    <format dxfId="462">
      <pivotArea dataOnly="0" labelOnly="1" fieldPosition="0">
        <references count="1">
          <reference field="19" count="1">
            <x v="0"/>
          </reference>
        </references>
      </pivotArea>
    </format>
    <format dxfId="461">
      <pivotArea dataOnly="0" outline="0" axis="axisValues" fieldPosition="0"/>
    </format>
    <format dxfId="460">
      <pivotArea outline="0" collapsedLevelsAreSubtotals="1" fieldPosition="0"/>
    </format>
    <format dxfId="459">
      <pivotArea dataOnly="0" labelOnly="1" outline="0" axis="axisValues" fieldPosition="0"/>
    </format>
    <format dxfId="458">
      <pivotArea collapsedLevelsAreSubtotals="1" fieldPosition="0">
        <references count="1">
          <reference field="19" count="0"/>
        </references>
      </pivotArea>
    </format>
    <format dxfId="457">
      <pivotArea dataOnly="0" labelOnly="1" fieldPosition="0">
        <references count="1">
          <reference field="19" count="0"/>
        </references>
      </pivotArea>
    </format>
    <format dxfId="456">
      <pivotArea collapsedLevelsAreSubtotals="1" fieldPosition="0">
        <references count="1">
          <reference field="19" count="1">
            <x v="0"/>
          </reference>
        </references>
      </pivotArea>
    </format>
    <format dxfId="455">
      <pivotArea dataOnly="0" labelOnly="1" fieldPosition="0">
        <references count="1">
          <reference field="19" count="1">
            <x v="0"/>
          </reference>
        </references>
      </pivotArea>
    </format>
    <format dxfId="454">
      <pivotArea type="all" dataOnly="0" outline="0" fieldPosition="0"/>
    </format>
    <format dxfId="453">
      <pivotArea outline="0" collapsedLevelsAreSubtotals="1" fieldPosition="0"/>
    </format>
    <format dxfId="452">
      <pivotArea dataOnly="0" labelOnly="1" fieldPosition="0">
        <references count="1">
          <reference field="19" count="0"/>
        </references>
      </pivotArea>
    </format>
    <format dxfId="451">
      <pivotArea dataOnly="0" labelOnly="1" grandRow="1" outline="0" fieldPosition="0"/>
    </format>
    <format dxfId="450">
      <pivotArea dataOnly="0" labelOnly="1" outline="0" axis="axisValues" fieldPosition="0"/>
    </format>
    <format dxfId="449">
      <pivotArea type="all" dataOnly="0" outline="0" fieldPosition="0"/>
    </format>
    <format dxfId="448">
      <pivotArea outline="0" collapsedLevelsAreSubtotals="1" fieldPosition="0"/>
    </format>
    <format dxfId="447">
      <pivotArea dataOnly="0" labelOnly="1" fieldPosition="0">
        <references count="1">
          <reference field="19" count="1">
            <x v="2"/>
          </reference>
        </references>
      </pivotArea>
    </format>
    <format dxfId="446">
      <pivotArea dataOnly="0" labelOnly="1" grandRow="1" outline="0" fieldPosition="0"/>
    </format>
    <format dxfId="445">
      <pivotArea dataOnly="0" labelOnly="1" outline="0" axis="axisValues" fieldPosition="0"/>
    </format>
  </formats>
  <pivotTableStyleInfo name="PivotStyleMedium1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3F1BEA4-D9C3-432F-A9FE-E06BA632C309}" name="Report-county, fire" cacheId="119" applyNumberFormats="0" applyBorderFormats="0" applyFontFormats="0" applyPatternFormats="0" applyAlignmentFormats="0" applyWidthHeightFormats="1" dataCaption="VALUES" updatedVersion="8" minRefreshableVersion="3" colGrandTotals="0" itemPrintTitles="1" createdVersion="8" indent="0" compact="0" compactData="0" gridDropZones="1" multipleFieldFilters="0" chartFormat="6" rowHeaderCaption="Fire Details">
  <location ref="A3:O105" firstHeaderRow="1" firstDataRow="2" firstDataCol="5"/>
  <pivotFields count="20">
    <pivotField compact="0" outline="0" subtotalTop="0" multipleItemSelectionAllowed="1" showAll="0">
      <items count="9">
        <item h="1" x="0"/>
        <item h="1" x="1"/>
        <item h="1" x="2"/>
        <item h="1" x="3"/>
        <item h="1" x="4"/>
        <item h="1" x="5"/>
        <item x="6"/>
        <item h="1" x="7"/>
        <item t="default"/>
      </items>
    </pivotField>
    <pivotField axis="axisRow" compact="0" outline="0" subtotalTop="0" showAll="0" sortType="ascending" defaultSubtotal="0">
      <items count="386">
        <item x="240"/>
        <item x="184"/>
        <item x="293"/>
        <item x="241"/>
        <item x="242"/>
        <item m="1" x="360"/>
        <item x="243"/>
        <item m="1" x="310"/>
        <item m="1" x="312"/>
        <item m="1" x="313"/>
        <item m="1" x="315"/>
        <item m="1" x="316"/>
        <item m="1" x="328"/>
        <item m="1" x="317"/>
        <item m="1" x="329"/>
        <item m="1" x="348"/>
        <item m="1" x="318"/>
        <item m="1" x="309"/>
        <item m="1" x="319"/>
        <item m="1" x="320"/>
        <item m="1" x="321"/>
        <item x="244"/>
        <item x="245"/>
        <item x="246"/>
        <item x="247"/>
        <item m="1" x="305"/>
        <item m="1" x="306"/>
        <item x="248"/>
        <item x="249"/>
        <item x="250"/>
        <item x="251"/>
        <item x="252"/>
        <item m="1" x="378"/>
        <item m="1" x="377"/>
        <item x="253"/>
        <item x="84"/>
        <item x="254"/>
        <item x="78"/>
        <item x="255"/>
        <item m="1" x="330"/>
        <item x="186"/>
        <item x="13"/>
        <item m="1" x="302"/>
        <item x="256"/>
        <item x="95"/>
        <item x="5"/>
        <item x="215"/>
        <item x="101"/>
        <item x="103"/>
        <item x="257"/>
        <item x="12"/>
        <item m="1" x="374"/>
        <item x="104"/>
        <item x="258"/>
        <item x="1"/>
        <item x="87"/>
        <item x="18"/>
        <item x="259"/>
        <item x="124"/>
        <item x="125"/>
        <item x="260"/>
        <item x="40"/>
        <item x="99"/>
        <item x="126"/>
        <item x="41"/>
        <item x="189"/>
        <item x="209"/>
        <item x="231"/>
        <item x="261"/>
        <item x="208"/>
        <item m="1" x="311"/>
        <item x="262"/>
        <item x="263"/>
        <item x="42"/>
        <item x="43"/>
        <item x="127"/>
        <item x="128"/>
        <item x="129"/>
        <item x="130"/>
        <item m="1" x="324"/>
        <item x="6"/>
        <item x="264"/>
        <item x="230"/>
        <item x="77"/>
        <item x="105"/>
        <item x="34"/>
        <item x="44"/>
        <item x="265"/>
        <item x="223"/>
        <item x="179"/>
        <item x="266"/>
        <item x="131"/>
        <item x="267"/>
        <item m="1" x="331"/>
        <item x="132"/>
        <item x="268"/>
        <item x="106"/>
        <item m="1" x="303"/>
        <item x="81"/>
        <item x="45"/>
        <item x="133"/>
        <item m="1" x="314"/>
        <item x="191"/>
        <item x="46"/>
        <item x="269"/>
        <item x="234"/>
        <item x="107"/>
        <item x="47"/>
        <item x="98"/>
        <item x="48"/>
        <item x="270"/>
        <item x="134"/>
        <item m="1" x="332"/>
        <item x="271"/>
        <item x="108"/>
        <item m="1" x="304"/>
        <item x="202"/>
        <item m="1" x="333"/>
        <item x="203"/>
        <item x="14"/>
        <item x="109"/>
        <item m="1" x="350"/>
        <item m="1" x="334"/>
        <item x="272"/>
        <item x="226"/>
        <item x="49"/>
        <item x="51"/>
        <item x="206"/>
        <item m="1" x="355"/>
        <item m="1" x="335"/>
        <item x="235"/>
        <item x="135"/>
        <item x="110"/>
        <item x="50"/>
        <item x="136"/>
        <item x="52"/>
        <item x="111"/>
        <item x="73"/>
        <item x="137"/>
        <item x="16"/>
        <item x="32"/>
        <item x="217"/>
        <item x="138"/>
        <item x="112"/>
        <item x="273"/>
        <item m="1" x="384"/>
        <item x="10"/>
        <item x="15"/>
        <item x="274"/>
        <item x="53"/>
        <item x="196"/>
        <item x="113"/>
        <item x="221"/>
        <item x="180"/>
        <item m="1" x="336"/>
        <item x="114"/>
        <item x="185"/>
        <item x="29"/>
        <item x="115"/>
        <item x="220"/>
        <item x="139"/>
        <item x="76"/>
        <item x="237"/>
        <item x="140"/>
        <item x="275"/>
        <item x="26"/>
        <item x="276"/>
        <item x="54"/>
        <item x="141"/>
        <item x="142"/>
        <item x="88"/>
        <item x="55"/>
        <item x="143"/>
        <item x="210"/>
        <item x="11"/>
        <item x="38"/>
        <item x="193"/>
        <item x="27"/>
        <item x="190"/>
        <item x="90"/>
        <item x="205"/>
        <item x="277"/>
        <item x="86"/>
        <item x="56"/>
        <item x="278"/>
        <item x="279"/>
        <item x="36"/>
        <item m="1" x="354"/>
        <item m="1" x="337"/>
        <item x="200"/>
        <item x="204"/>
        <item x="280"/>
        <item m="1" x="356"/>
        <item m="1" x="338"/>
        <item x="144"/>
        <item x="2"/>
        <item x="102"/>
        <item x="218"/>
        <item x="281"/>
        <item m="1" x="339"/>
        <item x="35"/>
        <item x="96"/>
        <item x="282"/>
        <item x="57"/>
        <item x="3"/>
        <item x="283"/>
        <item x="71"/>
        <item x="145"/>
        <item x="284"/>
        <item x="146"/>
        <item m="1" x="368"/>
        <item m="1" x="370"/>
        <item x="147"/>
        <item x="89"/>
        <item x="58"/>
        <item x="224"/>
        <item x="93"/>
        <item x="233"/>
        <item x="33"/>
        <item x="239"/>
        <item x="116"/>
        <item x="214"/>
        <item x="148"/>
        <item x="117"/>
        <item m="1" x="365"/>
        <item m="1" x="366"/>
        <item m="1" x="369"/>
        <item m="1" x="367"/>
        <item x="17"/>
        <item x="59"/>
        <item x="0"/>
        <item x="211"/>
        <item x="149"/>
        <item x="60"/>
        <item x="118"/>
        <item x="197"/>
        <item x="100"/>
        <item x="212"/>
        <item x="285"/>
        <item x="286"/>
        <item x="287"/>
        <item x="227"/>
        <item x="229"/>
        <item x="61"/>
        <item x="236"/>
        <item x="222"/>
        <item x="238"/>
        <item x="62"/>
        <item x="150"/>
        <item x="151"/>
        <item x="152"/>
        <item m="1" x="322"/>
        <item m="1" x="380"/>
        <item m="1" x="323"/>
        <item x="232"/>
        <item m="1" x="376"/>
        <item x="19"/>
        <item m="1" x="381"/>
        <item x="63"/>
        <item x="207"/>
        <item m="1" x="364"/>
        <item x="195"/>
        <item m="1" x="385"/>
        <item x="28"/>
        <item x="288"/>
        <item x="64"/>
        <item x="119"/>
        <item x="85"/>
        <item x="289"/>
        <item x="290"/>
        <item x="153"/>
        <item m="1" x="340"/>
        <item x="154"/>
        <item m="1" x="357"/>
        <item m="1" x="341"/>
        <item x="65"/>
        <item x="225"/>
        <item x="31"/>
        <item m="1" x="353"/>
        <item m="1" x="342"/>
        <item x="155"/>
        <item x="291"/>
        <item x="156"/>
        <item x="66"/>
        <item x="67"/>
        <item x="157"/>
        <item m="1" x="343"/>
        <item x="292"/>
        <item x="91"/>
        <item x="120"/>
        <item x="158"/>
        <item m="1" x="351"/>
        <item m="1" x="344"/>
        <item m="1" x="325"/>
        <item m="1" x="307"/>
        <item x="188"/>
        <item m="1" x="326"/>
        <item x="159"/>
        <item x="23"/>
        <item x="4"/>
        <item x="294"/>
        <item x="213"/>
        <item x="72"/>
        <item x="160"/>
        <item x="295"/>
        <item x="183"/>
        <item x="74"/>
        <item m="1" x="373"/>
        <item x="182"/>
        <item x="68"/>
        <item x="7"/>
        <item x="80"/>
        <item x="161"/>
        <item x="296"/>
        <item x="162"/>
        <item x="163"/>
        <item x="219"/>
        <item x="201"/>
        <item m="1" x="363"/>
        <item x="297"/>
        <item x="39"/>
        <item x="164"/>
        <item m="1" x="359"/>
        <item m="1" x="327"/>
        <item x="94"/>
        <item x="165"/>
        <item x="166"/>
        <item x="167"/>
        <item x="216"/>
        <item x="22"/>
        <item x="83"/>
        <item x="228"/>
        <item m="1" x="345"/>
        <item x="298"/>
        <item x="82"/>
        <item x="181"/>
        <item x="194"/>
        <item x="30"/>
        <item x="69"/>
        <item x="168"/>
        <item x="20"/>
        <item m="1" x="379"/>
        <item m="1" x="383"/>
        <item x="121"/>
        <item x="169"/>
        <item x="199"/>
        <item m="1" x="358"/>
        <item m="1" x="346"/>
        <item m="1" x="349"/>
        <item x="170"/>
        <item x="9"/>
        <item x="192"/>
        <item m="1" x="372"/>
        <item x="25"/>
        <item m="1" x="362"/>
        <item m="1" x="371"/>
        <item m="1" x="375"/>
        <item x="171"/>
        <item x="299"/>
        <item x="75"/>
        <item m="1" x="361"/>
        <item x="37"/>
        <item m="1" x="382"/>
        <item x="172"/>
        <item x="79"/>
        <item x="300"/>
        <item x="173"/>
        <item x="174"/>
        <item x="175"/>
        <item x="8"/>
        <item x="176"/>
        <item m="1" x="352"/>
        <item m="1" x="347"/>
        <item x="92"/>
        <item x="122"/>
        <item x="24"/>
        <item x="177"/>
        <item x="198"/>
        <item x="123"/>
        <item x="97"/>
        <item x="70"/>
        <item x="187"/>
        <item x="21"/>
        <item x="178"/>
        <item m="1" x="308"/>
        <item x="301"/>
      </items>
    </pivotField>
    <pivotField axis="axisRow" compact="0" outline="0" subtotalTop="0" showAll="0" sortType="descending">
      <items count="34">
        <item x="19"/>
        <item x="3"/>
        <item x="16"/>
        <item x="14"/>
        <item x="21"/>
        <item x="4"/>
        <item x="28"/>
        <item x="15"/>
        <item x="20"/>
        <item x="17"/>
        <item x="6"/>
        <item x="8"/>
        <item x="5"/>
        <item x="1"/>
        <item x="27"/>
        <item x="11"/>
        <item x="0"/>
        <item x="9"/>
        <item x="22"/>
        <item x="7"/>
        <item x="13"/>
        <item x="31"/>
        <item x="23"/>
        <item x="10"/>
        <item x="24"/>
        <item x="18"/>
        <item x="2"/>
        <item x="12"/>
        <item x="25"/>
        <item x="26"/>
        <item m="1" x="32"/>
        <item x="29"/>
        <item x="30"/>
        <item t="default"/>
      </items>
      <autoSortScope>
        <pivotArea dataOnly="0" outline="0" fieldPosition="0">
          <references count="1">
            <reference field="4294967294" count="1" selected="0">
              <x v="0"/>
            </reference>
          </references>
        </pivotArea>
      </autoSortScope>
    </pivotField>
    <pivotField dataField="1" compact="0" outline="0" subtotalTop="0" showAll="0"/>
    <pivotField axis="axisRow" compact="0" outline="0" subtotalTop="0" showAll="0" sortType="descending">
      <items count="97">
        <item m="1" x="34"/>
        <item x="19"/>
        <item m="1" x="95"/>
        <item m="1" x="94"/>
        <item m="1" x="82"/>
        <item m="1" x="55"/>
        <item m="1" x="76"/>
        <item sd="0" x="0"/>
        <item x="16"/>
        <item m="1" x="37"/>
        <item x="6"/>
        <item m="1" x="43"/>
        <item x="2"/>
        <item x="11"/>
        <item m="1" x="27"/>
        <item x="7"/>
        <item m="1" x="93"/>
        <item x="4"/>
        <item m="1" x="41"/>
        <item m="1" x="92"/>
        <item m="1" x="59"/>
        <item m="1" x="35"/>
        <item m="1" x="91"/>
        <item m="1" x="54"/>
        <item m="1" x="31"/>
        <item m="1" x="45"/>
        <item m="1" x="56"/>
        <item m="1" x="29"/>
        <item m="1" x="90"/>
        <item x="18"/>
        <item m="1" x="47"/>
        <item m="1" x="71"/>
        <item x="3"/>
        <item m="1" x="58"/>
        <item m="1" x="30"/>
        <item m="1" x="89"/>
        <item m="1" x="26"/>
        <item m="1" x="79"/>
        <item m="1" x="42"/>
        <item m="1" x="25"/>
        <item x="22"/>
        <item m="1" x="39"/>
        <item m="1" x="51"/>
        <item x="15"/>
        <item m="1" x="84"/>
        <item m="1" x="66"/>
        <item m="1" x="83"/>
        <item m="1" x="23"/>
        <item m="1" x="88"/>
        <item m="1" x="86"/>
        <item m="1" x="67"/>
        <item m="1" x="61"/>
        <item x="10"/>
        <item m="1" x="87"/>
        <item m="1" x="85"/>
        <item m="1" x="46"/>
        <item m="1" x="63"/>
        <item x="1"/>
        <item m="1" x="48"/>
        <item x="14"/>
        <item m="1" x="24"/>
        <item m="1" x="50"/>
        <item m="1" x="81"/>
        <item m="1" x="80"/>
        <item m="1" x="72"/>
        <item m="1" x="57"/>
        <item m="1" x="60"/>
        <item m="1" x="77"/>
        <item m="1" x="78"/>
        <item m="1" x="62"/>
        <item m="1" x="53"/>
        <item m="1" x="75"/>
        <item m="1" x="32"/>
        <item m="1" x="74"/>
        <item m="1" x="73"/>
        <item m="1" x="70"/>
        <item m="1" x="36"/>
        <item m="1" x="69"/>
        <item m="1" x="68"/>
        <item m="1" x="65"/>
        <item m="1" x="64"/>
        <item m="1" x="38"/>
        <item x="5"/>
        <item m="1" x="33"/>
        <item m="1" x="28"/>
        <item m="1" x="52"/>
        <item x="20"/>
        <item m="1" x="49"/>
        <item x="8"/>
        <item m="1" x="44"/>
        <item m="1" x="40"/>
        <item x="9"/>
        <item x="12"/>
        <item x="13"/>
        <item x="17"/>
        <item x="21"/>
        <item t="default"/>
      </items>
      <autoSortScope>
        <pivotArea dataOnly="0" outline="0" fieldPosition="0">
          <references count="1">
            <reference field="4294967294" count="1" selected="0">
              <x v="0"/>
            </reference>
          </references>
        </pivotArea>
      </autoSortScope>
    </pivotField>
    <pivotField axis="axisRow" compact="0" outline="0" subtotalTop="0" showAll="0" sortType="descending" defaultSubtotal="0">
      <items count="371">
        <item x="82"/>
        <item x="83"/>
        <item x="101"/>
        <item x="160"/>
        <item x="140"/>
        <item x="157"/>
        <item x="118"/>
        <item x="159"/>
        <item x="43"/>
        <item sd="0" x="0"/>
        <item x="137"/>
        <item x="108"/>
        <item x="121"/>
        <item x="111"/>
        <item m="1" x="368"/>
        <item x="134"/>
        <item x="124"/>
        <item x="129"/>
        <item x="146"/>
        <item x="100"/>
        <item x="112"/>
        <item x="143"/>
        <item x="148"/>
        <item sd="0" x="109"/>
        <item x="145"/>
        <item x="154"/>
        <item x="147"/>
        <item x="139"/>
        <item x="105"/>
        <item x="138"/>
        <item x="115"/>
        <item x="117"/>
        <item m="1" x="370"/>
        <item x="125"/>
        <item x="114"/>
        <item x="126"/>
        <item x="136"/>
        <item x="156"/>
        <item x="144"/>
        <item x="141"/>
        <item x="113"/>
        <item m="1" x="369"/>
        <item x="120"/>
        <item x="132"/>
        <item x="150"/>
        <item x="116"/>
        <item x="128"/>
        <item x="119"/>
        <item x="158"/>
        <item x="127"/>
        <item x="135"/>
        <item x="142"/>
        <item x="133"/>
        <item x="130"/>
        <item x="152"/>
        <item x="153"/>
        <item x="151"/>
        <item sd="0" x="106"/>
        <item x="110"/>
        <item x="149"/>
        <item x="131"/>
        <item sd="0" x="84"/>
        <item x="85"/>
        <item x="86"/>
        <item x="87"/>
        <item x="88"/>
        <item x="91"/>
        <item x="92"/>
        <item sd="0" x="93"/>
        <item x="94"/>
        <item x="95"/>
        <item x="96"/>
        <item x="97"/>
        <item x="98"/>
        <item x="99"/>
        <item sd="0" x="102"/>
        <item x="104"/>
        <item x="107"/>
        <item x="103"/>
        <item x="123"/>
        <item x="122"/>
        <item x="155"/>
        <item m="1" x="366"/>
        <item m="1" x="367"/>
        <item x="89"/>
        <item x="90"/>
        <item x="61"/>
        <item x="62"/>
        <item m="1" x="361"/>
        <item x="63"/>
        <item x="69"/>
        <item x="70"/>
        <item x="64"/>
        <item x="65"/>
        <item x="66"/>
        <item sd="0" x="67"/>
        <item x="68"/>
        <item x="37"/>
        <item x="42"/>
        <item x="39"/>
        <item x="52"/>
        <item x="56"/>
        <item x="47"/>
        <item x="58"/>
        <item x="35"/>
        <item x="44"/>
        <item x="45"/>
        <item x="48"/>
        <item x="55"/>
        <item x="46"/>
        <item x="41"/>
        <item x="40"/>
        <item x="49"/>
        <item x="1"/>
        <item x="2"/>
        <item x="3"/>
        <item x="4"/>
        <item x="5"/>
        <item x="6"/>
        <item x="7"/>
        <item x="8"/>
        <item x="9"/>
        <item x="50"/>
        <item x="59"/>
        <item x="10"/>
        <item x="11"/>
        <item x="12"/>
        <item x="13"/>
        <item x="57"/>
        <item x="15"/>
        <item x="16"/>
        <item x="18"/>
        <item x="19"/>
        <item x="60"/>
        <item x="20"/>
        <item x="21"/>
        <item x="22"/>
        <item x="51"/>
        <item x="23"/>
        <item x="24"/>
        <item x="25"/>
        <item x="26"/>
        <item x="27"/>
        <item x="28"/>
        <item x="29"/>
        <item x="38"/>
        <item x="53"/>
        <item x="30"/>
        <item x="36"/>
        <item x="31"/>
        <item x="32"/>
        <item x="54"/>
        <item x="33"/>
        <item x="34"/>
        <item m="1" x="362"/>
        <item m="1" x="363"/>
        <item x="17"/>
        <item m="1" x="364"/>
        <item m="1" x="365"/>
        <item x="71"/>
        <item x="72"/>
        <item x="73"/>
        <item x="74"/>
        <item x="75"/>
        <item x="76"/>
        <item x="77"/>
        <item x="78"/>
        <item x="79"/>
        <item x="80"/>
        <item x="81"/>
        <item x="14"/>
        <item x="161"/>
        <item m="1" x="360"/>
        <item x="162"/>
        <item m="1" x="359"/>
        <item m="1" x="354"/>
        <item x="164"/>
        <item m="1" x="357"/>
        <item m="1" x="355"/>
        <item m="1" x="358"/>
        <item x="167"/>
        <item x="165"/>
        <item m="1" x="356"/>
        <item x="168"/>
        <item x="163"/>
        <item x="166"/>
        <item m="1" x="353"/>
        <item m="1" x="352"/>
        <item x="169"/>
        <item m="1" x="351"/>
        <item x="170"/>
        <item x="171"/>
        <item m="1" x="348"/>
        <item m="1" x="349"/>
        <item m="1" x="350"/>
        <item x="175"/>
        <item m="1" x="347"/>
        <item x="172"/>
        <item x="173"/>
        <item x="174"/>
        <item x="176"/>
        <item m="1" x="346"/>
        <item x="185"/>
        <item x="177"/>
        <item x="179"/>
        <item m="1" x="345"/>
        <item m="1" x="344"/>
        <item m="1" x="341"/>
        <item m="1" x="343"/>
        <item m="1" x="340"/>
        <item m="1" x="339"/>
        <item m="1" x="342"/>
        <item m="1" x="329"/>
        <item x="178"/>
        <item m="1" x="328"/>
        <item x="184"/>
        <item x="180"/>
        <item m="1" x="330"/>
        <item x="181"/>
        <item m="1" x="331"/>
        <item m="1" x="332"/>
        <item m="1" x="333"/>
        <item m="1" x="334"/>
        <item m="1" x="335"/>
        <item m="1" x="336"/>
        <item m="1" x="337"/>
        <item m="1" x="338"/>
        <item x="193"/>
        <item x="194"/>
        <item x="195"/>
        <item x="196"/>
        <item x="197"/>
        <item x="182"/>
        <item x="183"/>
        <item x="186"/>
        <item x="187"/>
        <item x="188"/>
        <item x="189"/>
        <item x="190"/>
        <item x="191"/>
        <item x="192"/>
        <item x="198"/>
        <item x="199"/>
        <item x="200"/>
        <item x="201"/>
        <item x="202"/>
        <item x="203"/>
        <item x="204"/>
        <item x="205"/>
        <item m="1" x="327"/>
        <item x="206"/>
        <item m="1" x="326"/>
        <item x="208"/>
        <item x="207"/>
        <item x="209"/>
        <item m="1" x="325"/>
        <item x="211"/>
        <item x="210"/>
        <item m="1" x="319"/>
        <item m="1" x="320"/>
        <item m="1" x="321"/>
        <item m="1" x="324"/>
        <item x="215"/>
        <item m="1" x="322"/>
        <item x="217"/>
        <item x="218"/>
        <item x="219"/>
        <item m="1" x="318"/>
        <item m="1" x="323"/>
        <item x="221"/>
        <item x="222"/>
        <item x="220"/>
        <item x="212"/>
        <item x="213"/>
        <item x="214"/>
        <item x="216"/>
        <item x="223"/>
        <item x="224"/>
        <item x="225"/>
        <item m="1" x="288"/>
        <item x="276"/>
        <item m="1" x="317"/>
        <item x="273"/>
        <item m="1" x="316"/>
        <item x="263"/>
        <item m="1" x="315"/>
        <item x="246"/>
        <item x="226"/>
        <item x="275"/>
        <item m="1" x="290"/>
        <item m="1" x="314"/>
        <item x="259"/>
        <item x="252"/>
        <item m="1" x="308"/>
        <item m="1" x="313"/>
        <item m="1" x="312"/>
        <item x="270"/>
        <item m="1" x="309"/>
        <item x="227"/>
        <item x="251"/>
        <item m="1" x="311"/>
        <item x="271"/>
        <item x="228"/>
        <item m="1" x="310"/>
        <item x="229"/>
        <item x="264"/>
        <item x="280"/>
        <item x="272"/>
        <item m="1" x="307"/>
        <item x="241"/>
        <item m="1" x="300"/>
        <item x="256"/>
        <item m="1" x="302"/>
        <item m="1" x="293"/>
        <item m="1" x="291"/>
        <item m="1" x="287"/>
        <item x="277"/>
        <item m="1" x="292"/>
        <item m="1" x="304"/>
        <item m="1" x="299"/>
        <item m="1" x="289"/>
        <item m="1" x="295"/>
        <item x="230"/>
        <item x="249"/>
        <item m="1" x="286"/>
        <item x="233"/>
        <item x="232"/>
        <item m="1" x="296"/>
        <item m="1" x="294"/>
        <item m="1" x="285"/>
        <item m="1" x="303"/>
        <item x="257"/>
        <item m="1" x="305"/>
        <item m="1" x="284"/>
        <item m="1" x="297"/>
        <item m="1" x="301"/>
        <item m="1" x="306"/>
        <item m="1" x="283"/>
        <item m="1" x="281"/>
        <item x="238"/>
        <item x="248"/>
        <item m="1" x="298"/>
        <item x="250"/>
        <item x="260"/>
        <item x="266"/>
        <item x="268"/>
        <item x="262"/>
        <item x="240"/>
        <item x="269"/>
        <item x="231"/>
        <item x="265"/>
        <item x="274"/>
        <item x="254"/>
        <item m="1" x="282"/>
        <item x="234"/>
        <item x="236"/>
        <item x="237"/>
        <item x="244"/>
        <item x="245"/>
        <item x="255"/>
        <item x="279"/>
        <item x="235"/>
        <item x="239"/>
        <item x="242"/>
        <item x="243"/>
        <item x="247"/>
        <item x="253"/>
        <item x="258"/>
        <item x="261"/>
        <item x="267"/>
        <item x="278"/>
      </items>
      <autoSortScope>
        <pivotArea dataOnly="0" outline="0" fieldPosition="0">
          <references count="1">
            <reference field="4294967294" count="1" selected="0">
              <x v="0"/>
            </reference>
          </references>
        </pivotArea>
      </autoSortScope>
    </pivotField>
    <pivotField dataField="1" compact="0" outline="0" subtotalTop="0" showAll="0"/>
    <pivotField dataField="1" compact="0" outline="0" subtotalTop="0" showAll="0"/>
    <pivotField dataField="1" compact="0" outline="0" subtotalTop="0" showAll="0"/>
    <pivotField dataField="1" compact="0" outline="0" subtotalTop="0" showAll="0"/>
    <pivotField dataField="1" compact="0" outline="0" subtotalTop="0" showAll="0"/>
    <pivotField dataField="1" compact="0" outline="0" subtotalTop="0" showAll="0"/>
    <pivotField dataField="1" compact="0" outline="0" subtotalTop="0" showAll="0"/>
    <pivotField dataField="1" compact="0" outline="0" subtotalTop="0" showAll="0"/>
    <pivotField dataField="1" compact="0" outline="0" subtotalTop="0" showAll="0"/>
    <pivotField compact="0" outline="0" subtotalTop="0" showAll="0"/>
    <pivotField compact="0" outline="0" subtotalTop="0" showAll="0"/>
    <pivotField compact="0" outline="0" subtotalTop="0" showAll="0"/>
    <pivotField compact="0" outline="0" subtotalTop="0" showAll="0"/>
    <pivotField axis="axisRow" compact="0" outline="0" subtotalTop="0" multipleItemSelectionAllowed="1" showAll="0">
      <items count="7">
        <item x="3"/>
        <item m="1" x="5"/>
        <item x="0"/>
        <item h="1" x="2"/>
        <item x="1"/>
        <item h="1" x="4"/>
        <item t="default"/>
      </items>
    </pivotField>
  </pivotFields>
  <rowFields count="5">
    <field x="2"/>
    <field x="19"/>
    <field x="1"/>
    <field x="5"/>
    <field x="4"/>
  </rowFields>
  <rowItems count="101">
    <i>
      <x v="15"/>
      <x/>
      <x v="60"/>
      <x v="358"/>
      <x v="15"/>
    </i>
    <i r="2">
      <x v="184"/>
      <x v="368"/>
      <x v="88"/>
    </i>
    <i t="default" r="1">
      <x/>
    </i>
    <i r="1">
      <x v="2"/>
      <x v="38"/>
      <x v="347"/>
      <x v="7"/>
    </i>
    <i r="2">
      <x v="90"/>
      <x v="299"/>
      <x v="7"/>
    </i>
    <i r="2">
      <x v="113"/>
      <x v="352"/>
      <x v="7"/>
    </i>
    <i r="2">
      <x v="123"/>
      <x v="359"/>
      <x v="92"/>
    </i>
    <i r="2">
      <x v="240"/>
      <x v="296"/>
      <x v="7"/>
    </i>
    <i r="2">
      <x v="365"/>
      <x v="306"/>
      <x v="7"/>
    </i>
    <i t="default" r="1">
      <x v="2"/>
    </i>
    <i t="default">
      <x v="15"/>
    </i>
    <i>
      <x v="8"/>
      <x/>
      <x v="31"/>
      <x v="356"/>
      <x v="10"/>
    </i>
    <i r="2">
      <x v="49"/>
      <x v="363"/>
      <x v="59"/>
    </i>
    <i r="2">
      <x v="104"/>
      <x v="366"/>
      <x v="13"/>
    </i>
    <i r="2">
      <x v="148"/>
      <x v="331"/>
      <x v="10"/>
    </i>
    <i r="2">
      <x v="208"/>
      <x v="369"/>
      <x v="1"/>
    </i>
    <i r="2">
      <x v="319"/>
      <x v="370"/>
      <x v="15"/>
    </i>
    <i r="2">
      <x v="333"/>
      <x v="360"/>
      <x v="10"/>
    </i>
    <i t="default" r="1">
      <x/>
    </i>
    <i r="1">
      <x v="2"/>
      <x v="198"/>
      <x v="305"/>
      <x v="7"/>
    </i>
    <i t="default" r="1">
      <x v="2"/>
    </i>
    <i t="default">
      <x v="8"/>
    </i>
    <i>
      <x v="20"/>
      <x/>
      <x v="29"/>
      <x v="355"/>
      <x v="13"/>
    </i>
    <i r="2">
      <x v="304"/>
      <x v="316"/>
      <x v="40"/>
    </i>
    <i t="default" r="1">
      <x/>
    </i>
    <i t="default">
      <x v="20"/>
    </i>
    <i>
      <x v="6"/>
      <x/>
      <x v="185"/>
      <x v="346"/>
      <x v="29"/>
    </i>
    <i t="default" r="1">
      <x/>
    </i>
    <i r="1">
      <x v="2"/>
      <x v="2"/>
      <x v="288"/>
      <x v="7"/>
    </i>
    <i r="2">
      <x v="3"/>
      <x v="298"/>
      <x v="7"/>
    </i>
    <i r="2">
      <x v="34"/>
      <x v="339"/>
      <x v="92"/>
    </i>
    <i t="default" r="1">
      <x v="2"/>
    </i>
    <i t="default">
      <x v="6"/>
    </i>
    <i>
      <x v="23"/>
      <x/>
      <x v="21"/>
      <x v="322"/>
      <x v="15"/>
    </i>
    <i r="2">
      <x v="27"/>
      <x v="354"/>
      <x v="52"/>
    </i>
    <i r="2">
      <x v="53"/>
      <x v="364"/>
      <x v="13"/>
    </i>
    <i r="2">
      <x v="57"/>
      <x v="357"/>
      <x v="13"/>
    </i>
    <i r="2">
      <x v="81"/>
      <x v="323"/>
      <x v="15"/>
    </i>
    <i r="2">
      <x v="87"/>
      <x v="342"/>
      <x v="13"/>
    </i>
    <i t="default" r="1">
      <x/>
    </i>
    <i t="default">
      <x v="23"/>
    </i>
    <i>
      <x v="3"/>
      <x/>
      <x v="23"/>
      <x v="326"/>
      <x v="88"/>
    </i>
    <i r="2">
      <x v="24"/>
      <x v="325"/>
      <x v="91"/>
    </i>
    <i r="2">
      <x v="30"/>
      <x v="198"/>
      <x v="13"/>
    </i>
    <i t="default" r="1">
      <x/>
    </i>
    <i r="1">
      <x v="2"/>
      <x v="22"/>
      <x v="349"/>
      <x v="7"/>
    </i>
    <i t="default" r="1">
      <x v="2"/>
    </i>
    <i t="default">
      <x v="3"/>
    </i>
    <i>
      <x v="17"/>
      <x/>
      <x v="181"/>
      <x v="343"/>
      <x v="13"/>
    </i>
    <i r="2">
      <x v="202"/>
      <x v="350"/>
      <x v="29"/>
    </i>
    <i r="2">
      <x v="264"/>
      <x v="301"/>
      <x v="86"/>
    </i>
    <i t="default" r="1">
      <x/>
    </i>
    <i r="1">
      <x v="2"/>
      <x v="92"/>
      <x v="292"/>
      <x v="7"/>
    </i>
    <i r="2">
      <x v="268"/>
      <x v="292"/>
      <x v="7"/>
    </i>
    <i t="default" r="1">
      <x v="2"/>
    </i>
    <i r="1">
      <x v="4"/>
      <x v="239"/>
      <x v="348"/>
      <x v="7"/>
    </i>
    <i t="default" r="1">
      <x v="4"/>
    </i>
    <i t="default">
      <x v="17"/>
    </i>
    <i>
      <x v="7"/>
      <x/>
      <x v="72"/>
      <x v="340"/>
      <x v="43"/>
    </i>
    <i r="2">
      <x v="164"/>
      <x v="367"/>
      <x v="13"/>
    </i>
    <i r="2">
      <x v="269"/>
      <x v="307"/>
      <x v="29"/>
    </i>
    <i r="2">
      <x v="313"/>
      <x v="307"/>
      <x v="29"/>
    </i>
    <i t="default" r="1">
      <x/>
    </i>
    <i t="default">
      <x v="7"/>
    </i>
    <i>
      <x/>
      <x/>
      <x v="43"/>
      <x v="309"/>
      <x v="93"/>
    </i>
    <i r="2">
      <x v="71"/>
      <x v="365"/>
      <x v="13"/>
    </i>
    <i r="2">
      <x v="287"/>
      <x v="351"/>
      <x v="95"/>
    </i>
    <i t="default" r="1">
      <x/>
    </i>
    <i r="1">
      <x v="2"/>
      <x v="166"/>
      <x v="291"/>
      <x v="7"/>
    </i>
    <i t="default" r="1">
      <x v="2"/>
    </i>
    <i t="default">
      <x/>
    </i>
    <i>
      <x v="5"/>
      <x/>
      <x v="95"/>
      <x v="8"/>
      <x v="13"/>
    </i>
    <i r="2">
      <x v="172"/>
      <x v="8"/>
      <x v="13"/>
    </i>
    <i t="default" r="1">
      <x/>
    </i>
    <i t="default">
      <x v="5"/>
    </i>
    <i>
      <x v="10"/>
      <x/>
      <x v="144"/>
      <x v="311"/>
      <x v="94"/>
    </i>
    <i t="default" r="1">
      <x/>
    </i>
    <i r="1">
      <x v="2"/>
      <x v="68"/>
      <x v="286"/>
      <x v="7"/>
    </i>
    <i r="2">
      <x v="191"/>
      <x v="284"/>
      <x v="7"/>
    </i>
    <i r="2">
      <x v="358"/>
      <x v="284"/>
      <x v="7"/>
    </i>
    <i t="default" r="1">
      <x v="2"/>
    </i>
    <i t="default">
      <x v="10"/>
    </i>
    <i>
      <x v="19"/>
      <x/>
      <x v="28"/>
      <x v="361"/>
      <x v="13"/>
    </i>
    <i r="2">
      <x v="36"/>
      <x v="362"/>
      <x v="13"/>
    </i>
    <i t="default" r="1">
      <x/>
    </i>
    <i r="1">
      <x v="2"/>
      <x/>
      <x v="287"/>
      <x v="7"/>
    </i>
    <i r="2">
      <x v="4"/>
      <x v="302"/>
      <x v="7"/>
    </i>
    <i t="default" r="1">
      <x v="2"/>
    </i>
    <i t="default">
      <x v="19"/>
    </i>
    <i>
      <x v="4"/>
      <x v="2"/>
      <x v="6"/>
      <x v="304"/>
      <x v="7"/>
    </i>
    <i r="2">
      <x v="281"/>
      <x v="282"/>
      <x v="7"/>
    </i>
    <i r="2">
      <x v="300"/>
      <x v="280"/>
      <x v="7"/>
    </i>
    <i t="default" r="1">
      <x v="2"/>
    </i>
    <i t="default">
      <x v="4"/>
    </i>
    <i>
      <x v="18"/>
      <x/>
      <x v="205"/>
      <x v="344"/>
      <x v="13"/>
    </i>
    <i t="default" r="1">
      <x/>
    </i>
    <i t="default">
      <x v="18"/>
    </i>
    <i>
      <x v="11"/>
      <x v="2"/>
      <x v="238"/>
      <x v="345"/>
      <x v="7"/>
    </i>
    <i t="default" r="1">
      <x v="2"/>
    </i>
    <i t="default">
      <x v="11"/>
    </i>
    <i t="grand">
      <x/>
    </i>
  </rowItems>
  <colFields count="1">
    <field x="-2"/>
  </colFields>
  <colItems count="10">
    <i>
      <x/>
    </i>
    <i i="1">
      <x v="1"/>
    </i>
    <i i="2">
      <x v="2"/>
    </i>
    <i i="3">
      <x v="3"/>
    </i>
    <i i="4">
      <x v="4"/>
    </i>
    <i i="5">
      <x v="5"/>
    </i>
    <i i="6">
      <x v="6"/>
    </i>
    <i i="7">
      <x v="7"/>
    </i>
    <i i="8">
      <x v="8"/>
    </i>
    <i i="9">
      <x v="9"/>
    </i>
  </colItems>
  <dataFields count="10">
    <dataField name="Acres" fld="3" baseField="4" baseItem="61" numFmtId="3"/>
    <dataField name="Lev1" fld="6" baseField="0" baseItem="0"/>
    <dataField name="Lev2" fld="7" baseField="0" baseItem="0"/>
    <dataField name="Lev3" fld="8" baseField="0" baseItem="0"/>
    <dataField name="Res-Thr" fld="9" baseField="0" baseItem="0"/>
    <dataField name="Comm-Thr" fld="10" baseField="0" baseItem="0"/>
    <dataField name="Other-Thr" fld="11" baseField="0" baseItem="0"/>
    <dataField name="Res-DSTY" fld="12" baseField="0" baseItem="0"/>
    <dataField name="Comm-DSTY" fld="13" baseField="0" baseItem="0"/>
    <dataField name="Other-DSTY" fld="14" baseField="0" baseItem="0"/>
  </dataFields>
  <formats count="26">
    <format dxfId="357">
      <pivotArea dataOnly="0" labelOnly="1" outline="0" fieldPosition="0">
        <references count="1">
          <reference field="4294967294" count="6">
            <x v="4"/>
            <x v="5"/>
            <x v="6"/>
            <x v="7"/>
            <x v="8"/>
            <x v="9"/>
          </reference>
        </references>
      </pivotArea>
    </format>
    <format dxfId="356">
      <pivotArea outline="0" collapsedLevelsAreSubtotals="1" fieldPosition="0">
        <references count="1">
          <reference field="4294967294" count="9" selected="0">
            <x v="1"/>
            <x v="2"/>
            <x v="3"/>
            <x v="4"/>
            <x v="5"/>
            <x v="6"/>
            <x v="7"/>
            <x v="8"/>
            <x v="9"/>
          </reference>
        </references>
      </pivotArea>
    </format>
    <format dxfId="355">
      <pivotArea dataOnly="0" labelOnly="1" outline="0" fieldPosition="0">
        <references count="1">
          <reference field="4294967294" count="1">
            <x v="0"/>
          </reference>
        </references>
      </pivotArea>
    </format>
    <format dxfId="354">
      <pivotArea type="topRight" dataOnly="0" labelOnly="1" outline="0" offset="B1" fieldPosition="0"/>
    </format>
    <format dxfId="353">
      <pivotArea dataOnly="0" labelOnly="1" outline="0" fieldPosition="0">
        <references count="1">
          <reference field="4294967294" count="1">
            <x v="1"/>
          </reference>
        </references>
      </pivotArea>
    </format>
    <format dxfId="352">
      <pivotArea type="topRight" dataOnly="0" labelOnly="1" outline="0" offset="C1" fieldPosition="0"/>
    </format>
    <format dxfId="351">
      <pivotArea dataOnly="0" labelOnly="1" outline="0" fieldPosition="0">
        <references count="1">
          <reference field="4294967294" count="1">
            <x v="2"/>
          </reference>
        </references>
      </pivotArea>
    </format>
    <format dxfId="350">
      <pivotArea dataOnly="0" labelOnly="1" outline="0" fieldPosition="0">
        <references count="1">
          <reference field="4294967294" count="1">
            <x v="1"/>
          </reference>
        </references>
      </pivotArea>
    </format>
    <format dxfId="349">
      <pivotArea dataOnly="0" labelOnly="1" outline="0" fieldPosition="0">
        <references count="1">
          <reference field="4294967294" count="1">
            <x v="2"/>
          </reference>
        </references>
      </pivotArea>
    </format>
    <format dxfId="348">
      <pivotArea type="topRight" dataOnly="0" labelOnly="1" outline="0" offset="D1" fieldPosition="0"/>
    </format>
    <format dxfId="347">
      <pivotArea dataOnly="0" labelOnly="1" outline="0" fieldPosition="0">
        <references count="1">
          <reference field="4294967294" count="1">
            <x v="3"/>
          </reference>
        </references>
      </pivotArea>
    </format>
    <format dxfId="346">
      <pivotArea dataOnly="0" labelOnly="1" outline="0" fieldPosition="0">
        <references count="1">
          <reference field="4294967294" count="3">
            <x v="1"/>
            <x v="2"/>
            <x v="3"/>
          </reference>
        </references>
      </pivotArea>
    </format>
    <format dxfId="345">
      <pivotArea type="topRight" dataOnly="0" labelOnly="1" outline="0" offset="E1:G1" fieldPosition="0"/>
    </format>
    <format dxfId="344">
      <pivotArea dataOnly="0" labelOnly="1" outline="0" fieldPosition="0">
        <references count="1">
          <reference field="4294967294" count="3">
            <x v="4"/>
            <x v="5"/>
            <x v="6"/>
          </reference>
        </references>
      </pivotArea>
    </format>
    <format dxfId="343">
      <pivotArea type="topRight" dataOnly="0" labelOnly="1" outline="0" offset="H1:J1" fieldPosition="0"/>
    </format>
    <format dxfId="342">
      <pivotArea dataOnly="0" labelOnly="1" outline="0" fieldPosition="0">
        <references count="1">
          <reference field="4294967294" count="3">
            <x v="7"/>
            <x v="8"/>
            <x v="9"/>
          </reference>
        </references>
      </pivotArea>
    </format>
    <format dxfId="341">
      <pivotArea dataOnly="0" outline="0" fieldPosition="0">
        <references count="1">
          <reference field="4294967294" count="9">
            <x v="1"/>
            <x v="2"/>
            <x v="3"/>
            <x v="4"/>
            <x v="5"/>
            <x v="6"/>
            <x v="7"/>
            <x v="8"/>
            <x v="9"/>
          </reference>
        </references>
      </pivotArea>
    </format>
    <format dxfId="340">
      <pivotArea dataOnly="0" labelOnly="1" outline="0" fieldPosition="0">
        <references count="1">
          <reference field="4294967294" count="6">
            <x v="4"/>
            <x v="5"/>
            <x v="6"/>
            <x v="7"/>
            <x v="8"/>
            <x v="9"/>
          </reference>
        </references>
      </pivotArea>
    </format>
    <format dxfId="339">
      <pivotArea type="topRight" dataOnly="0" labelOnly="1" outline="0" offset="A1" fieldPosition="0"/>
    </format>
    <format dxfId="338">
      <pivotArea type="topRight" dataOnly="0" labelOnly="1" outline="0" offset="B1" fieldPosition="0"/>
    </format>
    <format dxfId="337">
      <pivotArea type="topRight" dataOnly="0" labelOnly="1" outline="0" offset="C1" fieldPosition="0"/>
    </format>
    <format dxfId="336">
      <pivotArea type="topRight" dataOnly="0" labelOnly="1" outline="0" offset="D1" fieldPosition="0"/>
    </format>
    <format dxfId="335">
      <pivotArea type="topRight" dataOnly="0" labelOnly="1" outline="0" offset="G1" fieldPosition="0"/>
    </format>
    <format dxfId="334">
      <pivotArea field="4" type="button" dataOnly="0" labelOnly="1" outline="0" axis="axisRow" fieldPosition="4"/>
    </format>
    <format dxfId="333">
      <pivotArea dataOnly="0" labelOnly="1" outline="0" fieldPosition="0">
        <references count="1">
          <reference field="4" count="0"/>
        </references>
      </pivotArea>
    </format>
    <format dxfId="332">
      <pivotArea field="-2" type="button" dataOnly="0" labelOnly="1" outline="0" axis="axisCol" fieldPosition="0"/>
    </format>
  </formats>
  <pivotTableStyleInfo name="PivotStyleMedium8"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8EFD123-79F3-481C-9E0B-280EB0DF922E}" name="Report-county, fire" cacheId="119"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chartFormat="184" rowHeaderCaption="Fire Details">
  <location ref="A3:G20" firstHeaderRow="1" firstDataRow="2" firstDataCol="2" rowPageCount="1" colPageCount="1"/>
  <pivotFields count="20">
    <pivotField compact="0" outline="0" multipleItemSelectionAllowed="1" showAll="0">
      <items count="9">
        <item h="1" x="0"/>
        <item h="1" x="1"/>
        <item h="1" x="2"/>
        <item h="1" x="3"/>
        <item h="1" x="4"/>
        <item h="1" x="5"/>
        <item x="6"/>
        <item h="1" x="7"/>
        <item t="default"/>
      </items>
    </pivotField>
    <pivotField compact="0" outline="0" showAll="0" sortType="ascending" defaultSubtotal="0"/>
    <pivotField axis="axisRow" compact="0" outline="0" showAll="0" sortType="descending">
      <items count="34">
        <item sd="0" x="19"/>
        <item sd="0" x="3"/>
        <item sd="0" x="24"/>
        <item sd="0" x="16"/>
        <item sd="0" x="14"/>
        <item sd="0" x="25"/>
        <item sd="0" x="21"/>
        <item sd="0" x="4"/>
        <item sd="0" x="28"/>
        <item sd="0" x="15"/>
        <item sd="0" x="20"/>
        <item sd="0" x="17"/>
        <item sd="0" x="6"/>
        <item sd="0" x="10"/>
        <item sd="0" x="23"/>
        <item sd="0" x="8"/>
        <item sd="0" x="5"/>
        <item sd="0" x="1"/>
        <item sd="0" x="12"/>
        <item sd="0" x="27"/>
        <item sd="0" x="11"/>
        <item sd="0" x="0"/>
        <item sd="0" x="18"/>
        <item sd="0" x="9"/>
        <item sd="0" x="26"/>
        <item sd="0" x="22"/>
        <item sd="0" x="7"/>
        <item sd="0" x="13"/>
        <item sd="0" x="2"/>
        <item sd="0" m="1" x="32"/>
        <item sd="0" x="31"/>
        <item sd="0" x="29"/>
        <item x="30"/>
        <item t="default" sd="0"/>
      </items>
      <autoSortScope>
        <pivotArea dataOnly="0" outline="0" fieldPosition="0">
          <references count="1">
            <reference field="4294967294" count="1" selected="0">
              <x v="0"/>
            </reference>
          </references>
        </pivotArea>
      </autoSortScope>
    </pivotField>
    <pivotField dataField="1" compact="0" outline="0" showAll="0"/>
    <pivotField axis="axisRow" compact="0" outline="0" showAll="0" sortType="descending" defaultSubtotal="0">
      <items count="96">
        <item m="1" x="34"/>
        <item x="19"/>
        <item m="1" x="95"/>
        <item m="1" x="94"/>
        <item m="1" x="82"/>
        <item m="1" x="55"/>
        <item m="1" x="76"/>
        <item x="0"/>
        <item x="16"/>
        <item m="1" x="37"/>
        <item x="6"/>
        <item m="1" x="43"/>
        <item x="2"/>
        <item x="11"/>
        <item m="1" x="27"/>
        <item x="7"/>
        <item m="1" x="93"/>
        <item x="4"/>
        <item m="1" x="41"/>
        <item m="1" x="92"/>
        <item m="1" x="59"/>
        <item m="1" x="35"/>
        <item m="1" x="91"/>
        <item m="1" x="54"/>
        <item m="1" x="31"/>
        <item m="1" x="45"/>
        <item m="1" x="56"/>
        <item m="1" x="29"/>
        <item m="1" x="90"/>
        <item x="18"/>
        <item m="1" x="47"/>
        <item m="1" x="71"/>
        <item x="3"/>
        <item m="1" x="58"/>
        <item m="1" x="30"/>
        <item m="1" x="89"/>
        <item m="1" x="26"/>
        <item m="1" x="79"/>
        <item m="1" x="42"/>
        <item m="1" x="25"/>
        <item x="22"/>
        <item m="1" x="39"/>
        <item m="1" x="51"/>
        <item x="15"/>
        <item m="1" x="84"/>
        <item m="1" x="66"/>
        <item m="1" x="83"/>
        <item m="1" x="23"/>
        <item m="1" x="88"/>
        <item m="1" x="86"/>
        <item m="1" x="67"/>
        <item m="1" x="61"/>
        <item x="10"/>
        <item m="1" x="87"/>
        <item m="1" x="85"/>
        <item m="1" x="46"/>
        <item m="1" x="63"/>
        <item x="1"/>
        <item m="1" x="48"/>
        <item x="14"/>
        <item m="1" x="24"/>
        <item m="1" x="50"/>
        <item m="1" x="81"/>
        <item m="1" x="80"/>
        <item m="1" x="72"/>
        <item m="1" x="57"/>
        <item m="1" x="60"/>
        <item m="1" x="77"/>
        <item m="1" x="78"/>
        <item m="1" x="62"/>
        <item m="1" x="53"/>
        <item m="1" x="75"/>
        <item m="1" x="32"/>
        <item m="1" x="74"/>
        <item m="1" x="73"/>
        <item m="1" x="70"/>
        <item m="1" x="36"/>
        <item m="1" x="69"/>
        <item m="1" x="68"/>
        <item m="1" x="65"/>
        <item m="1" x="64"/>
        <item m="1" x="38"/>
        <item x="5"/>
        <item m="1" x="33"/>
        <item m="1" x="28"/>
        <item m="1" x="52"/>
        <item x="20"/>
        <item m="1" x="49"/>
        <item x="8"/>
        <item m="1" x="44"/>
        <item m="1" x="40"/>
        <item x="9"/>
        <item x="12"/>
        <item x="13"/>
        <item x="17"/>
        <item x="21"/>
      </items>
      <autoSortScope>
        <pivotArea dataOnly="0" outline="0" fieldPosition="0">
          <references count="1">
            <reference field="4294967294" count="1" selected="0">
              <x v="0"/>
            </reference>
          </references>
        </pivotArea>
      </autoSortScope>
    </pivotField>
    <pivotField compact="0" outline="0" showAll="0" sortType="descending" defaultSubtotal="0">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items count="4">
        <item x="0"/>
        <item x="1"/>
        <item x="2"/>
        <item t="default"/>
      </items>
    </pivotField>
    <pivotField axis="axisPage" compact="0" outline="0" multipleItemSelectionAllowed="1" showAll="0" defaultSubtotal="0">
      <items count="6">
        <item x="0"/>
        <item m="1" x="5"/>
        <item x="3"/>
        <item x="1"/>
        <item h="1" x="2"/>
        <item h="1" x="4"/>
      </items>
    </pivotField>
  </pivotFields>
  <rowFields count="2">
    <field x="2"/>
    <field x="4"/>
  </rowFields>
  <rowItems count="16">
    <i>
      <x v="20"/>
    </i>
    <i>
      <x v="10"/>
    </i>
    <i>
      <x v="27"/>
    </i>
    <i>
      <x v="8"/>
    </i>
    <i>
      <x v="13"/>
    </i>
    <i>
      <x v="4"/>
    </i>
    <i>
      <x v="23"/>
    </i>
    <i>
      <x v="9"/>
    </i>
    <i>
      <x/>
    </i>
    <i>
      <x v="7"/>
    </i>
    <i>
      <x v="12"/>
    </i>
    <i>
      <x v="26"/>
    </i>
    <i>
      <x v="6"/>
    </i>
    <i>
      <x v="25"/>
    </i>
    <i>
      <x v="15"/>
    </i>
    <i t="grand">
      <x/>
    </i>
  </rowItems>
  <colFields count="1">
    <field x="-2"/>
  </colFields>
  <colItems count="5">
    <i>
      <x/>
    </i>
    <i i="1">
      <x v="1"/>
    </i>
    <i i="2">
      <x v="2"/>
    </i>
    <i i="3">
      <x v="3"/>
    </i>
    <i i="4">
      <x v="4"/>
    </i>
  </colItems>
  <pageFields count="1">
    <pageField fld="19" hier="-1"/>
  </pageFields>
  <dataFields count="5">
    <dataField name="Acres" fld="3" baseField="4" baseItem="61" numFmtId="3"/>
    <dataField name="Resid." fld="12" baseField="4" baseItem="13"/>
    <dataField name="Comm." fld="13" baseField="4" baseItem="13"/>
    <dataField name="Minor" fld="14" baseField="4" baseItem="13"/>
    <dataField name="RV/home" fld="15" baseField="2" baseItem="31"/>
  </dataFields>
  <formats count="20">
    <format dxfId="331">
      <pivotArea dataOnly="0" labelOnly="1" outline="0" fieldPosition="0">
        <references count="1">
          <reference field="4294967294" count="3">
            <x v="1"/>
            <x v="2"/>
            <x v="3"/>
          </reference>
        </references>
      </pivotArea>
    </format>
    <format dxfId="330">
      <pivotArea outline="0" collapsedLevelsAreSubtotals="1" fieldPosition="0">
        <references count="1">
          <reference field="4294967294" count="3" selected="0">
            <x v="1"/>
            <x v="2"/>
            <x v="3"/>
          </reference>
        </references>
      </pivotArea>
    </format>
    <format dxfId="329">
      <pivotArea dataOnly="0" labelOnly="1" outline="0" fieldPosition="0">
        <references count="1">
          <reference field="4294967294" count="1">
            <x v="0"/>
          </reference>
        </references>
      </pivotArea>
    </format>
    <format dxfId="328">
      <pivotArea type="topRight" dataOnly="0" labelOnly="1" outline="0" offset="B1" fieldPosition="0"/>
    </format>
    <format dxfId="327">
      <pivotArea type="topRight" dataOnly="0" labelOnly="1" outline="0" offset="C1" fieldPosition="0"/>
    </format>
    <format dxfId="326">
      <pivotArea type="topRight" dataOnly="0" labelOnly="1" outline="0" offset="D1" fieldPosition="0"/>
    </format>
    <format dxfId="325">
      <pivotArea type="topRight" dataOnly="0" labelOnly="1" outline="0" offset="E1:G1" fieldPosition="0"/>
    </format>
    <format dxfId="324">
      <pivotArea type="topRight" dataOnly="0" labelOnly="1" outline="0" offset="H1:J1" fieldPosition="0"/>
    </format>
    <format dxfId="323">
      <pivotArea dataOnly="0" labelOnly="1" outline="0" fieldPosition="0">
        <references count="1">
          <reference field="4294967294" count="3">
            <x v="1"/>
            <x v="2"/>
            <x v="3"/>
          </reference>
        </references>
      </pivotArea>
    </format>
    <format dxfId="322">
      <pivotArea dataOnly="0" outline="0" fieldPosition="0">
        <references count="1">
          <reference field="4294967294" count="3">
            <x v="1"/>
            <x v="2"/>
            <x v="3"/>
          </reference>
        </references>
      </pivotArea>
    </format>
    <format dxfId="321">
      <pivotArea dataOnly="0" labelOnly="1" outline="0" fieldPosition="0">
        <references count="1">
          <reference field="4294967294" count="3">
            <x v="1"/>
            <x v="2"/>
            <x v="3"/>
          </reference>
        </references>
      </pivotArea>
    </format>
    <format dxfId="320">
      <pivotArea type="topRight" dataOnly="0" labelOnly="1" outline="0" offset="A1" fieldPosition="0"/>
    </format>
    <format dxfId="319">
      <pivotArea field="4" type="button" dataOnly="0" labelOnly="1" outline="0" axis="axisRow" fieldPosition="1"/>
    </format>
    <format dxfId="318">
      <pivotArea dataOnly="0" labelOnly="1" outline="0" fieldPosition="0">
        <references count="1">
          <reference field="4" count="0"/>
        </references>
      </pivotArea>
    </format>
    <format dxfId="317">
      <pivotArea type="topRight" dataOnly="0" labelOnly="1" outline="0" fieldPosition="0"/>
    </format>
    <format dxfId="316">
      <pivotArea dataOnly="0" labelOnly="1" outline="0" fieldPosition="0">
        <references count="1">
          <reference field="4294967294" count="3">
            <x v="1"/>
            <x v="2"/>
            <x v="3"/>
          </reference>
        </references>
      </pivotArea>
    </format>
    <format dxfId="315">
      <pivotArea dataOnly="0" labelOnly="1" outline="0" fieldPosition="0">
        <references count="1">
          <reference field="4294967294" count="1">
            <x v="4"/>
          </reference>
        </references>
      </pivotArea>
    </format>
    <format dxfId="314">
      <pivotArea dataOnly="0" labelOnly="1" outline="0" fieldPosition="0">
        <references count="1">
          <reference field="4294967294" count="1">
            <x v="4"/>
          </reference>
        </references>
      </pivotArea>
    </format>
    <format dxfId="313">
      <pivotArea dataOnly="0" labelOnly="1" outline="0" fieldPosition="0">
        <references count="1">
          <reference field="4294967294" count="1">
            <x v="4"/>
          </reference>
        </references>
      </pivotArea>
    </format>
    <format dxfId="312">
      <pivotArea outline="0" fieldPosition="0">
        <references count="1">
          <reference field="4294967294" count="1" selected="0">
            <x v="4"/>
          </reference>
        </references>
      </pivotArea>
    </format>
  </formats>
  <chartFormats count="50">
    <chartFormat chart="0" format="0"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 chart="0" format="8" series="1">
      <pivotArea type="data" outline="0" fieldPosition="0">
        <references count="1">
          <reference field="4294967294" count="1" selected="0">
            <x v="2"/>
          </reference>
        </references>
      </pivotArea>
    </chartFormat>
    <chartFormat chart="0" format="9" series="1">
      <pivotArea type="data" outline="0" fieldPosition="0">
        <references count="1">
          <reference field="4294967294" count="1" selected="0">
            <x v="3"/>
          </reference>
        </references>
      </pivotArea>
    </chartFormat>
    <chartFormat chart="2"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2" format="9" series="1">
      <pivotArea type="data" outline="0" fieldPosition="0">
        <references count="1">
          <reference field="4294967294" count="1" selected="0">
            <x v="3"/>
          </reference>
        </references>
      </pivotArea>
    </chartFormat>
    <chartFormat chart="4"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 chart="4" format="9" series="1">
      <pivotArea type="data" outline="0" fieldPosition="0">
        <references count="1">
          <reference field="4294967294" count="1" selected="0">
            <x v="3"/>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3"/>
          </reference>
        </references>
      </pivotArea>
    </chartFormat>
    <chartFormat chart="58" format="4" series="1">
      <pivotArea type="data" outline="0" fieldPosition="0">
        <references count="1">
          <reference field="4294967294" count="1" selected="0">
            <x v="0"/>
          </reference>
        </references>
      </pivotArea>
    </chartFormat>
    <chartFormat chart="58" format="5" series="1">
      <pivotArea type="data" outline="0" fieldPosition="0">
        <references count="1">
          <reference field="4294967294" count="1" selected="0">
            <x v="1"/>
          </reference>
        </references>
      </pivotArea>
    </chartFormat>
    <chartFormat chart="58" format="6" series="1">
      <pivotArea type="data" outline="0" fieldPosition="0">
        <references count="1">
          <reference field="4294967294" count="1" selected="0">
            <x v="2"/>
          </reference>
        </references>
      </pivotArea>
    </chartFormat>
    <chartFormat chart="58" format="7" series="1">
      <pivotArea type="data" outline="0" fieldPosition="0">
        <references count="1">
          <reference field="4294967294" count="1" selected="0">
            <x v="3"/>
          </reference>
        </references>
      </pivotArea>
    </chartFormat>
    <chartFormat chart="59" format="8" series="1">
      <pivotArea type="data" outline="0" fieldPosition="0">
        <references count="1">
          <reference field="4294967294" count="1" selected="0">
            <x v="0"/>
          </reference>
        </references>
      </pivotArea>
    </chartFormat>
    <chartFormat chart="59" format="9" series="1">
      <pivotArea type="data" outline="0" fieldPosition="0">
        <references count="1">
          <reference field="4294967294" count="1" selected="0">
            <x v="1"/>
          </reference>
        </references>
      </pivotArea>
    </chartFormat>
    <chartFormat chart="59" format="10" series="1">
      <pivotArea type="data" outline="0" fieldPosition="0">
        <references count="1">
          <reference field="4294967294" count="1" selected="0">
            <x v="2"/>
          </reference>
        </references>
      </pivotArea>
    </chartFormat>
    <chartFormat chart="59" format="11" series="1">
      <pivotArea type="data" outline="0" fieldPosition="0">
        <references count="1">
          <reference field="4294967294" count="1" selected="0">
            <x v="3"/>
          </reference>
        </references>
      </pivotArea>
    </chartFormat>
    <chartFormat chart="6" format="4" series="1">
      <pivotArea type="data" outline="0" fieldPosition="0">
        <references count="1">
          <reference field="4294967294" count="1" selected="0">
            <x v="4"/>
          </reference>
        </references>
      </pivotArea>
    </chartFormat>
    <chartFormat chart="143" format="21" series="1">
      <pivotArea type="data" outline="0" fieldPosition="0">
        <references count="1">
          <reference field="4294967294" count="1" selected="0">
            <x v="0"/>
          </reference>
        </references>
      </pivotArea>
    </chartFormat>
    <chartFormat chart="143" format="22" series="1">
      <pivotArea type="data" outline="0" fieldPosition="0">
        <references count="1">
          <reference field="4294967294" count="1" selected="0">
            <x v="1"/>
          </reference>
        </references>
      </pivotArea>
    </chartFormat>
    <chartFormat chart="143" format="23" series="1">
      <pivotArea type="data" outline="0" fieldPosition="0">
        <references count="1">
          <reference field="4294967294" count="1" selected="0">
            <x v="2"/>
          </reference>
        </references>
      </pivotArea>
    </chartFormat>
    <chartFormat chart="143" format="24" series="1">
      <pivotArea type="data" outline="0" fieldPosition="0">
        <references count="1">
          <reference field="4294967294" count="1" selected="0">
            <x v="3"/>
          </reference>
        </references>
      </pivotArea>
    </chartFormat>
    <chartFormat chart="143" format="25" series="1">
      <pivotArea type="data" outline="0" fieldPosition="0">
        <references count="1">
          <reference field="4294967294" count="1" selected="0">
            <x v="4"/>
          </reference>
        </references>
      </pivotArea>
    </chartFormat>
    <chartFormat chart="144" format="26" series="1">
      <pivotArea type="data" outline="0" fieldPosition="0">
        <references count="1">
          <reference field="4294967294" count="1" selected="0">
            <x v="0"/>
          </reference>
        </references>
      </pivotArea>
    </chartFormat>
    <chartFormat chart="144" format="27" series="1">
      <pivotArea type="data" outline="0" fieldPosition="0">
        <references count="1">
          <reference field="4294967294" count="1" selected="0">
            <x v="1"/>
          </reference>
        </references>
      </pivotArea>
    </chartFormat>
    <chartFormat chart="144" format="28" series="1">
      <pivotArea type="data" outline="0" fieldPosition="0">
        <references count="1">
          <reference field="4294967294" count="1" selected="0">
            <x v="2"/>
          </reference>
        </references>
      </pivotArea>
    </chartFormat>
    <chartFormat chart="144" format="29" series="1">
      <pivotArea type="data" outline="0" fieldPosition="0">
        <references count="1">
          <reference field="4294967294" count="1" selected="0">
            <x v="3"/>
          </reference>
        </references>
      </pivotArea>
    </chartFormat>
    <chartFormat chart="144" format="30" series="1">
      <pivotArea type="data" outline="0" fieldPosition="0">
        <references count="1">
          <reference field="4294967294" count="1" selected="0">
            <x v="4"/>
          </reference>
        </references>
      </pivotArea>
    </chartFormat>
    <chartFormat chart="145" format="21" series="1">
      <pivotArea type="data" outline="0" fieldPosition="0">
        <references count="1">
          <reference field="4294967294" count="1" selected="0">
            <x v="0"/>
          </reference>
        </references>
      </pivotArea>
    </chartFormat>
    <chartFormat chart="145" format="22" series="1">
      <pivotArea type="data" outline="0" fieldPosition="0">
        <references count="1">
          <reference field="4294967294" count="1" selected="0">
            <x v="1"/>
          </reference>
        </references>
      </pivotArea>
    </chartFormat>
    <chartFormat chart="145" format="23" series="1">
      <pivotArea type="data" outline="0" fieldPosition="0">
        <references count="1">
          <reference field="4294967294" count="1" selected="0">
            <x v="2"/>
          </reference>
        </references>
      </pivotArea>
    </chartFormat>
    <chartFormat chart="145" format="24" series="1">
      <pivotArea type="data" outline="0" fieldPosition="0">
        <references count="1">
          <reference field="4294967294" count="1" selected="0">
            <x v="3"/>
          </reference>
        </references>
      </pivotArea>
    </chartFormat>
    <chartFormat chart="145" format="25" series="1">
      <pivotArea type="data" outline="0" fieldPosition="0">
        <references count="1">
          <reference field="4294967294" count="1" selected="0">
            <x v="4"/>
          </reference>
        </references>
      </pivotArea>
    </chartFormat>
    <chartFormat chart="146" format="26" series="1">
      <pivotArea type="data" outline="0" fieldPosition="0">
        <references count="1">
          <reference field="4294967294" count="1" selected="0">
            <x v="0"/>
          </reference>
        </references>
      </pivotArea>
    </chartFormat>
    <chartFormat chart="146" format="27" series="1">
      <pivotArea type="data" outline="0" fieldPosition="0">
        <references count="1">
          <reference field="4294967294" count="1" selected="0">
            <x v="1"/>
          </reference>
        </references>
      </pivotArea>
    </chartFormat>
    <chartFormat chart="146" format="28" series="1">
      <pivotArea type="data" outline="0" fieldPosition="0">
        <references count="1">
          <reference field="4294967294" count="1" selected="0">
            <x v="2"/>
          </reference>
        </references>
      </pivotArea>
    </chartFormat>
    <chartFormat chart="146" format="29" series="1">
      <pivotArea type="data" outline="0" fieldPosition="0">
        <references count="1">
          <reference field="4294967294" count="1" selected="0">
            <x v="3"/>
          </reference>
        </references>
      </pivotArea>
    </chartFormat>
    <chartFormat chart="146" format="30" series="1">
      <pivotArea type="data" outline="0" fieldPosition="0">
        <references count="1">
          <reference field="4294967294" count="1" selected="0">
            <x v="4"/>
          </reference>
        </references>
      </pivotArea>
    </chartFormat>
    <chartFormat chart="170" format="10" series="1">
      <pivotArea type="data" outline="0" fieldPosition="0">
        <references count="1">
          <reference field="4294967294" count="1" selected="0">
            <x v="0"/>
          </reference>
        </references>
      </pivotArea>
    </chartFormat>
    <chartFormat chart="170" format="11" series="1">
      <pivotArea type="data" outline="0" fieldPosition="0">
        <references count="1">
          <reference field="4294967294" count="1" selected="0">
            <x v="1"/>
          </reference>
        </references>
      </pivotArea>
    </chartFormat>
    <chartFormat chart="170" format="12" series="1">
      <pivotArea type="data" outline="0" fieldPosition="0">
        <references count="1">
          <reference field="4294967294" count="1" selected="0">
            <x v="2"/>
          </reference>
        </references>
      </pivotArea>
    </chartFormat>
    <chartFormat chart="170" format="13" series="1">
      <pivotArea type="data" outline="0" fieldPosition="0">
        <references count="1">
          <reference field="4294967294" count="1" selected="0">
            <x v="3"/>
          </reference>
        </references>
      </pivotArea>
    </chartFormat>
    <chartFormat chart="170" format="14" series="1">
      <pivotArea type="data" outline="0" fieldPosition="0">
        <references count="1">
          <reference field="4294967294" count="1" selected="0">
            <x v="4"/>
          </reference>
        </references>
      </pivotArea>
    </chartFormat>
  </chartFormats>
  <pivotTableStyleInfo name="PivotStyleMedium8"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111">
  <rv s="0">
    <v>0</v>
    <v>5</v>
  </rv>
  <rv s="0">
    <v>0</v>
    <v>4</v>
  </rv>
  <rv s="0">
    <v>1</v>
    <v>5</v>
  </rv>
  <rv s="1">
    <v>536870912</v>
    <v>97814</v>
    <v>cbfd276e-e472-2947-aed5-0c240abd0432</v>
    <v>en-US</v>
    <v>Map</v>
  </rv>
  <rv s="1">
    <v>536870912</v>
    <v>Baker City</v>
    <v>62c3e6f1-be46-4035-fc06-7582f7d46f3c</v>
    <v>en-US</v>
    <v>Map</v>
  </rv>
  <rv s="2">
    <v>#VALUE!</v>
    <v>1</v>
    <v>2</v>
    <v>97814</v>
    <v>4</v>
    <v>5</v>
    <v>Map</v>
    <v>en-US</v>
    <v>cbfd276e-e472-2947-aed5-0c240abd0432</v>
    <v>536870912</v>
    <v>1</v>
    <v>4</v>
    <v>97814 is a postal code in Baker City, Oregon, United States</v>
    <v>97814</v>
    <v>97814</v>
    <v>mdp/vdpid/5055312039614873601</v>
  </rv>
  <rv s="1">
    <v>536870912</v>
    <v>97330</v>
    <v>7ff63108-7d79-39cb-df6c-935cdc2b94c1</v>
    <v>en-US</v>
    <v>Map</v>
  </rv>
  <rv s="1">
    <v>536870912</v>
    <v>Corvallis</v>
    <v>d7061a0a-40c0-b041-0613-08881e24b78f</v>
    <v>en-US</v>
    <v>Map</v>
  </rv>
  <rv s="2">
    <v>#VALUE!</v>
    <v>8</v>
    <v>2</v>
    <v>97330</v>
    <v>4</v>
    <v>5</v>
    <v>Map</v>
    <v>en-US</v>
    <v>7ff63108-7d79-39cb-df6c-935cdc2b94c1</v>
    <v>536870912</v>
    <v>1</v>
    <v>7</v>
    <v>97330 is a postal code in Corvallis, Oregon, United States</v>
    <v>97330</v>
    <v>97330</v>
    <v>mdp/vdpid/5053066222556413953</v>
  </rv>
  <rv s="1">
    <v>536870912</v>
    <v>97045</v>
    <v>be1a6a9d-1aa7-69b6-90c8-a2fe22cc63ed</v>
    <v>en-US</v>
    <v>Map</v>
  </rv>
  <rv s="1">
    <v>536870912</v>
    <v>Oregon City</v>
    <v>b523fb4e-bf81-aaad-4714-f082dd280b43</v>
    <v>en-US</v>
    <v>Map</v>
  </rv>
  <rv s="2">
    <v>#VALUE!</v>
    <v>11</v>
    <v>2</v>
    <v>97045</v>
    <v>4</v>
    <v>5</v>
    <v>Map</v>
    <v>en-US</v>
    <v>be1a6a9d-1aa7-69b6-90c8-a2fe22cc63ed</v>
    <v>536870912</v>
    <v>1</v>
    <v>10</v>
    <v>97045 is a postal code in Oregon City, Oregon, United States</v>
    <v>97045</v>
    <v>97045</v>
    <v>mdp/vdpid/4860925201229021185</v>
  </rv>
  <rv s="1">
    <v>536870912</v>
    <v>97013</v>
    <v>5f7fa4d6-2b40-1161-8066-3d8877a373e4</v>
    <v>en-US</v>
    <v>Map</v>
  </rv>
  <rv s="1">
    <v>536870912</v>
    <v>Canby</v>
    <v>32a63d79-f582-4fb6-3fe4-40171737a4e7</v>
    <v>en-US</v>
    <v>Map</v>
  </rv>
  <rv s="2">
    <v>#VALUE!</v>
    <v>13</v>
    <v>2</v>
    <v>97013</v>
    <v>4</v>
    <v>5</v>
    <v>Map</v>
    <v>en-US</v>
    <v>5f7fa4d6-2b40-1161-8066-3d8877a373e4</v>
    <v>536870912</v>
    <v>1</v>
    <v>13</v>
    <v>97013 is a postal code in Canby, Oregon, United States</v>
    <v>97013</v>
    <v>97013</v>
    <v>mdp/vdpid/4860921935208382465</v>
  </rv>
  <rv s="1">
    <v>536870912</v>
    <v>97051</v>
    <v>e4769db8-d7be-170b-4b0a-7028cb46f03f</v>
    <v>en-US</v>
    <v>Map</v>
  </rv>
  <rv s="1">
    <v>536870912</v>
    <v>St. Helens</v>
    <v>d2719271-7660-964f-ec68-cc73e87d3539</v>
    <v>en-US</v>
    <v>Map</v>
  </rv>
  <rv s="2">
    <v>#VALUE!</v>
    <v>15</v>
    <v>2</v>
    <v>97051</v>
    <v>4</v>
    <v>5</v>
    <v>Map</v>
    <v>en-US</v>
    <v>e4769db8-d7be-170b-4b0a-7028cb46f03f</v>
    <v>536870912</v>
    <v>1</v>
    <v>16</v>
    <v>97051 is a postal code in St. Helens, Oregon, United States</v>
    <v>97051</v>
    <v>97051</v>
    <v>mdp/vdpid/4860851087541796865</v>
  </rv>
  <rv s="1">
    <v>536870912</v>
    <v>97423</v>
    <v>6b16239b-aa18-998d-9407-b761031f0d12</v>
    <v>en-US</v>
    <v>Map</v>
  </rv>
  <rv s="1">
    <v>536870912</v>
    <v>Coquille</v>
    <v>2e1dc9bb-52c2-d8dc-3ee2-26b417c82f40</v>
    <v>en-US</v>
    <v>Map</v>
  </rv>
  <rv s="2">
    <v>#VALUE!</v>
    <v>17</v>
    <v>2</v>
    <v>97423</v>
    <v>4</v>
    <v>5</v>
    <v>Map</v>
    <v>en-US</v>
    <v>6b16239b-aa18-998d-9407-b761031f0d12</v>
    <v>536870912</v>
    <v>1</v>
    <v>19</v>
    <v>97423 is a postal code in Coquille, Oregon, United States</v>
    <v>97423</v>
    <v>97423</v>
    <v>mdp/vdpid/5047328219179515905</v>
  </rv>
  <rv s="1">
    <v>536870912</v>
    <v>97754</v>
    <v>00bd14d7-7f1b-e88f-b680-eab82cff4464</v>
    <v>en-US</v>
    <v>Map</v>
  </rv>
  <rv s="1">
    <v>536870912</v>
    <v>Prineville</v>
    <v>18b8b8a5-08de-edd3-05b2-03fd9262c8a9</v>
    <v>en-US</v>
    <v>Map</v>
  </rv>
  <rv s="2">
    <v>#VALUE!</v>
    <v>20</v>
    <v>2</v>
    <v>97754</v>
    <v>4</v>
    <v>5</v>
    <v>Map</v>
    <v>en-US</v>
    <v>00bd14d7-7f1b-e88f-b680-eab82cff4464</v>
    <v>536870912</v>
    <v>1</v>
    <v>22</v>
    <v>97754 is a postal code in Prineville, Oregon, United States</v>
    <v>97754</v>
    <v>97754</v>
    <v>mdp/vdpid/5053706184964440065</v>
  </rv>
  <rv s="1">
    <v>536870912</v>
    <v>97444</v>
    <v>836d6deb-ea2b-073d-756b-c17ed961f17c</v>
    <v>en-US</v>
    <v>Map</v>
  </rv>
  <rv s="1">
    <v>536870912</v>
    <v>Gold Beach</v>
    <v>5e9b9b04-4871-9482-2d42-822f8ff6a50d</v>
    <v>en-US</v>
    <v>Map</v>
  </rv>
  <rv s="2">
    <v>#VALUE!</v>
    <v>22</v>
    <v>2</v>
    <v>97444</v>
    <v>4</v>
    <v>5</v>
    <v>Map</v>
    <v>en-US</v>
    <v>836d6deb-ea2b-073d-756b-c17ed961f17c</v>
    <v>536870912</v>
    <v>1</v>
    <v>25</v>
    <v>97444 is a postal code in Gold Beach, Oregon, United States</v>
    <v>97444</v>
    <v>97444</v>
    <v>mdp/vdpid/5047368447067947009</v>
  </rv>
  <rv s="1">
    <v>536870912</v>
    <v>97701</v>
    <v>dee4e028-b92b-8cee-143d-f636ecadd7cc</v>
    <v>en-US</v>
    <v>Map</v>
  </rv>
  <rv s="1">
    <v>536870912</v>
    <v>Bend</v>
    <v>27597861-a23f-4b2a-ab95-e9900ade6b07</v>
    <v>en-US</v>
    <v>Map</v>
  </rv>
  <rv s="2">
    <v>#VALUE!</v>
    <v>25</v>
    <v>2</v>
    <v>97701</v>
    <v>4</v>
    <v>5</v>
    <v>Map</v>
    <v>en-US</v>
    <v>dee4e028-b92b-8cee-143d-f636ecadd7cc</v>
    <v>536870912</v>
    <v>1</v>
    <v>28</v>
    <v>97701 is a postal code in Bend, Oregon, United States</v>
    <v>97701</v>
    <v>97701</v>
    <v>mdp/vdpid/5053690068821082113</v>
  </rv>
  <rv s="1">
    <v>536870912</v>
    <v>97470</v>
    <v>29f1490f-6e4b-5011-3dfa-a5e242a8dd10</v>
    <v>en-US</v>
    <v>Map</v>
  </rv>
  <rv s="1">
    <v>536870912</v>
    <v>Roseburg</v>
    <v>383b79c1-cd28-8484-0be8-b90da1413dd3</v>
    <v>en-US</v>
    <v>Map</v>
  </rv>
  <rv s="2">
    <v>#VALUE!</v>
    <v>27</v>
    <v>2</v>
    <v>97470</v>
    <v>4</v>
    <v>5</v>
    <v>Map</v>
    <v>en-US</v>
    <v>29f1490f-6e4b-5011-3dfa-a5e242a8dd10</v>
    <v>536870912</v>
    <v>1</v>
    <v>31</v>
    <v>97470 is a postal code in Roseburg, Oregon, United States</v>
    <v>97470</v>
    <v>97470</v>
    <v>mdp/vdpid/5053348219572977665</v>
  </rv>
  <rv s="1">
    <v>536870912</v>
    <v>97823</v>
    <v>5d6202c9-4e64-9ee8-5823-1b75048aa380</v>
    <v>en-US</v>
    <v>Map</v>
  </rv>
  <rv s="1">
    <v>536870912</v>
    <v>Condon</v>
    <v>1dd1917a-1241-d055-ad45-01885e3061cb</v>
    <v>en-US</v>
    <v>Map</v>
  </rv>
  <rv s="2">
    <v>#VALUE!</v>
    <v>30</v>
    <v>2</v>
    <v>97823</v>
    <v>4</v>
    <v>5</v>
    <v>Map</v>
    <v>en-US</v>
    <v>5d6202c9-4e64-9ee8-5823-1b75048aa380</v>
    <v>536870912</v>
    <v>1</v>
    <v>34</v>
    <v>97823 is a postal code in Condon, Oregon, United States</v>
    <v>97823</v>
    <v>97823</v>
    <v>mdp/vdpid/4861483601788665857</v>
  </rv>
  <rv s="1">
    <v>536870912</v>
    <v>97820</v>
    <v>16a3134c-ef46-c3f1-3b33-35ed8987d984</v>
    <v>en-US</v>
    <v>Map</v>
  </rv>
  <rv s="1">
    <v>536870912</v>
    <v>Canyon City</v>
    <v>c3ad94b8-2fbb-b09d-b064-02c3d372d366</v>
    <v>en-US</v>
    <v>Map</v>
  </rv>
  <rv s="2">
    <v>#VALUE!</v>
    <v>32</v>
    <v>2</v>
    <v>97820</v>
    <v>4</v>
    <v>5</v>
    <v>Map</v>
    <v>en-US</v>
    <v>16a3134c-ef46-c3f1-3b33-35ed8987d984</v>
    <v>536870912</v>
    <v>1</v>
    <v>37</v>
    <v>97820 is a postal code in Canyon City, Oregon, United States</v>
    <v>97820</v>
    <v>97820</v>
    <v>mdp/vdpid/5053776812346179585</v>
  </rv>
  <rv s="1">
    <v>536870912</v>
    <v>97720</v>
    <v>f84aca4d-d473-05a5-5209-8d7b1dcea59b</v>
    <v>en-US</v>
    <v>Map</v>
  </rv>
  <rv s="1">
    <v>536870912</v>
    <v>Burns</v>
    <v>397b7a5a-8dff-32e3-f28a-81916e5e9227</v>
    <v>en-US</v>
    <v>Map</v>
  </rv>
  <rv s="2">
    <v>#VALUE!</v>
    <v>34</v>
    <v>2</v>
    <v>97720</v>
    <v>4</v>
    <v>5</v>
    <v>Map</v>
    <v>en-US</v>
    <v>f84aca4d-d473-05a5-5209-8d7b1dcea59b</v>
    <v>536870912</v>
    <v>1</v>
    <v>40</v>
    <v>97720 is a postal code in Burns, Oregon, United States</v>
    <v>97720</v>
    <v>97720</v>
    <v>mdp/vdpid/5054089295023833089</v>
  </rv>
  <rv s="1">
    <v>536870912</v>
    <v>97031</v>
    <v>1cc3e95b-4eb1-96c8-8c7b-611ee4cb618c</v>
    <v>en-US</v>
    <v>Map</v>
  </rv>
  <rv s="1">
    <v>536870912</v>
    <v>Hood River</v>
    <v>3ef38b57-c461-7655-4a81-56e5ca1d5c51</v>
    <v>en-US</v>
    <v>Map</v>
  </rv>
  <rv s="2">
    <v>#VALUE!</v>
    <v>37</v>
    <v>2</v>
    <v>97031</v>
    <v>4</v>
    <v>5</v>
    <v>Map</v>
    <v>en-US</v>
    <v>1cc3e95b-4eb1-96c8-8c7b-611ee4cb618c</v>
    <v>536870912</v>
    <v>1</v>
    <v>43</v>
    <v>97031 is a postal code in Hood River, Oregon, United States</v>
    <v>97031</v>
    <v>97031</v>
    <v>mdp/vdpid/4861019208667889665</v>
  </rv>
  <rv s="1">
    <v>536870912</v>
    <v>97504</v>
    <v>52597bb7-2d0e-cbfc-6c81-ba860e53dcb1</v>
    <v>en-US</v>
    <v>Map</v>
  </rv>
  <rv s="1">
    <v>536870912</v>
    <v>Medford</v>
    <v>f7853167-1d84-468b-a98b-fcb1b3f2de20</v>
    <v>en-US</v>
    <v>Map</v>
  </rv>
  <rv s="2">
    <v>#VALUE!</v>
    <v>39</v>
    <v>2</v>
    <v>97504</v>
    <v>4</v>
    <v>5</v>
    <v>Map</v>
    <v>en-US</v>
    <v>52597bb7-2d0e-cbfc-6c81-ba860e53dcb1</v>
    <v>536870912</v>
    <v>1</v>
    <v>46</v>
    <v>97504 is a postal code in Medford, Oregon, United States</v>
    <v>97504</v>
    <v>97504</v>
    <v>mdp/vdpid/5053451678389370881</v>
  </rv>
  <rv s="1">
    <v>536870912</v>
    <v>97741</v>
    <v>a9fc4a67-dc4a-d423-2ecf-afb624291b22</v>
    <v>en-US</v>
    <v>Map</v>
  </rv>
  <rv s="1">
    <v>536870912</v>
    <v>Madras</v>
    <v>0986de27-88ba-0a03-c482-5543db7dfadc</v>
    <v>en-US</v>
    <v>Map</v>
  </rv>
  <rv s="2">
    <v>#VALUE!</v>
    <v>41</v>
    <v>2</v>
    <v>97741</v>
    <v>4</v>
    <v>5</v>
    <v>Map</v>
    <v>en-US</v>
    <v>a9fc4a67-dc4a-d423-2ecf-afb624291b22</v>
    <v>536870912</v>
    <v>1</v>
    <v>49</v>
    <v>97741 is a postal code in Madras, Oregon, United States</v>
    <v>97741</v>
    <v>97741</v>
    <v>mdp/vdpid/5053248581633310721</v>
  </rv>
  <rv s="1">
    <v>536870912</v>
    <v>97526</v>
    <v>601d857a-e02c-14a8-c0fa-c108267d8177</v>
    <v>en-US</v>
    <v>Map</v>
  </rv>
  <rv s="1">
    <v>536870912</v>
    <v>Grants Pass</v>
    <v>47bb7251-cd33-1698-b19a-33f06e796658</v>
    <v>en-US</v>
    <v>Map</v>
  </rv>
  <rv s="2">
    <v>#VALUE!</v>
    <v>44</v>
    <v>2</v>
    <v>97526</v>
    <v>4</v>
    <v>5</v>
    <v>Map</v>
    <v>en-US</v>
    <v>601d857a-e02c-14a8-c0fa-c108267d8177</v>
    <v>536870912</v>
    <v>1</v>
    <v>52</v>
    <v>97526 is a postal code in Grants Pass, Oregon, United States</v>
    <v>97526</v>
    <v>97526</v>
    <v>mdp/vdpid/5053418933961359361</v>
  </rv>
  <rv s="1">
    <v>536870912</v>
    <v>97601</v>
    <v>7dd6d272-9f6b-f6c2-f9b5-3b41f2e1d364</v>
    <v>en-US</v>
    <v>Map</v>
  </rv>
  <rv s="1">
    <v>536870912</v>
    <v>Klamath Falls</v>
    <v>90219759-d15b-bc89-6d68-7f5bac2156af</v>
    <v>en-US</v>
    <v>Map</v>
  </rv>
  <rv s="2">
    <v>#VALUE!</v>
    <v>46</v>
    <v>2</v>
    <v>97601</v>
    <v>4</v>
    <v>5</v>
    <v>Map</v>
    <v>en-US</v>
    <v>7dd6d272-9f6b-f6c2-f9b5-3b41f2e1d364</v>
    <v>536870912</v>
    <v>1</v>
    <v>55</v>
    <v>97601 is a postal code in Klamath Falls, Oregon, United States</v>
    <v>97601</v>
    <v>97601</v>
    <v>mdp/vdpid/5054314693347246081</v>
  </rv>
  <rv s="1">
    <v>536870912</v>
    <v>97630</v>
    <v>aa1bb964-0b34-3d62-2e86-b62ace5741e9</v>
    <v>en-US</v>
    <v>Map</v>
  </rv>
  <rv s="1">
    <v>536870912</v>
    <v>Lakeview</v>
    <v>8d95da32-1263-55a3-2274-c2a9df745e06</v>
    <v>en-US</v>
    <v>Map</v>
  </rv>
  <rv s="2">
    <v>#VALUE!</v>
    <v>48</v>
    <v>2</v>
    <v>97630</v>
    <v>4</v>
    <v>5</v>
    <v>Map</v>
    <v>en-US</v>
    <v>aa1bb964-0b34-3d62-2e86-b62ace5741e9</v>
    <v>536870912</v>
    <v>1</v>
    <v>58</v>
    <v>97630 is a postal code in Lakeview, Oregon, United States</v>
    <v>97630</v>
    <v>97630</v>
    <v>mdp/vdpid/5054734844764880897</v>
  </rv>
  <rv s="1">
    <v>536870912</v>
    <v>97402</v>
    <v>362c875d-efce-7af1-df9d-e7299f096cf9</v>
    <v>en-US</v>
    <v>Map</v>
  </rv>
  <rv s="1">
    <v>536870912</v>
    <v>Eugene</v>
    <v>4032220a-5e63-4fc1-87cf-eb758cc5b5b6</v>
    <v>en-US</v>
    <v>Map</v>
  </rv>
  <rv s="2">
    <v>#VALUE!</v>
    <v>51</v>
    <v>2</v>
    <v>97402</v>
    <v>4</v>
    <v>5</v>
    <v>Map</v>
    <v>en-US</v>
    <v>362c875d-efce-7af1-df9d-e7299f096cf9</v>
    <v>536870912</v>
    <v>1</v>
    <v>61</v>
    <v>97402 is a postal code in Eugene, Oregon, United States</v>
    <v>97402</v>
    <v>97402</v>
    <v>mdp/vdpid/5053136182020407297</v>
  </rv>
  <rv s="1">
    <v>536870912</v>
    <v>97365</v>
    <v>9fefb3df-006b-6a35-36e9-e2e72747b73b</v>
    <v>en-US</v>
    <v>Map</v>
  </rv>
  <rv s="1">
    <v>536870912</v>
    <v>Newport</v>
    <v>18b51fbc-45e2-6484-af8f-59ff4a5b56b6</v>
    <v>en-US</v>
    <v>Map</v>
  </rv>
  <rv s="2">
    <v>#VALUE!</v>
    <v>53</v>
    <v>2</v>
    <v>97365</v>
    <v>4</v>
    <v>5</v>
    <v>Map</v>
    <v>en-US</v>
    <v>9fefb3df-006b-6a35-36e9-e2e72747b73b</v>
    <v>536870912</v>
    <v>1</v>
    <v>64</v>
    <v>97365 is a postal code in Newport, Oregon, United States</v>
    <v>97365</v>
    <v>97365</v>
    <v>mdp/vdpid/5047048768692682753</v>
  </rv>
  <rv s="1">
    <v>536870912</v>
    <v>97322</v>
    <v>9e34601f-f457-9403-31f3-90133d7d9735</v>
    <v>en-US</v>
    <v>Map</v>
  </rv>
  <rv s="1">
    <v>536870912</v>
    <v>Albany</v>
    <v>35319002-e668-c0f5-acf7-dbda9ca031ee</v>
    <v>en-US</v>
    <v>Map</v>
  </rv>
  <rv s="2">
    <v>#VALUE!</v>
    <v>56</v>
    <v>2</v>
    <v>97322</v>
    <v>4</v>
    <v>5</v>
    <v>Map</v>
    <v>en-US</v>
    <v>9e34601f-f457-9403-31f3-90133d7d9735</v>
    <v>536870912</v>
    <v>1</v>
    <v>67</v>
    <v>97322 is a postal code in Albany, Oregon, United States</v>
    <v>97322</v>
    <v>97322</v>
    <v>mdp/vdpid/5053092782231519233</v>
  </rv>
  <rv s="1">
    <v>536870912</v>
    <v>97918</v>
    <v>3f8d2537-b44a-8b4e-99df-a8225e1caf88</v>
    <v>en-US</v>
    <v>Map</v>
  </rv>
  <rv s="1">
    <v>536870912</v>
    <v>Vale</v>
    <v>e025756d-67b1-43b2-97cc-7c2e96e51604</v>
    <v>en-US</v>
    <v>Map</v>
  </rv>
  <rv s="2">
    <v>#VALUE!</v>
    <v>58</v>
    <v>2</v>
    <v>97918</v>
    <v>4</v>
    <v>5</v>
    <v>Map</v>
    <v>en-US</v>
    <v>3f8d2537-b44a-8b4e-99df-a8225e1caf88</v>
    <v>536870912</v>
    <v>1</v>
    <v>70</v>
    <v>97918 is a postal code in Vale, Oregon, United States</v>
    <v>97918</v>
    <v>97918</v>
    <v>mdp/vdpid/5055416875136057345</v>
  </rv>
  <rv s="1">
    <v>536870912</v>
    <v>97301</v>
    <v>66b44652-62c3-363b-dbcf-76941a355fcd</v>
    <v>en-US</v>
    <v>Map</v>
  </rv>
  <rv s="1">
    <v>536870912</v>
    <v>Salem</v>
    <v>181e3c46-a4b5-41c5-a74f-486f15e8dc58</v>
    <v>en-US</v>
    <v>Map</v>
  </rv>
  <rv s="2">
    <v>#VALUE!</v>
    <v>61</v>
    <v>2</v>
    <v>97301</v>
    <v>4</v>
    <v>5</v>
    <v>Map</v>
    <v>en-US</v>
    <v>66b44652-62c3-363b-dbcf-76941a355fcd</v>
    <v>536870912</v>
    <v>1</v>
    <v>73</v>
    <v>97301 is a postal code in Salem, Oregon, United States</v>
    <v>97301</v>
    <v>97301</v>
    <v>mdp/vdpid/5053074467886989313</v>
  </rv>
  <rv s="1">
    <v>536870912</v>
    <v>97836</v>
    <v>5a1d00dd-62c4-3436-a8e0-6eccd531f251</v>
    <v>en-US</v>
    <v>Map</v>
  </rv>
  <rv s="1">
    <v>536870912</v>
    <v>Heppner</v>
    <v>9863e63b-c4ea-af78-4691-40fae63653fd</v>
    <v>en-US</v>
    <v>Map</v>
  </rv>
  <rv s="2">
    <v>#VALUE!</v>
    <v>63</v>
    <v>2</v>
    <v>97836</v>
    <v>4</v>
    <v>5</v>
    <v>Map</v>
    <v>en-US</v>
    <v>5a1d00dd-62c4-3436-a8e0-6eccd531f251</v>
    <v>536870912</v>
    <v>1</v>
    <v>76</v>
    <v>97836 is a postal code in Heppner, Oregon, United States</v>
    <v>97836</v>
    <v>97836</v>
    <v>mdp/vdpid/5053647964216492033</v>
  </rv>
  <rv s="1">
    <v>536870912</v>
    <v>97206</v>
    <v>3d0c5bbc-59c3-70b4-fd2b-592fb2994d2f</v>
    <v>en-US</v>
    <v>Map</v>
  </rv>
  <rv s="1">
    <v>536870912</v>
    <v>Portland</v>
    <v>5658ef8a-9267-4851-b335-72bc82329a4e</v>
    <v>en-US</v>
    <v>Map</v>
  </rv>
  <rv s="2">
    <v>#VALUE!</v>
    <v>66</v>
    <v>2</v>
    <v>97206</v>
    <v>4</v>
    <v>5</v>
    <v>Map</v>
    <v>en-US</v>
    <v>3d0c5bbc-59c3-70b4-fd2b-592fb2994d2f</v>
    <v>536870912</v>
    <v>1</v>
    <v>79</v>
    <v>97206 is a postal code in Portland, Oregon, United States</v>
    <v>97206</v>
    <v>97206</v>
    <v>mdp/vdpid/4860911032115134465</v>
  </rv>
  <rv s="1">
    <v>536870912</v>
    <v>97338</v>
    <v>e1d7114c-ed8e-63c9-0e8d-0b29bb4c808f</v>
    <v>en-US</v>
    <v>Map</v>
  </rv>
  <rv s="1">
    <v>536870912</v>
    <v>Dallas</v>
    <v>33b6e648-fbb5-fbd4-5a3e-476d4e04d6f6</v>
    <v>en-US</v>
    <v>Map</v>
  </rv>
  <rv s="2">
    <v>#VALUE!</v>
    <v>69</v>
    <v>2</v>
    <v>97338</v>
    <v>4</v>
    <v>5</v>
    <v>Map</v>
    <v>en-US</v>
    <v>e1d7114c-ed8e-63c9-0e8d-0b29bb4c808f</v>
    <v>536870912</v>
    <v>1</v>
    <v>82</v>
    <v>97338 is a postal code in Dallas, Oregon, United States</v>
    <v>97338</v>
    <v>97338</v>
    <v>mdp/vdpid/5053046087951056897</v>
  </rv>
  <rv s="1">
    <v>536870912</v>
    <v>97039</v>
    <v>71c65992-70ca-7adb-e036-fab1eefbe9ab</v>
    <v>en-US</v>
    <v>Map</v>
  </rv>
  <rv s="1">
    <v>536870912</v>
    <v>Moro</v>
    <v>2ec1155d-ce0b-2a7f-d970-4743d1b1336f</v>
    <v>en-US</v>
    <v>Map</v>
  </rv>
  <rv s="2">
    <v>#VALUE!</v>
    <v>71</v>
    <v>2</v>
    <v>97039</v>
    <v>4</v>
    <v>5</v>
    <v>Map</v>
    <v>en-US</v>
    <v>71c65992-70ca-7adb-e036-fab1eefbe9ab</v>
    <v>536870912</v>
    <v>1</v>
    <v>85</v>
    <v>97039 is a postal code in Moro, Oregon, United States</v>
    <v>97039</v>
    <v>97039</v>
    <v>mdp/vdpid/4861446644282949633</v>
  </rv>
  <rv s="1">
    <v>536870912</v>
    <v>97141</v>
    <v>a55bf5de-bde1-543e-d61b-1460a93d1dce</v>
    <v>en-US</v>
    <v>Map</v>
  </rv>
  <rv s="1">
    <v>536870912</v>
    <v>Tillamook</v>
    <v>f0d9afa6-44a2-886c-5032-1436d25c3013</v>
    <v>en-US</v>
    <v>Map</v>
  </rv>
  <rv s="2">
    <v>#VALUE!</v>
    <v>73</v>
    <v>2</v>
    <v>97141</v>
    <v>4</v>
    <v>5</v>
    <v>Map</v>
    <v>en-US</v>
    <v>a55bf5de-bde1-543e-d61b-1460a93d1dce</v>
    <v>536870912</v>
    <v>1</v>
    <v>88</v>
    <v>97141 is a postal code in Tillamook, Oregon, United States</v>
    <v>97141</v>
    <v>97141</v>
    <v>mdp/vdpid/4854874437679316993</v>
  </rv>
  <rv s="1">
    <v>536870912</v>
    <v>97801</v>
    <v>970a9ad1-f287-7d11-f3eb-833225e4e7ee</v>
    <v>en-US</v>
    <v>Map</v>
  </rv>
  <rv s="1">
    <v>536870912</v>
    <v>Pendleton</v>
    <v>9c75272d-784d-4714-e96e-9a395f2a39b3</v>
    <v>en-US</v>
    <v>Map</v>
  </rv>
  <rv s="2">
    <v>#VALUE!</v>
    <v>75</v>
    <v>2</v>
    <v>97801</v>
    <v>4</v>
    <v>5</v>
    <v>Map</v>
    <v>en-US</v>
    <v>970a9ad1-f287-7d11-f3eb-833225e4e7ee</v>
    <v>536870912</v>
    <v>1</v>
    <v>91</v>
    <v>97801 is a postal code in Pendleton, Oregon, United States</v>
    <v>97801</v>
    <v>97801</v>
    <v>mdp/vdpid/4861620473236029441</v>
  </rv>
  <rv s="1">
    <v>536870912</v>
    <v>97850</v>
    <v>86f6929e-9477-ebbe-f64f-76d5837e5efa</v>
    <v>en-US</v>
    <v>Map</v>
  </rv>
  <rv s="1">
    <v>536870912</v>
    <v>La Grande</v>
    <v>55f41c77-7538-8753-fa95-7e9efba519d4</v>
    <v>en-US</v>
    <v>Map</v>
  </rv>
  <rv s="2">
    <v>#VALUE!</v>
    <v>78</v>
    <v>2</v>
    <v>97850</v>
    <v>4</v>
    <v>5</v>
    <v>Map</v>
    <v>en-US</v>
    <v>86f6929e-9477-ebbe-f64f-76d5837e5efa</v>
    <v>536870912</v>
    <v>1</v>
    <v>94</v>
    <v>97850 is a postal code in La Grande, Oregon, United States</v>
    <v>97850</v>
    <v>97850</v>
    <v>mdp/vdpid/5053788874258513921</v>
  </rv>
  <rv s="1">
    <v>536870912</v>
    <v>97828</v>
    <v>17bc9a86-a595-114f-7c4c-32457cbf7adc</v>
    <v>en-US</v>
    <v>Map</v>
  </rv>
  <rv s="1">
    <v>536870912</v>
    <v>Enterprise</v>
    <v>1176a9af-00ce-ac9a-2a27-8d28e89f88c5</v>
    <v>en-US</v>
    <v>Map</v>
  </rv>
  <rv s="2">
    <v>#VALUE!</v>
    <v>80</v>
    <v>2</v>
    <v>97828</v>
    <v>4</v>
    <v>5</v>
    <v>Map</v>
    <v>en-US</v>
    <v>17bc9a86-a595-114f-7c4c-32457cbf7adc</v>
    <v>536870912</v>
    <v>1</v>
    <v>97</v>
    <v>97828 is a postal code in Enterprise, Oregon, United States</v>
    <v>97828</v>
    <v>97828</v>
    <v>mdp/vdpid/4863171524271538177</v>
  </rv>
  <rv s="1">
    <v>536870912</v>
    <v>97058</v>
    <v>c04858f1-65ad-528b-df41-77052dbf62a4</v>
    <v>en-US</v>
    <v>Map</v>
  </rv>
  <rv s="1">
    <v>536870912</v>
    <v>The Dalles</v>
    <v>f320d9b5-6b9b-a390-c16c-3a1cfcb5ebd9</v>
    <v>en-US</v>
    <v>Map</v>
  </rv>
  <rv s="2">
    <v>#VALUE!</v>
    <v>82</v>
    <v>2</v>
    <v>97058</v>
    <v>4</v>
    <v>5</v>
    <v>Map</v>
    <v>en-US</v>
    <v>c04858f1-65ad-528b-df41-77052dbf62a4</v>
    <v>536870912</v>
    <v>1</v>
    <v>100</v>
    <v>97058 is a postal code in The Dalles, Oregon, United States</v>
    <v>97058</v>
    <v>97058</v>
    <v>mdp/vdpid/4861043983515648001</v>
  </rv>
  <rv s="1">
    <v>536870912</v>
    <v>97124</v>
    <v>c3c9c5aa-cd26-c100-7031-680713409fcd</v>
    <v>en-US</v>
    <v>Map</v>
  </rv>
  <rv s="1">
    <v>536870912</v>
    <v>Hillsboro</v>
    <v>8df03b87-2920-4121-8177-3128c3b4ce0c</v>
    <v>en-US</v>
    <v>Map</v>
  </rv>
  <rv s="2">
    <v>#VALUE!</v>
    <v>84</v>
    <v>2</v>
    <v>97124</v>
    <v>4</v>
    <v>5</v>
    <v>Map</v>
    <v>en-US</v>
    <v>c3c9c5aa-cd26-c100-7031-680713409fcd</v>
    <v>536870912</v>
    <v>1</v>
    <v>103</v>
    <v>97124 is a postal code in Hillsboro, Oregon, United States</v>
    <v>97124</v>
    <v>97124</v>
    <v>mdp/vdpid/4860902028387287041</v>
  </rv>
  <rv s="1">
    <v>536870912</v>
    <v>97830</v>
    <v>54e5aed5-04a5-c70b-b212-199b6a6d348c</v>
    <v>en-US</v>
    <v>Map</v>
  </rv>
  <rv s="1">
    <v>536870912</v>
    <v>Fossil</v>
    <v>48c4146c-0f6e-2e16-0c9d-e2490c62d3f8</v>
    <v>en-US</v>
    <v>Map</v>
  </rv>
  <rv s="2">
    <v>#VALUE!</v>
    <v>86</v>
    <v>2</v>
    <v>97830</v>
    <v>4</v>
    <v>5</v>
    <v>Map</v>
    <v>en-US</v>
    <v>54e5aed5-04a5-c70b-b212-199b6a6d348c</v>
    <v>536870912</v>
    <v>1</v>
    <v>106</v>
    <v>97830 is a postal code in Fossil, Oregon, United States</v>
    <v>97830</v>
    <v>97830</v>
    <v>mdp/vdpid/5053618826738925569</v>
  </rv>
  <rv s="1">
    <v>536870912</v>
    <v>97128</v>
    <v>615e5d59-672f-b4b8-e92d-6cf748a600bf</v>
    <v>en-US</v>
    <v>Map</v>
  </rv>
  <rv s="1">
    <v>536870912</v>
    <v>McMinnville</v>
    <v>2f03046e-af6b-8336-f379-cfc834b47524</v>
    <v>en-US</v>
    <v>Map</v>
  </rv>
  <rv s="2">
    <v>#VALUE!</v>
    <v>88</v>
    <v>2</v>
    <v>97128</v>
    <v>4</v>
    <v>5</v>
    <v>Map</v>
    <v>en-US</v>
    <v>615e5d59-672f-b4b8-e92d-6cf748a600bf</v>
    <v>536870912</v>
    <v>1</v>
    <v>109</v>
    <v>97128 is a postal code in McMinnville, Oregon, United States</v>
    <v>97128</v>
    <v>97128</v>
    <v>mdp/vdpid/4860893816611143681</v>
  </rv>
</rvData>
</file>

<file path=xl/richData/rdrichvaluestructure.xml><?xml version="1.0" encoding="utf-8"?>
<rvStructures xmlns="http://schemas.microsoft.com/office/spreadsheetml/2017/richdata" count="3">
  <s t="_localImage">
    <k n="_rvRel:LocalImageIdentifier" t="i"/>
    <k n="CalcOrigin" t="i"/>
  </s>
  <s t="_linkedentity2">
    <k n="%EntityServiceId" t="i"/>
    <k n="_DisplayString" t="s"/>
    <k n="%EntityId" t="s"/>
    <k n="%EntityCulture" t="s"/>
    <k n="_Icon" t="s"/>
  </s>
  <s t="_linkedentity2core">
    <k n="_CRID" t="e"/>
    <k n="_Attribution" t="spb"/>
    <k n="_Display" t="spb"/>
    <k n="_DisplayString" t="s"/>
    <k n="_Flags" t="spb"/>
    <k n="_Format" t="spb"/>
    <k n="_Icon" t="s"/>
    <k n="%EntityCulture" t="s"/>
    <k n="%EntityId" t="s"/>
    <k n="%EntityServiceId" t="i"/>
    <k n="%IsRefreshable" t="b"/>
    <k n="City" t="r"/>
    <k n="Description" t="s"/>
    <k n="Name" t="s"/>
    <k n="UniqueName" t="s"/>
    <k n="VDPID/VSID" t="s"/>
  </s>
</rvStructures>
</file>

<file path=xl/richData/rdsupportingpropertybag.xml><?xml version="1.0" encoding="utf-8"?>
<supportingPropertyBags xmlns="http://schemas.microsoft.com/office/spreadsheetml/2017/richdata2">
  <spbArrays count="1">
    <a count="15">
      <v t="s">%EntityServiceId</v>
      <v t="s">%IsRefreshable</v>
      <v t="s">%EntityCulture</v>
      <v t="s">%EntityId</v>
      <v t="s">_Icon</v>
      <v t="s">_Attribution</v>
      <v t="s">_Display</v>
      <v t="s">Name</v>
      <v t="s">_Format</v>
      <v t="s">City</v>
      <v t="s">_Flags</v>
      <v t="s">VDPID/VSID</v>
      <v t="s">UniqueName</v>
      <v t="s">_DisplayString</v>
      <v t="s">Description</v>
    </a>
  </spbArrays>
  <spbData count="89">
    <spb s="0">
      <v xml:space="preserve">Worldpostalcode	City-data	</v>
      <v xml:space="preserve">		</v>
      <v xml:space="preserve">https://worldpostalcode.com/united-states/oregon/baker	https://www.city-data.com/zips/97814.html	</v>
      <v xml:space="preserve">		</v>
    </spb>
    <spb s="1">
      <v>0</v>
      <v>0</v>
      <v>0</v>
    </spb>
    <spb s="2">
      <v>0</v>
      <v>Name</v>
    </spb>
    <spb s="3">
      <v>0</v>
      <v>0</v>
      <v>0</v>
    </spb>
    <spb s="4">
      <v>3</v>
      <v>3</v>
    </spb>
    <spb s="5">
      <v>1</v>
    </spb>
    <spb s="0">
      <v xml:space="preserve">Sec	Unitedstateszipcodes	</v>
      <v xml:space="preserve">		</v>
      <v xml:space="preserve">https://www.sec.gov/cgi-bin/browse-edgar?action=getcompany&amp;CIK=0001761696	https://www.unitedstateszipcodes.org/97330/	</v>
      <v xml:space="preserve">		</v>
    </spb>
    <spb s="0">
      <v xml:space="preserve">Worldpostalcode	City-data	Sec	Unitedstateszipcodes	</v>
      <v xml:space="preserve">				</v>
      <v xml:space="preserve">https://worldpostalcode.com/united-states/oregon/benton	https://www.city-data.com/zips/97330.html	https://www.sec.gov/cgi-bin/browse-edgar?action=getcompany&amp;CIK=0001761696	https://www.unitedstateszipcodes.org/97330/	</v>
      <v xml:space="preserve">				</v>
    </spb>
    <spb s="1">
      <v>6</v>
      <v>7</v>
      <v>7</v>
    </spb>
    <spb s="0">
      <v xml:space="preserve">Sec	Unitedstateszipcodes	</v>
      <v xml:space="preserve">		</v>
      <v xml:space="preserve">https://www.sec.gov/cgi-bin/browse-edgar?action=getcompany&amp;CIK=0001681490	https://www.unitedstateszipcodes.org/97045/	</v>
      <v xml:space="preserve">		</v>
    </spb>
    <spb s="0">
      <v xml:space="preserve">Worldpostalcode	City-data	Sec	Unitedstateszipcodes	</v>
      <v xml:space="preserve">				</v>
      <v xml:space="preserve">https://worldpostalcode.com/united-states/oregon/clackamas	https://www.city-data.com/zips/97045.html	https://www.sec.gov/cgi-bin/browse-edgar?action=getcompany&amp;CIK=0001681490	https://www.unitedstateszipcodes.org/97045/	</v>
      <v xml:space="preserve">				</v>
    </spb>
    <spb s="1">
      <v>9</v>
      <v>10</v>
      <v>10</v>
    </spb>
    <spb s="0">
      <v xml:space="preserve">Worldpostalcode	City-data	Unitedstateszipcodes	</v>
      <v xml:space="preserve">			</v>
      <v xml:space="preserve">https://worldpostalcode.com/united-states/oregon/clackamas	https://www.city-data.com/zips/97013.html	https://www.unitedstateszipcodes.org/97013/	</v>
      <v xml:space="preserve">			</v>
    </spb>
    <spb s="1">
      <v>12</v>
      <v>12</v>
      <v>12</v>
    </spb>
    <spb s="0">
      <v xml:space="preserve">City-data	</v>
      <v xml:space="preserve">	</v>
      <v xml:space="preserve">https://www.city-data.com/zips/97051.html	</v>
      <v xml:space="preserve">	</v>
    </spb>
    <spb s="1">
      <v>14</v>
      <v>14</v>
      <v>14</v>
    </spb>
    <spb s="0">
      <v xml:space="preserve">Worldpostalcode	City-data	</v>
      <v xml:space="preserve">		</v>
      <v xml:space="preserve">https://worldpostalcode.com/united-states/oregon/coos	https://www.city-data.com/zips/97423.html	</v>
      <v xml:space="preserve">		</v>
    </spb>
    <spb s="1">
      <v>16</v>
      <v>16</v>
      <v>16</v>
    </spb>
    <spb s="0">
      <v xml:space="preserve">Unitedstateszipcodes	</v>
      <v xml:space="preserve">	</v>
      <v xml:space="preserve">https://www.unitedstateszipcodes.org/97754/	</v>
      <v xml:space="preserve">	</v>
    </spb>
    <spb s="0">
      <v xml:space="preserve">Worldpostalcode	City-data	Unitedstateszipcodes	</v>
      <v xml:space="preserve">			</v>
      <v xml:space="preserve">https://worldpostalcode.com/united-states/oregon/crook	https://www.city-data.com/zips/97754.html	https://www.unitedstateszipcodes.org/97754/	</v>
      <v xml:space="preserve">			</v>
    </spb>
    <spb s="1">
      <v>18</v>
      <v>19</v>
      <v>19</v>
    </spb>
    <spb s="0">
      <v xml:space="preserve">Worldpostalcode	City-data	Unitedstateszipcodes	</v>
      <v xml:space="preserve">			</v>
      <v xml:space="preserve">https://worldpostalcode.com/united-states/oregon/curry	https://www.city-data.com/zips/97444.html	https://www.unitedstateszipcodes.org/97444/	</v>
      <v xml:space="preserve">			</v>
    </spb>
    <spb s="1">
      <v>21</v>
      <v>21</v>
      <v>21</v>
    </spb>
    <spb s="0">
      <v xml:space="preserve">Sec	Unitedstateszipcodes	</v>
      <v xml:space="preserve">		</v>
      <v xml:space="preserve">https://www.sec.gov/cgi-bin/browse-edgar?action=getcompany&amp;CIK=0001697767	https://www.unitedstateszipcodes.org/97701/	</v>
      <v xml:space="preserve">		</v>
    </spb>
    <spb s="0">
      <v xml:space="preserve">Worldpostalcode	City-data	Sec	Unitedstateszipcodes	</v>
      <v xml:space="preserve">				</v>
      <v xml:space="preserve">https://worldpostalcode.com/united-states/oregon/deschutes	https://www.city-data.com/zips/97701.html	https://www.sec.gov/cgi-bin/browse-edgar?action=getcompany&amp;CIK=0001697767	https://www.unitedstateszipcodes.org/97701/	</v>
      <v xml:space="preserve">				</v>
    </spb>
    <spb s="1">
      <v>23</v>
      <v>24</v>
      <v>24</v>
    </spb>
    <spb s="0">
      <v xml:space="preserve">Worldpostalcode	Sec	Unitedstateszipcodes	</v>
      <v xml:space="preserve">			</v>
      <v xml:space="preserve">https://worldpostalcode.com/united-states/oregon/douglas	https://www.sec.gov/cgi-bin/browse-edgar?action=getcompany&amp;CIK=0001511229	https://www.unitedstateszipcodes.org/97470/	</v>
      <v xml:space="preserve">			</v>
    </spb>
    <spb s="1">
      <v>26</v>
      <v>26</v>
      <v>26</v>
    </spb>
    <spb s="0">
      <v xml:space="preserve">Worldpostalcode	Unitedstateszipcodes	</v>
      <v xml:space="preserve">		</v>
      <v xml:space="preserve">https://worldpostalcode.com/united-states/oregon/gilliam	https://www.unitedstateszipcodes.org/97823/	</v>
      <v xml:space="preserve">		</v>
    </spb>
    <spb s="0">
      <v xml:space="preserve">Worldpostalcode	City-data	Unitedstateszipcodes	</v>
      <v xml:space="preserve">			</v>
      <v xml:space="preserve">https://worldpostalcode.com/united-states/oregon/gilliam	https://www.city-data.com/zips/97823.html	https://www.unitedstateszipcodes.org/97823/	</v>
      <v xml:space="preserve">			</v>
    </spb>
    <spb s="1">
      <v>28</v>
      <v>29</v>
      <v>29</v>
    </spb>
    <spb s="0">
      <v xml:space="preserve">Worldpostalcode	City-data	</v>
      <v xml:space="preserve">		</v>
      <v xml:space="preserve">https://worldpostalcode.com/united-states/oregon/grant	https://www.city-data.com/zips/97820.html	</v>
      <v xml:space="preserve">		</v>
    </spb>
    <spb s="1">
      <v>31</v>
      <v>31</v>
      <v>31</v>
    </spb>
    <spb s="0">
      <v xml:space="preserve">Worldpostalcode	Unitedstateszipcodes	</v>
      <v xml:space="preserve">		</v>
      <v xml:space="preserve">https://worldpostalcode.com/united-states/oregon/harney	https://www.unitedstateszipcodes.org/97720/	</v>
      <v xml:space="preserve">		</v>
    </spb>
    <spb s="1">
      <v>33</v>
      <v>33</v>
      <v>33</v>
    </spb>
    <spb s="0">
      <v xml:space="preserve">Sec	Unitedstateszipcodes	</v>
      <v xml:space="preserve">		</v>
      <v xml:space="preserve">https://www.sec.gov/cgi-bin/browse-edgar?action=getcompany&amp;CIK=0001631052	https://www.unitedstateszipcodes.org/97031/	</v>
      <v xml:space="preserve">		</v>
    </spb>
    <spb s="0">
      <v xml:space="preserve">Worldpostalcode	City-data	Sec	Unitedstateszipcodes	</v>
      <v xml:space="preserve">				</v>
      <v xml:space="preserve">https://worldpostalcode.com/united-states/oregon/hood-river	https://www.city-data.com/zips/97031.html	https://www.sec.gov/cgi-bin/browse-edgar?action=getcompany&amp;CIK=0001631052	https://www.unitedstateszipcodes.org/97031/	</v>
      <v xml:space="preserve">				</v>
    </spb>
    <spb s="1">
      <v>35</v>
      <v>36</v>
      <v>36</v>
    </spb>
    <spb s="0">
      <v xml:space="preserve">Worldpostalcode	City-data	Unitedstateszipcodes	</v>
      <v xml:space="preserve">			</v>
      <v xml:space="preserve">https://worldpostalcode.com/united-states/oregon/jackson	https://www.city-data.com/zips/97504.html	https://www.unitedstateszipcodes.org/97504/	</v>
      <v xml:space="preserve">			</v>
    </spb>
    <spb s="1">
      <v>38</v>
      <v>38</v>
      <v>38</v>
    </spb>
    <spb s="0">
      <v xml:space="preserve">Worldpostalcode	City-data	Unitedstateszipcodes	</v>
      <v xml:space="preserve">			</v>
      <v xml:space="preserve">https://worldpostalcode.com/united-states/oregon/jefferson	https://www.city-data.com/zips/97741.html	https://www.unitedstateszipcodes.org/97741/	</v>
      <v xml:space="preserve">			</v>
    </spb>
    <spb s="1">
      <v>40</v>
      <v>40</v>
      <v>40</v>
    </spb>
    <spb s="0">
      <v xml:space="preserve">Sec	Unitedstateszipcodes	</v>
      <v xml:space="preserve">		</v>
      <v xml:space="preserve">https://www.sec.gov/cgi-bin/browse-edgar?action=getcompany&amp;CIK=0001866581	https://www.unitedstateszipcodes.org/97526/	</v>
      <v xml:space="preserve">		</v>
    </spb>
    <spb s="0">
      <v xml:space="preserve">Worldpostalcode	City-data	Sec	Unitedstateszipcodes	</v>
      <v xml:space="preserve">				</v>
      <v xml:space="preserve">https://worldpostalcode.com/united-states/oregon/josephine	https://www.city-data.com/zips/97526.html	https://www.sec.gov/cgi-bin/browse-edgar?action=getcompany&amp;CIK=0001866581	https://www.unitedstateszipcodes.org/97526/	</v>
      <v xml:space="preserve">				</v>
    </spb>
    <spb s="1">
      <v>42</v>
      <v>43</v>
      <v>43</v>
    </spb>
    <spb s="0">
      <v xml:space="preserve">Worldpostalcode	City-data	Unitedstateszipcodes	</v>
      <v xml:space="preserve">			</v>
      <v xml:space="preserve">https://worldpostalcode.com/united-states/oregon/klamath	https://www.city-data.com/zips/97601.html	https://www.unitedstateszipcodes.org/97601/	</v>
      <v xml:space="preserve">			</v>
    </spb>
    <spb s="1">
      <v>45</v>
      <v>45</v>
      <v>45</v>
    </spb>
    <spb s="0">
      <v xml:space="preserve">Worldpostalcode	City-data	Unitedstateszipcodes	</v>
      <v xml:space="preserve">			</v>
      <v xml:space="preserve">https://worldpostalcode.com/united-states/oregon/lake	https://www.city-data.com/zips/97630.html	https://www.unitedstateszipcodes.org/97630/	</v>
      <v xml:space="preserve">			</v>
    </spb>
    <spb s="1">
      <v>47</v>
      <v>47</v>
      <v>47</v>
    </spb>
    <spb s="0">
      <v xml:space="preserve">Sec	Unitedstateszipcodes	</v>
      <v xml:space="preserve">		</v>
      <v xml:space="preserve">https://www.sec.gov/cgi-bin/browse-edgar?action=getcompany&amp;CIK=0001558583	https://www.unitedstateszipcodes.org/97402/	</v>
      <v xml:space="preserve">		</v>
    </spb>
    <spb s="0">
      <v xml:space="preserve">Worldpostalcode	City-data	Sec	Unitedstateszipcodes	</v>
      <v xml:space="preserve">				</v>
      <v xml:space="preserve">https://worldpostalcode.com/united-states/oregon/lane	https://www.city-data.com/zips/97402.html	https://www.sec.gov/cgi-bin/browse-edgar?action=getcompany&amp;CIK=0001558583	https://www.unitedstateszipcodes.org/97402/	</v>
      <v xml:space="preserve">				</v>
    </spb>
    <spb s="1">
      <v>49</v>
      <v>50</v>
      <v>50</v>
    </spb>
    <spb s="0">
      <v xml:space="preserve">Worldpostalcode	City-data	Unitedstateszipcodes	</v>
      <v xml:space="preserve">			</v>
      <v xml:space="preserve">https://worldpostalcode.com/united-states/oregon/lincoln	https://www.city-data.com/zips/97365.html	https://www.unitedstateszipcodes.org/97365/	</v>
      <v xml:space="preserve">			</v>
    </spb>
    <spb s="1">
      <v>52</v>
      <v>52</v>
      <v>52</v>
    </spb>
    <spb s="0">
      <v xml:space="preserve">Unitedstateszipcodes	</v>
      <v xml:space="preserve">	</v>
      <v xml:space="preserve">https://www.unitedstateszipcodes.org/97322/	</v>
      <v xml:space="preserve">	</v>
    </spb>
    <spb s="0">
      <v xml:space="preserve">Worldpostalcode	City-data	Unitedstateszipcodes	</v>
      <v xml:space="preserve">			</v>
      <v xml:space="preserve">https://worldpostalcode.com/united-states/oregon/linn	https://www.city-data.com/zips/97322.html	https://www.unitedstateszipcodes.org/97322/	</v>
      <v xml:space="preserve">			</v>
    </spb>
    <spb s="1">
      <v>54</v>
      <v>55</v>
      <v>55</v>
    </spb>
    <spb s="0">
      <v xml:space="preserve">Worldpostalcode	City-data	</v>
      <v xml:space="preserve">		</v>
      <v xml:space="preserve">https://worldpostalcode.com/united-states/oregon/malheur	https://www.city-data.com/zips/97918.html	</v>
      <v xml:space="preserve">		</v>
    </spb>
    <spb s="1">
      <v>57</v>
      <v>57</v>
      <v>57</v>
    </spb>
    <spb s="0">
      <v xml:space="preserve">Sec	Unitedstateszipcodes	</v>
      <v xml:space="preserve">		</v>
      <v xml:space="preserve">https://www.sec.gov/cgi-bin/browse-edgar?action=getcompany&amp;CIK=0001840306	https://www.unitedstateszipcodes.org/97301/	</v>
      <v xml:space="preserve">		</v>
    </spb>
    <spb s="0">
      <v xml:space="preserve">Worldpostalcode	City-data	Sec	Unitedstateszipcodes	</v>
      <v xml:space="preserve">				</v>
      <v xml:space="preserve">https://worldpostalcode.com/united-states/oregon/marion	https://www.city-data.com/zips/97301.html	https://www.sec.gov/cgi-bin/browse-edgar?action=getcompany&amp;CIK=0001840306	https://www.unitedstateszipcodes.org/97301/	</v>
      <v xml:space="preserve">				</v>
    </spb>
    <spb s="1">
      <v>59</v>
      <v>60</v>
      <v>60</v>
    </spb>
    <spb s="0">
      <v xml:space="preserve">Worldpostalcode	City-data	</v>
      <v xml:space="preserve">		</v>
      <v xml:space="preserve">https://worldpostalcode.com/united-states/oregon/morrow	https://www.city-data.com/zips/97836.html	</v>
      <v xml:space="preserve">		</v>
    </spb>
    <spb s="1">
      <v>62</v>
      <v>62</v>
      <v>62</v>
    </spb>
    <spb s="0">
      <v xml:space="preserve">Unitedstateszipcodes	</v>
      <v xml:space="preserve">	</v>
      <v xml:space="preserve">https://www.unitedstateszipcodes.org/97206/	</v>
      <v xml:space="preserve">	</v>
    </spb>
    <spb s="0">
      <v xml:space="preserve">Worldpostalcode	City-data	Unitedstateszipcodes	</v>
      <v xml:space="preserve">			</v>
      <v xml:space="preserve">https://worldpostalcode.com/united-states/oregon/portland	https://www.city-data.com/zips/97206.html	https://www.unitedstateszipcodes.org/97206/	</v>
      <v xml:space="preserve">			</v>
    </spb>
    <spb s="1">
      <v>64</v>
      <v>65</v>
      <v>65</v>
    </spb>
    <spb s="0">
      <v xml:space="preserve">Unitedstateszipcodes	</v>
      <v xml:space="preserve">	</v>
      <v xml:space="preserve">https://www.unitedstateszipcodes.org/97338/	</v>
      <v xml:space="preserve">	</v>
    </spb>
    <spb s="0">
      <v xml:space="preserve">Worldpostalcode	City-data	Unitedstateszipcodes	</v>
      <v xml:space="preserve">			</v>
      <v xml:space="preserve">https://worldpostalcode.com/united-states/oregon/polk	https://www.city-data.com/zips/97338.html	https://www.unitedstateszipcodes.org/97338/	</v>
      <v xml:space="preserve">			</v>
    </spb>
    <spb s="1">
      <v>67</v>
      <v>68</v>
      <v>68</v>
    </spb>
    <spb s="0">
      <v xml:space="preserve">Worldpostalcode	City-data	</v>
      <v xml:space="preserve">		</v>
      <v xml:space="preserve">https://worldpostalcode.com/united-states/oregon/sherman	https://www.city-data.com/zips/97039.html	</v>
      <v xml:space="preserve">		</v>
    </spb>
    <spb s="1">
      <v>70</v>
      <v>70</v>
      <v>70</v>
    </spb>
    <spb s="0">
      <v xml:space="preserve">Worldpostalcode	Unitedstateszipcodes	</v>
      <v xml:space="preserve">		</v>
      <v xml:space="preserve">https://worldpostalcode.com/united-states/oregon/tillamook	https://www.unitedstateszipcodes.org/97141/	</v>
      <v xml:space="preserve">		</v>
    </spb>
    <spb s="1">
      <v>72</v>
      <v>72</v>
      <v>72</v>
    </spb>
    <spb s="0">
      <v xml:space="preserve">Worldpostalcode	Unitedstateszipcodes	</v>
      <v xml:space="preserve">		</v>
      <v xml:space="preserve">https://worldpostalcode.com/united-states/oregon/umatilla	https://www.unitedstateszipcodes.org/97801/	</v>
      <v xml:space="preserve">		</v>
    </spb>
    <spb s="1">
      <v>74</v>
      <v>74</v>
      <v>74</v>
    </spb>
    <spb s="0">
      <v xml:space="preserve">Unitedstateszipcodes	</v>
      <v xml:space="preserve">	</v>
      <v xml:space="preserve">https://www.unitedstateszipcodes.org/97850/	</v>
      <v xml:space="preserve">	</v>
    </spb>
    <spb s="0">
      <v xml:space="preserve">Worldpostalcode	City-data	Unitedstateszipcodes	</v>
      <v xml:space="preserve">			</v>
      <v xml:space="preserve">https://worldpostalcode.com/united-states/oregon/union	https://www.city-data.com/zips/97850.html	https://www.unitedstateszipcodes.org/97850/	</v>
      <v xml:space="preserve">			</v>
    </spb>
    <spb s="1">
      <v>76</v>
      <v>77</v>
      <v>77</v>
    </spb>
    <spb s="0">
      <v xml:space="preserve">Worldpostalcode	City-data	</v>
      <v xml:space="preserve">		</v>
      <v xml:space="preserve">https://worldpostalcode.com/united-states/oregon/wallowa	https://www.city-data.com/zips/97828.html	</v>
      <v xml:space="preserve">		</v>
    </spb>
    <spb s="1">
      <v>79</v>
      <v>79</v>
      <v>79</v>
    </spb>
    <spb s="0">
      <v xml:space="preserve">Worldpostalcode	Unitedstateszipcodes	</v>
      <v xml:space="preserve">		</v>
      <v xml:space="preserve">https://worldpostalcode.com/united-states/oregon/wasco	https://www.unitedstateszipcodes.org/97058/	</v>
      <v xml:space="preserve">		</v>
    </spb>
    <spb s="1">
      <v>81</v>
      <v>81</v>
      <v>81</v>
    </spb>
    <spb s="0">
      <v xml:space="preserve">Worldpostalcode	City-data	Sec	Unitedstateszipcodes	</v>
      <v xml:space="preserve">				</v>
      <v xml:space="preserve">https://worldpostalcode.com/united-states/oregon/washington	https://www.city-data.com/zips/97124.html	https://www.sec.gov/cgi-bin/browse-edgar?action=getcompany&amp;CIK=0000873044	https://www.unitedstateszipcodes.org/97124/	</v>
      <v xml:space="preserve">				</v>
    </spb>
    <spb s="1">
      <v>83</v>
      <v>83</v>
      <v>83</v>
    </spb>
    <spb s="0">
      <v xml:space="preserve">Worldpostalcode	City-data	Unitedstateszipcodes	</v>
      <v xml:space="preserve">			</v>
      <v xml:space="preserve">https://worldpostalcode.com/united-states/oregon/wheeler	https://www.city-data.com/zips/97830.html	https://www.unitedstateszipcodes.org/97830/	</v>
      <v xml:space="preserve">			</v>
    </spb>
    <spb s="1">
      <v>85</v>
      <v>85</v>
      <v>85</v>
    </spb>
    <spb s="0">
      <v xml:space="preserve">Worldpostalcode	City-data	Unitedstateszipcodes	</v>
      <v xml:space="preserve">			</v>
      <v xml:space="preserve">https://worldpostalcode.com/united-states/oregon/yamhill	https://www.city-data.com/zips/97128.html	https://www.unitedstateszipcodes.org/97128/	</v>
      <v xml:space="preserve">			</v>
    </spb>
    <spb s="1">
      <v>87</v>
      <v>87</v>
      <v>87</v>
    </spb>
  </spbData>
</supportingPropertyBags>
</file>

<file path=xl/richData/rdsupportingpropertybagstructure.xml><?xml version="1.0" encoding="utf-8"?>
<spbStructures xmlns="http://schemas.microsoft.com/office/spreadsheetml/2017/richdata2" count="6">
  <s>
    <k n="SourceText" t="s"/>
    <k n="LicenseText" t="s"/>
    <k n="SourceAddress" t="s"/>
    <k n="LicenseAddress" t="s"/>
  </s>
  <s>
    <k n="City" t="spb"/>
    <k n="Name" t="spb"/>
    <k n="UniqueName" t="spb"/>
  </s>
  <s>
    <k n="^Order" t="spba"/>
    <k n="TitleProperty" t="s"/>
  </s>
  <s>
    <k n="ShowInCardView" t="b"/>
    <k n="ShowInDotNotation" t="b"/>
    <k n="ShowInAutoComplete" t="b"/>
  </s>
  <s>
    <k n="UniqueName" t="spb"/>
    <k n="VDPID/VSID" t="spb"/>
  </s>
  <s>
    <k n="Nam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richProperties>
    <rPr n="IsTitleField" t="b"/>
  </richProperties>
  <richStyles>
    <rSty>
      <rpv i="0">1</rpv>
    </rSty>
  </richStyles>
</richStyleSheet>
</file>

<file path=xl/richData/richValueRel.xml><?xml version="1.0" encoding="utf-8"?>
<richValueRels xmlns="http://schemas.microsoft.com/office/spreadsheetml/2022/richvaluerel" xmlns:r="http://schemas.openxmlformats.org/officeDocument/2006/relationships">
  <rel r:id="rId1"/>
  <rel r:id="rId2"/>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646F81A-F129-4044-A8BB-17ABE387452A}" sourceName="Year">
  <pivotTables>
    <pivotTable tabId="4" name="Report-status, fire"/>
    <pivotTable tabId="4" name="Evac totals"/>
    <pivotTable tabId="4" name="Structure loss"/>
    <pivotTable tabId="4" name="Fire total by status"/>
    <pivotTable tabId="5" name="Report-county, fire"/>
    <pivotTable tabId="6" name="Report-county, fire"/>
    <pivotTable tabId="15" name="PivotTable14"/>
    <pivotTable tabId="15" name="PivotTable15"/>
    <pivotTable tabId="15" name="PivotTable17"/>
    <pivotTable tabId="15" name="PivotTable1"/>
  </pivotTables>
  <data>
    <tabular pivotCacheId="93462477">
      <items count="8">
        <i x="0"/>
        <i x="1"/>
        <i x="2"/>
        <i x="3"/>
        <i x="4"/>
        <i x="5"/>
        <i x="6" s="1"/>
        <i x="7"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71DB7EC5-CF1C-4B8E-97E1-676359B1BF90}" sourceName="Year">
  <pivotTables>
    <pivotTable tabId="10" name="PivotTable1"/>
  </pivotTables>
  <data>
    <tabular pivotCacheId="1766250509">
      <items count="51">
        <i x="0"/>
        <i x="1"/>
        <i x="2" s="1"/>
        <i x="47" nd="1"/>
        <i x="48" nd="1"/>
        <i x="49" nd="1"/>
        <i x="50" nd="1"/>
        <i x="4" nd="1"/>
        <i x="5" nd="1"/>
        <i x="6" nd="1"/>
        <i x="7" nd="1"/>
        <i x="8" nd="1"/>
        <i x="9" nd="1"/>
        <i x="10" nd="1"/>
        <i x="11" nd="1"/>
        <i x="12" nd="1"/>
        <i x="13" nd="1"/>
        <i x="14" nd="1"/>
        <i x="15" nd="1"/>
        <i x="16" nd="1"/>
        <i x="17" nd="1"/>
        <i x="18" nd="1"/>
        <i x="19" nd="1"/>
        <i x="20" nd="1"/>
        <i x="21" nd="1"/>
        <i x="22" nd="1"/>
        <i x="23" nd="1"/>
        <i x="24" nd="1"/>
        <i x="25" nd="1"/>
        <i x="26" nd="1"/>
        <i x="27" nd="1"/>
        <i x="28" nd="1"/>
        <i x="29" nd="1"/>
        <i x="30" nd="1"/>
        <i x="31" nd="1"/>
        <i x="32" nd="1"/>
        <i x="33" nd="1"/>
        <i x="34" nd="1"/>
        <i x="35" nd="1"/>
        <i x="36" nd="1"/>
        <i x="37" nd="1"/>
        <i x="38" nd="1"/>
        <i x="39" nd="1"/>
        <i x="40" nd="1"/>
        <i x="41" nd="1"/>
        <i x="42" nd="1"/>
        <i x="43" nd="1"/>
        <i x="44" nd="1"/>
        <i x="45" nd="1"/>
        <i x="46" nd="1"/>
        <i x="3"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isc" xr10:uid="{986082ED-DB60-4DBF-AE5E-2F532E497698}" sourceName="Misc">
  <pivotTables>
    <pivotTable tabId="15" name="PivotTable1"/>
    <pivotTable tabId="6" name="Report-county, fire"/>
    <pivotTable tabId="15" name="PivotTable14"/>
  </pivotTables>
  <data>
    <tabular pivotCacheId="93462477">
      <items count="3">
        <i x="0" s="1"/>
        <i x="2" s="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6" xr10:uid="{BB548BAF-BE8D-4408-B522-C797319BBE12}" cache="Slicer_Year" caption="Year" startItem="1" rowHeight="247650"/>
  <slicer name="Year 7" xr10:uid="{6A6D716F-13B4-4F2B-A162-B2D4F3B5D90D}" cache="Slicer_Year1" caption="Year" rowHeight="247650"/>
  <slicer name="Misc" xr10:uid="{392D352A-D701-482C-A0E2-06383A91B1E9}" cache="Slicer_Misc" caption="Misc"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79594AA-8959-4905-A072-4C82FF469619}" cache="Slicer_Year" caption="Year"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54554B1C-257C-41FD-82DE-1A48777F07A7}" cache="Slicer_Year" caption="Year"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2F6ADF3E-BE31-4AC8-90FF-005FE4175B37}" cache="Slicer_Year" caption="Year"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fca.com/fire-map?lng=-120.5834&amp;lat=44.1849&amp;zoom=6.35" TargetMode="External"/><Relationship Id="rId1" Type="http://schemas.openxmlformats.org/officeDocument/2006/relationships/hyperlink" Target="https://geo.maps.arcgis.com/apps/instant/portfolio/index.html?appid=22d04c007866419c91ccf00d097526c8"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8" Type="http://schemas.openxmlformats.org/officeDocument/2006/relationships/hyperlink" Target="https://gacc.nifc.gov/nwcc/information/fire_info" TargetMode="External"/><Relationship Id="rId13" Type="http://schemas.microsoft.com/office/2007/relationships/slicer" Target="../slicers/slicer1.xml"/><Relationship Id="rId3" Type="http://schemas.openxmlformats.org/officeDocument/2006/relationships/pivotTable" Target="../pivotTables/pivotTable4.xml"/><Relationship Id="rId7" Type="http://schemas.openxmlformats.org/officeDocument/2006/relationships/hyperlink" Target="https://odffire.com/" TargetMode="External"/><Relationship Id="rId12"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hyperlink" Target="https://experience.arcgis.com/experience/83f2c1698e4c4e3e8cce2eaa6d148d08/page/Evacuation-Information/" TargetMode="External"/><Relationship Id="rId11" Type="http://schemas.openxmlformats.org/officeDocument/2006/relationships/printerSettings" Target="../printerSettings/printerSettings5.bin"/><Relationship Id="rId5" Type="http://schemas.openxmlformats.org/officeDocument/2006/relationships/hyperlink" Target="https://geo.maps.arcgis.com/apps/instant/portfolio/index.html?appid=22d04c007866419c91ccf00d097526c8" TargetMode="External"/><Relationship Id="rId10" Type="http://schemas.openxmlformats.org/officeDocument/2006/relationships/hyperlink" Target="https://wfca.com/fire-map?lng=-120.5834&amp;lat=44.1849&amp;zoom=6.35" TargetMode="External"/><Relationship Id="rId4" Type="http://schemas.openxmlformats.org/officeDocument/2006/relationships/pivotTable" Target="../pivotTables/pivotTable5.xml"/><Relationship Id="rId9" Type="http://schemas.openxmlformats.org/officeDocument/2006/relationships/hyperlink" Target="https://geo.maps.arcgis.com/apps/instant/portfolio/index.html?appid=22d04c007866419c91ccf00d097526c8"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odffire.com/" TargetMode="External"/><Relationship Id="rId1" Type="http://schemas.openxmlformats.org/officeDocument/2006/relationships/hyperlink" Target="https://odffire.com/" TargetMode="External"/><Relationship Id="rId4"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8" Type="http://schemas.openxmlformats.org/officeDocument/2006/relationships/hyperlink" Target="https://experience.arcgis.com/experience/83f2c1698e4c4e3e8cce2eaa6d148d08/page/Evacuation-Information/" TargetMode="External"/><Relationship Id="rId3" Type="http://schemas.openxmlformats.org/officeDocument/2006/relationships/pivotTable" Target="../pivotTables/pivotTable8.xml"/><Relationship Id="rId7" Type="http://schemas.openxmlformats.org/officeDocument/2006/relationships/hyperlink" Target="https://odffire.com/" TargetMode="Externa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hyperlink" Target="https://gacc.nifc.gov/nwcc/information/fire_info" TargetMode="External"/><Relationship Id="rId11" Type="http://schemas.microsoft.com/office/2007/relationships/slicer" Target="../slicers/slicer2.xml"/><Relationship Id="rId5" Type="http://schemas.openxmlformats.org/officeDocument/2006/relationships/hyperlink" Target="https://experience.arcgis.com/experience/6329d5e4e13748b9b9f7f33f06a3c376/" TargetMode="External"/><Relationship Id="rId10" Type="http://schemas.openxmlformats.org/officeDocument/2006/relationships/drawing" Target="../drawings/drawing6.xml"/><Relationship Id="rId4" Type="http://schemas.openxmlformats.org/officeDocument/2006/relationships/pivotTable" Target="../pivotTables/pivotTable9.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9.bin"/><Relationship Id="rId1" Type="http://schemas.openxmlformats.org/officeDocument/2006/relationships/pivotTable" Target="../pivotTables/pivotTable10.xml"/><Relationship Id="rId4" Type="http://schemas.microsoft.com/office/2007/relationships/slicer" Target="../slicers/slicer3.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0.bin"/><Relationship Id="rId1" Type="http://schemas.openxmlformats.org/officeDocument/2006/relationships/pivotTable" Target="../pivotTables/pivotTable11.xml"/><Relationship Id="rId4" Type="http://schemas.microsoft.com/office/2007/relationships/slicer" Target="../slicers/slicer4.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4BC32-AF1C-46DA-BA41-BE4DCE8ABD2D}">
  <sheetPr codeName="Sheet3">
    <tabColor rgb="FFFFFF00"/>
  </sheetPr>
  <dimension ref="A1:F515"/>
  <sheetViews>
    <sheetView zoomScale="90" zoomScaleNormal="90" workbookViewId="0">
      <pane xSplit="1" ySplit="1" topLeftCell="B502" activePane="bottomRight" state="frozen"/>
      <selection pane="topRight" activeCell="B1" sqref="B1"/>
      <selection pane="bottomLeft" activeCell="A3" sqref="A3"/>
      <selection pane="bottomRight" activeCell="F514" sqref="F514"/>
    </sheetView>
  </sheetViews>
  <sheetFormatPr baseColWidth="10" defaultColWidth="8.83203125" defaultRowHeight="15"/>
  <cols>
    <col min="1" max="2" width="9.83203125" style="46" customWidth="1"/>
    <col min="3" max="3" width="11.5" style="102" customWidth="1"/>
    <col min="4" max="4" width="9.83203125" style="54" customWidth="1"/>
    <col min="5" max="5" width="9.83203125" style="65" customWidth="1"/>
    <col min="6" max="6" width="51.6640625" customWidth="1"/>
  </cols>
  <sheetData>
    <row r="1" spans="1:6" ht="63.5" customHeight="1" thickBot="1">
      <c r="A1" s="45" t="s">
        <v>317</v>
      </c>
      <c r="B1" s="114" t="s">
        <v>573</v>
      </c>
      <c r="C1" s="115" t="s">
        <v>568</v>
      </c>
      <c r="D1" s="53" t="s">
        <v>496</v>
      </c>
      <c r="E1" s="64" t="s">
        <v>892</v>
      </c>
      <c r="F1" s="64" t="s">
        <v>147</v>
      </c>
    </row>
    <row r="2" spans="1:6">
      <c r="A2" s="46">
        <v>2024</v>
      </c>
      <c r="B2" s="46" t="s">
        <v>567</v>
      </c>
      <c r="C2" s="102">
        <v>45468</v>
      </c>
      <c r="D2" s="54">
        <v>22</v>
      </c>
      <c r="E2" s="65">
        <v>1885</v>
      </c>
    </row>
    <row r="3" spans="1:6">
      <c r="A3" s="46">
        <v>2024</v>
      </c>
      <c r="B3" s="46" t="s">
        <v>567</v>
      </c>
      <c r="C3" s="102">
        <v>45469</v>
      </c>
      <c r="D3" s="54">
        <v>39</v>
      </c>
      <c r="E3" s="65">
        <v>4392</v>
      </c>
    </row>
    <row r="4" spans="1:6">
      <c r="A4" s="46">
        <v>2024</v>
      </c>
      <c r="B4" s="46" t="s">
        <v>567</v>
      </c>
      <c r="C4" s="102">
        <v>45470</v>
      </c>
      <c r="D4" s="54">
        <v>44</v>
      </c>
      <c r="E4" s="65">
        <v>20010</v>
      </c>
    </row>
    <row r="5" spans="1:6">
      <c r="A5" s="46">
        <v>2024</v>
      </c>
      <c r="B5" s="46" t="s">
        <v>567</v>
      </c>
      <c r="C5" s="102">
        <v>45471</v>
      </c>
      <c r="D5" s="54">
        <v>39</v>
      </c>
      <c r="E5" s="65">
        <v>24110</v>
      </c>
    </row>
    <row r="6" spans="1:6">
      <c r="A6" s="46">
        <v>2024</v>
      </c>
      <c r="B6" s="46" t="s">
        <v>567</v>
      </c>
      <c r="C6" s="102">
        <v>45474</v>
      </c>
      <c r="D6" s="54">
        <v>20</v>
      </c>
      <c r="E6" s="65">
        <v>24018</v>
      </c>
    </row>
    <row r="7" spans="1:6">
      <c r="A7" s="46">
        <v>2024</v>
      </c>
      <c r="B7" s="46" t="s">
        <v>567</v>
      </c>
      <c r="C7" s="102">
        <v>45475</v>
      </c>
      <c r="D7" s="54">
        <v>20</v>
      </c>
      <c r="E7" s="65">
        <v>24011</v>
      </c>
    </row>
    <row r="8" spans="1:6">
      <c r="A8" s="46">
        <v>2024</v>
      </c>
      <c r="B8" s="46" t="s">
        <v>567</v>
      </c>
      <c r="C8" s="102">
        <v>45476</v>
      </c>
      <c r="D8" s="54">
        <v>22</v>
      </c>
      <c r="E8" s="65">
        <v>24011</v>
      </c>
    </row>
    <row r="9" spans="1:6">
      <c r="A9" s="46">
        <v>2024</v>
      </c>
      <c r="B9" s="46" t="s">
        <v>567</v>
      </c>
      <c r="C9" s="102">
        <v>45478</v>
      </c>
      <c r="D9" s="54">
        <v>35</v>
      </c>
      <c r="E9" s="65">
        <v>24110</v>
      </c>
    </row>
    <row r="10" spans="1:6">
      <c r="A10" s="46">
        <v>2024</v>
      </c>
      <c r="B10" s="46" t="s">
        <v>567</v>
      </c>
      <c r="C10" s="102">
        <v>45481</v>
      </c>
      <c r="D10" s="54">
        <v>29</v>
      </c>
      <c r="E10" s="65">
        <v>20680</v>
      </c>
    </row>
    <row r="11" spans="1:6">
      <c r="A11" s="46">
        <v>2024</v>
      </c>
      <c r="B11" s="46" t="s">
        <v>567</v>
      </c>
      <c r="C11" s="102">
        <v>45482</v>
      </c>
      <c r="D11" s="54">
        <v>24</v>
      </c>
      <c r="E11" s="65">
        <v>5484</v>
      </c>
    </row>
    <row r="12" spans="1:6">
      <c r="A12" s="46">
        <v>2024</v>
      </c>
      <c r="B12" s="46" t="s">
        <v>567</v>
      </c>
      <c r="C12" s="102">
        <v>45483</v>
      </c>
      <c r="D12" s="54">
        <v>21</v>
      </c>
      <c r="E12" s="65">
        <v>14369</v>
      </c>
    </row>
    <row r="13" spans="1:6">
      <c r="A13" s="46">
        <v>2024</v>
      </c>
      <c r="B13" s="46" t="s">
        <v>567</v>
      </c>
      <c r="C13" s="102">
        <v>45484</v>
      </c>
      <c r="D13" s="54">
        <v>29</v>
      </c>
      <c r="E13" s="65">
        <v>25284</v>
      </c>
    </row>
    <row r="14" spans="1:6">
      <c r="A14" s="46">
        <v>2024</v>
      </c>
      <c r="B14" s="46" t="s">
        <v>567</v>
      </c>
      <c r="C14" s="102">
        <v>45485</v>
      </c>
      <c r="D14" s="54">
        <v>26</v>
      </c>
      <c r="E14" s="65">
        <v>48406</v>
      </c>
    </row>
    <row r="15" spans="1:6">
      <c r="A15" s="46">
        <v>2024</v>
      </c>
      <c r="B15" s="46" t="s">
        <v>567</v>
      </c>
      <c r="C15" s="102">
        <v>45488</v>
      </c>
      <c r="D15" s="54">
        <v>25</v>
      </c>
      <c r="E15" s="65">
        <v>247155</v>
      </c>
    </row>
    <row r="16" spans="1:6">
      <c r="A16" s="46">
        <v>2024</v>
      </c>
      <c r="B16" s="46" t="s">
        <v>567</v>
      </c>
      <c r="C16" s="102">
        <v>45489</v>
      </c>
      <c r="D16" s="54">
        <v>27</v>
      </c>
      <c r="E16" s="65">
        <v>256258</v>
      </c>
    </row>
    <row r="17" spans="1:5">
      <c r="A17" s="46">
        <v>2024</v>
      </c>
      <c r="B17" s="46" t="s">
        <v>567</v>
      </c>
      <c r="C17" s="102">
        <v>45490</v>
      </c>
      <c r="D17" s="54">
        <v>51</v>
      </c>
      <c r="E17" s="65">
        <v>319311</v>
      </c>
    </row>
    <row r="18" spans="1:5">
      <c r="A18" s="46">
        <v>2024</v>
      </c>
      <c r="B18" s="46" t="s">
        <v>567</v>
      </c>
      <c r="C18" s="102">
        <v>45491</v>
      </c>
      <c r="D18" s="54">
        <v>93</v>
      </c>
      <c r="E18" s="65">
        <v>331354</v>
      </c>
    </row>
    <row r="19" spans="1:5">
      <c r="A19" s="46">
        <v>2024</v>
      </c>
      <c r="B19" s="46" t="s">
        <v>567</v>
      </c>
      <c r="C19" s="102">
        <v>45492</v>
      </c>
      <c r="D19" s="54">
        <v>105</v>
      </c>
      <c r="E19" s="65">
        <v>376155</v>
      </c>
    </row>
    <row r="20" spans="1:5">
      <c r="A20" s="46">
        <v>2024</v>
      </c>
      <c r="B20" s="46" t="s">
        <v>567</v>
      </c>
      <c r="C20" s="102">
        <v>45493</v>
      </c>
      <c r="D20" s="54">
        <v>84</v>
      </c>
      <c r="E20" s="65">
        <v>504837</v>
      </c>
    </row>
    <row r="21" spans="1:5">
      <c r="A21" s="46">
        <v>2024</v>
      </c>
      <c r="B21" s="46" t="s">
        <v>567</v>
      </c>
      <c r="C21" s="102">
        <v>45495</v>
      </c>
      <c r="D21" s="54">
        <v>99</v>
      </c>
      <c r="E21" s="65">
        <v>618635</v>
      </c>
    </row>
    <row r="22" spans="1:5">
      <c r="A22" s="46">
        <v>2024</v>
      </c>
      <c r="B22" s="46" t="s">
        <v>567</v>
      </c>
      <c r="C22" s="102">
        <v>45496</v>
      </c>
      <c r="D22" s="54">
        <v>126</v>
      </c>
      <c r="E22" s="65">
        <v>707890</v>
      </c>
    </row>
    <row r="23" spans="1:5">
      <c r="A23" s="46">
        <v>2024</v>
      </c>
      <c r="B23" s="46" t="s">
        <v>567</v>
      </c>
      <c r="C23" s="102">
        <v>45497</v>
      </c>
      <c r="D23" s="54">
        <v>116</v>
      </c>
      <c r="E23" s="65">
        <v>826849</v>
      </c>
    </row>
    <row r="24" spans="1:5">
      <c r="A24" s="46">
        <v>2024</v>
      </c>
      <c r="B24" s="46" t="s">
        <v>567</v>
      </c>
      <c r="C24" s="102">
        <v>45498</v>
      </c>
      <c r="D24" s="54">
        <v>124</v>
      </c>
      <c r="E24" s="65">
        <v>948097</v>
      </c>
    </row>
    <row r="25" spans="1:5">
      <c r="A25" s="46">
        <v>2024</v>
      </c>
      <c r="B25" s="46" t="s">
        <v>567</v>
      </c>
      <c r="C25" s="102">
        <v>45499</v>
      </c>
      <c r="D25" s="54">
        <v>126</v>
      </c>
      <c r="E25" s="65">
        <v>1018162</v>
      </c>
    </row>
    <row r="26" spans="1:5">
      <c r="A26" s="46">
        <v>2024</v>
      </c>
      <c r="B26" s="46" t="s">
        <v>567</v>
      </c>
      <c r="C26" s="102">
        <v>45502</v>
      </c>
      <c r="D26" s="54">
        <v>121</v>
      </c>
      <c r="E26" s="65">
        <v>1142728</v>
      </c>
    </row>
    <row r="27" spans="1:5">
      <c r="A27" s="46">
        <v>2024</v>
      </c>
      <c r="B27" s="46" t="s">
        <v>567</v>
      </c>
      <c r="C27" s="102">
        <v>45503</v>
      </c>
      <c r="D27" s="54">
        <v>121</v>
      </c>
      <c r="E27" s="65">
        <v>1208702</v>
      </c>
    </row>
    <row r="28" spans="1:5">
      <c r="A28" s="46">
        <v>2024</v>
      </c>
      <c r="B28" s="46" t="s">
        <v>567</v>
      </c>
      <c r="C28" s="102">
        <v>45504</v>
      </c>
      <c r="D28" s="54">
        <v>114</v>
      </c>
      <c r="E28" s="65">
        <v>1231511</v>
      </c>
    </row>
    <row r="29" spans="1:5">
      <c r="A29" s="46">
        <v>2024</v>
      </c>
      <c r="B29" s="46" t="s">
        <v>567</v>
      </c>
      <c r="C29" s="102">
        <v>45505</v>
      </c>
      <c r="D29" s="54">
        <v>115</v>
      </c>
      <c r="E29" s="65">
        <v>1231519</v>
      </c>
    </row>
    <row r="30" spans="1:5">
      <c r="A30" s="46">
        <v>2024</v>
      </c>
      <c r="B30" s="46" t="s">
        <v>567</v>
      </c>
      <c r="C30" s="102">
        <v>45506</v>
      </c>
      <c r="D30" s="54">
        <v>110</v>
      </c>
      <c r="E30" s="65">
        <v>1240751</v>
      </c>
    </row>
    <row r="31" spans="1:5">
      <c r="A31" s="46">
        <v>2024</v>
      </c>
      <c r="B31" s="46" t="s">
        <v>567</v>
      </c>
      <c r="C31" s="102">
        <v>45509</v>
      </c>
      <c r="D31" s="54">
        <v>129</v>
      </c>
      <c r="E31" s="65">
        <v>1177887</v>
      </c>
    </row>
    <row r="32" spans="1:5">
      <c r="A32" s="46">
        <v>2024</v>
      </c>
      <c r="B32" s="46" t="s">
        <v>567</v>
      </c>
      <c r="C32" s="102">
        <v>45510</v>
      </c>
      <c r="D32" s="54">
        <v>141</v>
      </c>
      <c r="E32" s="65">
        <v>1203372</v>
      </c>
    </row>
    <row r="33" spans="1:5">
      <c r="A33" s="46">
        <v>2024</v>
      </c>
      <c r="B33" s="46" t="s">
        <v>567</v>
      </c>
      <c r="C33" s="102">
        <v>45511</v>
      </c>
      <c r="D33" s="54">
        <v>136</v>
      </c>
      <c r="E33" s="65">
        <v>1244601</v>
      </c>
    </row>
    <row r="34" spans="1:5">
      <c r="A34" s="46">
        <v>2024</v>
      </c>
      <c r="B34" s="46" t="s">
        <v>567</v>
      </c>
      <c r="C34" s="102">
        <v>45512</v>
      </c>
      <c r="D34" s="54">
        <v>129</v>
      </c>
      <c r="E34" s="65">
        <v>1275665</v>
      </c>
    </row>
    <row r="35" spans="1:5">
      <c r="A35" s="46">
        <v>2024</v>
      </c>
      <c r="B35" s="46" t="s">
        <v>567</v>
      </c>
      <c r="C35" s="102">
        <v>45513</v>
      </c>
      <c r="D35" s="54">
        <v>117</v>
      </c>
      <c r="E35" s="65">
        <v>1269555</v>
      </c>
    </row>
    <row r="36" spans="1:5">
      <c r="A36" s="46">
        <v>2024</v>
      </c>
      <c r="B36" s="46" t="s">
        <v>567</v>
      </c>
      <c r="C36" s="102">
        <v>45516</v>
      </c>
      <c r="D36" s="54">
        <v>92</v>
      </c>
      <c r="E36" s="65">
        <v>1152714</v>
      </c>
    </row>
    <row r="37" spans="1:5">
      <c r="A37" s="46">
        <v>2024</v>
      </c>
      <c r="B37" s="46" t="s">
        <v>567</v>
      </c>
      <c r="C37" s="102">
        <v>45517</v>
      </c>
      <c r="D37" s="54">
        <v>97</v>
      </c>
      <c r="E37" s="65">
        <v>1161198</v>
      </c>
    </row>
    <row r="38" spans="1:5">
      <c r="A38" s="46">
        <v>2024</v>
      </c>
      <c r="B38" s="46" t="s">
        <v>567</v>
      </c>
      <c r="C38" s="102">
        <v>45518</v>
      </c>
      <c r="D38" s="54">
        <v>97</v>
      </c>
      <c r="E38" s="65">
        <v>1163999</v>
      </c>
    </row>
    <row r="39" spans="1:5">
      <c r="A39" s="46">
        <v>2024</v>
      </c>
      <c r="B39" s="46" t="s">
        <v>567</v>
      </c>
      <c r="C39" s="102">
        <v>45519</v>
      </c>
      <c r="D39" s="54">
        <v>93</v>
      </c>
      <c r="E39" s="65">
        <v>1170324</v>
      </c>
    </row>
    <row r="40" spans="1:5">
      <c r="A40" s="46">
        <v>2024</v>
      </c>
      <c r="B40" s="46" t="s">
        <v>567</v>
      </c>
      <c r="C40" s="102">
        <v>45520</v>
      </c>
      <c r="D40" s="54">
        <v>85</v>
      </c>
      <c r="E40" s="65">
        <v>1160459</v>
      </c>
    </row>
    <row r="41" spans="1:5">
      <c r="A41" s="46">
        <v>2024</v>
      </c>
      <c r="B41" s="46" t="s">
        <v>567</v>
      </c>
      <c r="C41" s="102">
        <v>45523</v>
      </c>
      <c r="D41" s="54">
        <v>103</v>
      </c>
      <c r="E41" s="65">
        <v>1162868</v>
      </c>
    </row>
    <row r="42" spans="1:5">
      <c r="A42" s="46">
        <v>2024</v>
      </c>
      <c r="B42" s="46" t="s">
        <v>567</v>
      </c>
      <c r="C42" s="102">
        <v>45524</v>
      </c>
      <c r="D42" s="54">
        <v>89</v>
      </c>
      <c r="E42" s="65">
        <v>1159824</v>
      </c>
    </row>
    <row r="43" spans="1:5">
      <c r="A43" s="46">
        <v>2024</v>
      </c>
      <c r="B43" s="46" t="s">
        <v>567</v>
      </c>
      <c r="C43" s="102">
        <v>45525</v>
      </c>
      <c r="D43" s="54">
        <v>83</v>
      </c>
      <c r="E43" s="65">
        <v>1164940</v>
      </c>
    </row>
    <row r="44" spans="1:5">
      <c r="A44" s="46">
        <v>2024</v>
      </c>
      <c r="B44" s="46" t="s">
        <v>567</v>
      </c>
      <c r="C44" s="102">
        <v>45526</v>
      </c>
      <c r="D44" s="54">
        <v>86</v>
      </c>
      <c r="E44" s="65">
        <v>1162130</v>
      </c>
    </row>
    <row r="45" spans="1:5">
      <c r="A45" s="46">
        <v>2024</v>
      </c>
      <c r="B45" s="46" t="s">
        <v>567</v>
      </c>
      <c r="C45" s="102">
        <v>45527</v>
      </c>
      <c r="D45" s="54">
        <v>79</v>
      </c>
      <c r="E45" s="65">
        <v>1162217</v>
      </c>
    </row>
    <row r="46" spans="1:5">
      <c r="A46" s="46">
        <v>2024</v>
      </c>
      <c r="B46" s="46" t="s">
        <v>567</v>
      </c>
      <c r="C46" s="102">
        <v>45530</v>
      </c>
      <c r="D46" s="54">
        <v>73</v>
      </c>
      <c r="E46" s="65">
        <v>1161219</v>
      </c>
    </row>
    <row r="47" spans="1:5">
      <c r="A47" s="46">
        <v>2024</v>
      </c>
      <c r="B47" s="46" t="s">
        <v>567</v>
      </c>
      <c r="C47" s="102">
        <v>45531</v>
      </c>
      <c r="D47" s="54">
        <v>74</v>
      </c>
      <c r="E47" s="65">
        <v>1130463</v>
      </c>
    </row>
    <row r="48" spans="1:5">
      <c r="A48" s="46">
        <v>2024</v>
      </c>
      <c r="B48" s="46" t="s">
        <v>567</v>
      </c>
      <c r="C48" s="102">
        <v>45532</v>
      </c>
      <c r="D48" s="54">
        <v>76</v>
      </c>
      <c r="E48" s="65">
        <v>1130573</v>
      </c>
    </row>
    <row r="49" spans="1:5">
      <c r="A49" s="46">
        <v>2024</v>
      </c>
      <c r="B49" s="46" t="s">
        <v>567</v>
      </c>
      <c r="C49" s="102">
        <v>45533</v>
      </c>
      <c r="D49" s="54">
        <v>75</v>
      </c>
      <c r="E49" s="65">
        <v>1125529</v>
      </c>
    </row>
    <row r="50" spans="1:5">
      <c r="A50" s="46">
        <v>2024</v>
      </c>
      <c r="B50" s="46" t="s">
        <v>567</v>
      </c>
      <c r="C50" s="102">
        <v>45534</v>
      </c>
      <c r="D50" s="54">
        <v>71</v>
      </c>
      <c r="E50" s="65">
        <v>1117962</v>
      </c>
    </row>
    <row r="51" spans="1:5">
      <c r="A51" s="46">
        <v>2024</v>
      </c>
      <c r="B51" s="46" t="s">
        <v>567</v>
      </c>
      <c r="C51" s="102">
        <v>45538</v>
      </c>
      <c r="D51" s="54">
        <v>105</v>
      </c>
      <c r="E51" s="65">
        <v>1152053</v>
      </c>
    </row>
    <row r="52" spans="1:5">
      <c r="A52" s="46">
        <v>2024</v>
      </c>
      <c r="B52" s="46" t="s">
        <v>567</v>
      </c>
      <c r="C52" s="102">
        <v>45539</v>
      </c>
      <c r="D52" s="54">
        <v>109</v>
      </c>
      <c r="E52" s="65">
        <v>1218088</v>
      </c>
    </row>
    <row r="53" spans="1:5">
      <c r="A53" s="46">
        <v>2024</v>
      </c>
      <c r="B53" s="46" t="s">
        <v>567</v>
      </c>
      <c r="C53" s="102">
        <v>45540</v>
      </c>
      <c r="D53" s="54">
        <v>108</v>
      </c>
      <c r="E53" s="65">
        <v>1163884</v>
      </c>
    </row>
    <row r="54" spans="1:5">
      <c r="A54" s="46">
        <v>2024</v>
      </c>
      <c r="B54" s="46" t="s">
        <v>567</v>
      </c>
      <c r="C54" s="102">
        <v>45541</v>
      </c>
      <c r="D54" s="54">
        <v>103</v>
      </c>
      <c r="E54" s="65">
        <v>1241650</v>
      </c>
    </row>
    <row r="55" spans="1:5">
      <c r="A55" s="46">
        <v>2024</v>
      </c>
      <c r="B55" s="46" t="s">
        <v>567</v>
      </c>
      <c r="C55" s="102">
        <v>45544</v>
      </c>
      <c r="D55" s="54">
        <v>145</v>
      </c>
      <c r="E55" s="65">
        <v>1144114</v>
      </c>
    </row>
    <row r="56" spans="1:5">
      <c r="A56" s="46">
        <v>2024</v>
      </c>
      <c r="B56" s="46" t="s">
        <v>567</v>
      </c>
      <c r="C56" s="102">
        <v>45545</v>
      </c>
      <c r="D56" s="54">
        <v>136</v>
      </c>
      <c r="E56" s="65">
        <v>1153697</v>
      </c>
    </row>
    <row r="57" spans="1:5">
      <c r="A57" s="46">
        <v>2024</v>
      </c>
      <c r="B57" s="46" t="s">
        <v>567</v>
      </c>
      <c r="C57" s="102">
        <v>45546</v>
      </c>
      <c r="D57" s="54">
        <v>133</v>
      </c>
      <c r="E57" s="65">
        <v>1165381</v>
      </c>
    </row>
    <row r="58" spans="1:5">
      <c r="A58" s="46">
        <v>2024</v>
      </c>
      <c r="B58" s="46" t="s">
        <v>567</v>
      </c>
      <c r="C58" s="102">
        <v>45547</v>
      </c>
      <c r="D58" s="54">
        <v>127</v>
      </c>
      <c r="E58" s="65">
        <v>1193610</v>
      </c>
    </row>
    <row r="59" spans="1:5">
      <c r="A59" s="46">
        <v>2024</v>
      </c>
      <c r="B59" s="46" t="s">
        <v>567</v>
      </c>
      <c r="C59" s="102">
        <v>45548</v>
      </c>
      <c r="D59" s="54">
        <v>120</v>
      </c>
      <c r="E59" s="65">
        <v>1205833</v>
      </c>
    </row>
    <row r="60" spans="1:5">
      <c r="A60" s="46">
        <v>2024</v>
      </c>
      <c r="B60" s="46" t="s">
        <v>567</v>
      </c>
      <c r="C60" s="102">
        <v>45551</v>
      </c>
      <c r="D60" s="54">
        <v>113</v>
      </c>
      <c r="E60" s="65">
        <v>1216618</v>
      </c>
    </row>
    <row r="61" spans="1:5">
      <c r="A61" s="46">
        <v>2024</v>
      </c>
      <c r="B61" s="46" t="s">
        <v>567</v>
      </c>
      <c r="C61" s="102">
        <v>45552</v>
      </c>
      <c r="D61" s="54">
        <v>111</v>
      </c>
      <c r="E61" s="65">
        <v>1217118</v>
      </c>
    </row>
    <row r="62" spans="1:5">
      <c r="A62" s="46">
        <v>2024</v>
      </c>
      <c r="B62" s="46" t="s">
        <v>567</v>
      </c>
      <c r="C62" s="102">
        <v>45553</v>
      </c>
      <c r="D62" s="54">
        <v>101</v>
      </c>
      <c r="E62" s="65">
        <v>1215203</v>
      </c>
    </row>
    <row r="63" spans="1:5">
      <c r="A63" s="46">
        <v>2024</v>
      </c>
      <c r="B63" s="46" t="s">
        <v>567</v>
      </c>
      <c r="C63" s="102">
        <v>45554</v>
      </c>
      <c r="D63" s="54">
        <v>100</v>
      </c>
      <c r="E63" s="65">
        <v>1214887</v>
      </c>
    </row>
    <row r="64" spans="1:5">
      <c r="A64" s="46">
        <v>2024</v>
      </c>
      <c r="B64" s="46" t="s">
        <v>567</v>
      </c>
      <c r="C64" s="102">
        <v>45555</v>
      </c>
      <c r="D64" s="54">
        <v>99</v>
      </c>
      <c r="E64" s="65">
        <v>1215527</v>
      </c>
    </row>
    <row r="65" spans="1:5">
      <c r="A65" s="46">
        <v>2024</v>
      </c>
      <c r="B65" s="46" t="s">
        <v>567</v>
      </c>
      <c r="C65" s="102">
        <v>45558</v>
      </c>
      <c r="D65" s="54">
        <v>98</v>
      </c>
      <c r="E65" s="65">
        <v>1136473</v>
      </c>
    </row>
    <row r="66" spans="1:5">
      <c r="A66" s="46">
        <v>2024</v>
      </c>
      <c r="B66" s="46" t="s">
        <v>567</v>
      </c>
      <c r="C66" s="102">
        <v>45559</v>
      </c>
      <c r="D66" s="54">
        <v>102</v>
      </c>
      <c r="E66" s="65">
        <v>842606</v>
      </c>
    </row>
    <row r="67" spans="1:5">
      <c r="A67" s="46">
        <v>2024</v>
      </c>
      <c r="B67" s="46" t="s">
        <v>567</v>
      </c>
      <c r="C67" s="102">
        <v>45560</v>
      </c>
      <c r="D67" s="54">
        <v>104</v>
      </c>
      <c r="E67" s="65">
        <v>798804</v>
      </c>
    </row>
    <row r="68" spans="1:5">
      <c r="A68" s="46">
        <v>2024</v>
      </c>
      <c r="B68" s="46" t="s">
        <v>567</v>
      </c>
      <c r="C68" s="102">
        <v>45561</v>
      </c>
      <c r="D68" s="54">
        <v>110</v>
      </c>
      <c r="E68" s="65">
        <v>655753</v>
      </c>
    </row>
    <row r="69" spans="1:5">
      <c r="A69" s="46">
        <v>2024</v>
      </c>
      <c r="B69" s="46" t="s">
        <v>567</v>
      </c>
      <c r="C69" s="102">
        <v>45562</v>
      </c>
      <c r="D69" s="54">
        <v>108</v>
      </c>
      <c r="E69" s="65">
        <v>515399</v>
      </c>
    </row>
    <row r="70" spans="1:5">
      <c r="A70" s="46">
        <v>2024</v>
      </c>
      <c r="B70" s="46" t="s">
        <v>567</v>
      </c>
      <c r="C70" s="102">
        <v>45565</v>
      </c>
      <c r="D70" s="54">
        <v>88</v>
      </c>
      <c r="E70" s="65">
        <v>482571</v>
      </c>
    </row>
    <row r="71" spans="1:5">
      <c r="A71" s="46">
        <v>2024</v>
      </c>
      <c r="B71" s="46" t="s">
        <v>567</v>
      </c>
      <c r="C71" s="102">
        <v>45567</v>
      </c>
      <c r="D71" s="54">
        <v>93</v>
      </c>
      <c r="E71" s="65">
        <v>482200</v>
      </c>
    </row>
    <row r="72" spans="1:5">
      <c r="A72" s="46">
        <v>2024</v>
      </c>
      <c r="B72" s="46" t="s">
        <v>567</v>
      </c>
      <c r="C72" s="102">
        <v>45568</v>
      </c>
      <c r="D72" s="54">
        <v>103</v>
      </c>
      <c r="E72" s="65">
        <v>485363</v>
      </c>
    </row>
    <row r="73" spans="1:5">
      <c r="A73" s="46">
        <v>2024</v>
      </c>
      <c r="B73" s="46" t="s">
        <v>567</v>
      </c>
      <c r="C73" s="102">
        <v>45569</v>
      </c>
      <c r="D73" s="54">
        <v>97</v>
      </c>
      <c r="E73" s="65">
        <v>485844</v>
      </c>
    </row>
    <row r="74" spans="1:5">
      <c r="A74" s="46">
        <v>2024</v>
      </c>
      <c r="B74" s="46" t="s">
        <v>567</v>
      </c>
      <c r="C74" s="102">
        <v>45572</v>
      </c>
      <c r="D74" s="54">
        <v>88</v>
      </c>
      <c r="E74" s="65">
        <v>490831</v>
      </c>
    </row>
    <row r="75" spans="1:5">
      <c r="A75" s="46">
        <v>2024</v>
      </c>
      <c r="B75" s="46" t="s">
        <v>567</v>
      </c>
      <c r="C75" s="102">
        <v>45573</v>
      </c>
      <c r="D75" s="54">
        <v>90</v>
      </c>
      <c r="E75" s="65">
        <v>494671</v>
      </c>
    </row>
    <row r="76" spans="1:5">
      <c r="A76" s="46">
        <v>2024</v>
      </c>
      <c r="B76" s="46" t="s">
        <v>567</v>
      </c>
      <c r="C76" s="102">
        <v>45574</v>
      </c>
      <c r="D76" s="54">
        <v>86</v>
      </c>
      <c r="E76" s="65">
        <v>469398</v>
      </c>
    </row>
    <row r="77" spans="1:5">
      <c r="A77" s="46">
        <v>2024</v>
      </c>
      <c r="B77" s="46" t="s">
        <v>567</v>
      </c>
      <c r="C77" s="102">
        <v>45575</v>
      </c>
      <c r="D77" s="54">
        <v>89</v>
      </c>
      <c r="E77" s="65">
        <v>474574</v>
      </c>
    </row>
    <row r="78" spans="1:5">
      <c r="A78" s="46">
        <v>2024</v>
      </c>
      <c r="B78" s="46" t="s">
        <v>567</v>
      </c>
      <c r="C78" s="102">
        <v>45576</v>
      </c>
      <c r="D78" s="54">
        <v>87</v>
      </c>
      <c r="E78" s="65">
        <v>388443</v>
      </c>
    </row>
    <row r="79" spans="1:5">
      <c r="A79" s="46">
        <v>2024</v>
      </c>
      <c r="B79" s="46" t="s">
        <v>567</v>
      </c>
      <c r="C79" s="102">
        <v>45579</v>
      </c>
      <c r="D79" s="54">
        <v>82</v>
      </c>
      <c r="E79" s="65">
        <v>389904</v>
      </c>
    </row>
    <row r="80" spans="1:5">
      <c r="A80" s="46">
        <v>2024</v>
      </c>
      <c r="B80" s="46" t="s">
        <v>567</v>
      </c>
      <c r="C80" s="102">
        <v>45580</v>
      </c>
      <c r="D80" s="54">
        <v>82</v>
      </c>
      <c r="E80" s="65">
        <v>390727</v>
      </c>
    </row>
    <row r="81" spans="1:6">
      <c r="A81" s="46">
        <v>2024</v>
      </c>
      <c r="B81" s="46" t="s">
        <v>567</v>
      </c>
      <c r="C81" s="102">
        <v>45581</v>
      </c>
      <c r="D81" s="54">
        <v>80</v>
      </c>
      <c r="E81" s="65">
        <v>387958</v>
      </c>
    </row>
    <row r="82" spans="1:6">
      <c r="A82" s="46">
        <v>2024</v>
      </c>
      <c r="B82" s="46" t="s">
        <v>567</v>
      </c>
      <c r="C82" s="102">
        <v>45582</v>
      </c>
      <c r="D82" s="54">
        <v>80</v>
      </c>
      <c r="E82" s="65">
        <v>388380</v>
      </c>
    </row>
    <row r="83" spans="1:6">
      <c r="A83" s="46">
        <v>2024</v>
      </c>
      <c r="B83" s="46" t="s">
        <v>567</v>
      </c>
      <c r="C83" s="102">
        <v>45583</v>
      </c>
      <c r="D83" s="54">
        <v>78</v>
      </c>
      <c r="E83" s="65">
        <v>415194</v>
      </c>
      <c r="F83" t="s">
        <v>580</v>
      </c>
    </row>
    <row r="84" spans="1:6">
      <c r="A84" s="46">
        <v>2024</v>
      </c>
      <c r="B84" s="46" t="s">
        <v>567</v>
      </c>
      <c r="C84" s="102">
        <v>45610</v>
      </c>
      <c r="D84" s="54">
        <v>14</v>
      </c>
      <c r="E84" s="65">
        <v>27290</v>
      </c>
    </row>
    <row r="85" spans="1:6">
      <c r="A85" s="46">
        <v>2024</v>
      </c>
      <c r="B85" s="46" t="s">
        <v>567</v>
      </c>
      <c r="C85" s="102">
        <v>45611</v>
      </c>
      <c r="D85" s="54">
        <v>13</v>
      </c>
      <c r="E85" s="65">
        <v>26762</v>
      </c>
    </row>
    <row r="86" spans="1:6">
      <c r="A86" s="46">
        <v>2024</v>
      </c>
      <c r="B86" s="46" t="s">
        <v>567</v>
      </c>
      <c r="C86" s="102">
        <v>45614</v>
      </c>
      <c r="D86" s="54">
        <v>7</v>
      </c>
      <c r="E86" s="65">
        <v>23829</v>
      </c>
    </row>
    <row r="87" spans="1:6">
      <c r="A87" s="46">
        <v>2024</v>
      </c>
      <c r="B87" s="46" t="s">
        <v>567</v>
      </c>
      <c r="C87" s="102">
        <v>45615</v>
      </c>
      <c r="D87" s="54">
        <v>6</v>
      </c>
      <c r="E87" s="65">
        <v>21748</v>
      </c>
    </row>
    <row r="88" spans="1:6">
      <c r="A88" s="46">
        <v>2024</v>
      </c>
      <c r="B88" s="46" t="s">
        <v>567</v>
      </c>
      <c r="C88" s="102">
        <v>45616</v>
      </c>
      <c r="D88" s="54">
        <v>7</v>
      </c>
      <c r="E88" s="65">
        <v>21773</v>
      </c>
    </row>
    <row r="89" spans="1:6">
      <c r="A89" s="46">
        <v>2024</v>
      </c>
      <c r="B89" s="46" t="s">
        <v>567</v>
      </c>
      <c r="C89" s="102">
        <v>45617</v>
      </c>
      <c r="D89" s="54">
        <v>23</v>
      </c>
      <c r="E89" s="65">
        <v>28399</v>
      </c>
    </row>
    <row r="90" spans="1:6">
      <c r="A90" s="46">
        <v>2024</v>
      </c>
      <c r="B90" s="46" t="s">
        <v>567</v>
      </c>
      <c r="C90" s="102">
        <v>45618</v>
      </c>
      <c r="D90" s="54">
        <v>33</v>
      </c>
      <c r="E90" s="65">
        <v>34825</v>
      </c>
    </row>
    <row r="91" spans="1:6">
      <c r="A91" s="46">
        <v>2024</v>
      </c>
      <c r="B91" s="46" t="s">
        <v>567</v>
      </c>
      <c r="C91" s="102">
        <v>45621</v>
      </c>
      <c r="D91" s="54">
        <v>12</v>
      </c>
      <c r="E91" s="65">
        <v>29443</v>
      </c>
    </row>
    <row r="92" spans="1:6">
      <c r="A92" s="46">
        <v>2024</v>
      </c>
      <c r="B92" s="46" t="s">
        <v>567</v>
      </c>
      <c r="C92" s="102">
        <v>45623</v>
      </c>
      <c r="D92" s="54">
        <v>11</v>
      </c>
      <c r="E92" s="65">
        <v>29374</v>
      </c>
    </row>
    <row r="93" spans="1:6">
      <c r="A93" s="46">
        <v>2024</v>
      </c>
      <c r="B93" s="46" t="s">
        <v>567</v>
      </c>
      <c r="C93" s="102">
        <v>45628</v>
      </c>
      <c r="D93" s="54">
        <v>5</v>
      </c>
      <c r="E93" s="65">
        <v>13000</v>
      </c>
    </row>
    <row r="94" spans="1:6">
      <c r="A94" s="46">
        <v>2024</v>
      </c>
      <c r="B94" s="46" t="s">
        <v>567</v>
      </c>
      <c r="C94" s="102">
        <v>45629</v>
      </c>
      <c r="D94" s="54">
        <v>6</v>
      </c>
      <c r="E94" s="65">
        <v>13000</v>
      </c>
    </row>
    <row r="95" spans="1:6">
      <c r="A95" s="46">
        <v>2024</v>
      </c>
      <c r="B95" s="46" t="s">
        <v>567</v>
      </c>
      <c r="C95" s="102">
        <v>45630</v>
      </c>
      <c r="D95" s="54">
        <v>9</v>
      </c>
      <c r="E95" s="65">
        <v>13001</v>
      </c>
    </row>
    <row r="96" spans="1:6">
      <c r="A96" s="46">
        <v>2024</v>
      </c>
      <c r="B96" s="46" t="s">
        <v>567</v>
      </c>
      <c r="C96" s="102">
        <v>45631</v>
      </c>
      <c r="D96" s="54">
        <v>8</v>
      </c>
      <c r="E96" s="65">
        <v>6401</v>
      </c>
    </row>
    <row r="97" spans="1:5">
      <c r="A97" s="46">
        <v>2024</v>
      </c>
      <c r="B97" s="46" t="s">
        <v>567</v>
      </c>
      <c r="C97" s="102">
        <v>45632</v>
      </c>
      <c r="D97" s="54">
        <v>14</v>
      </c>
      <c r="E97" s="65">
        <v>6426</v>
      </c>
    </row>
    <row r="98" spans="1:5">
      <c r="A98" s="46">
        <v>2024</v>
      </c>
      <c r="B98" s="46" t="s">
        <v>567</v>
      </c>
      <c r="C98" s="102">
        <v>45635</v>
      </c>
      <c r="D98" s="54">
        <v>4</v>
      </c>
      <c r="E98" s="65">
        <v>6525</v>
      </c>
    </row>
    <row r="99" spans="1:5">
      <c r="A99" s="46">
        <v>2024</v>
      </c>
      <c r="B99" s="46" t="s">
        <v>567</v>
      </c>
      <c r="C99" s="102">
        <v>45636</v>
      </c>
      <c r="D99" s="54">
        <v>5</v>
      </c>
      <c r="E99" s="65">
        <v>6425</v>
      </c>
    </row>
    <row r="100" spans="1:5">
      <c r="A100" s="46">
        <v>2024</v>
      </c>
      <c r="B100" s="46" t="s">
        <v>567</v>
      </c>
      <c r="C100" s="102">
        <v>45637</v>
      </c>
      <c r="D100" s="54">
        <v>12</v>
      </c>
      <c r="E100" s="65">
        <v>6425</v>
      </c>
    </row>
    <row r="101" spans="1:5">
      <c r="A101" s="46">
        <v>2024</v>
      </c>
      <c r="B101" s="46" t="s">
        <v>567</v>
      </c>
      <c r="C101" s="102">
        <v>45638</v>
      </c>
      <c r="D101" s="54">
        <v>19</v>
      </c>
      <c r="E101" s="65">
        <v>27780</v>
      </c>
    </row>
    <row r="102" spans="1:5">
      <c r="A102" s="46">
        <v>2024</v>
      </c>
      <c r="B102" s="46" t="s">
        <v>567</v>
      </c>
      <c r="C102" s="102">
        <v>45639</v>
      </c>
      <c r="D102" s="54">
        <v>20</v>
      </c>
      <c r="E102" s="65">
        <v>27780</v>
      </c>
    </row>
    <row r="103" spans="1:5">
      <c r="A103" s="46">
        <v>2024</v>
      </c>
      <c r="B103" s="46" t="s">
        <v>567</v>
      </c>
      <c r="C103" s="102">
        <v>45642</v>
      </c>
      <c r="D103" s="54">
        <v>12</v>
      </c>
      <c r="E103" s="65">
        <v>27755</v>
      </c>
    </row>
    <row r="104" spans="1:5">
      <c r="A104" s="46">
        <v>2024</v>
      </c>
      <c r="B104" s="46" t="s">
        <v>567</v>
      </c>
      <c r="C104" s="102">
        <v>45643</v>
      </c>
      <c r="D104" s="54">
        <v>10</v>
      </c>
      <c r="E104" s="65">
        <v>27755</v>
      </c>
    </row>
    <row r="105" spans="1:5">
      <c r="A105" s="46">
        <v>2024</v>
      </c>
      <c r="B105" s="46" t="s">
        <v>567</v>
      </c>
      <c r="C105" s="102">
        <v>45645</v>
      </c>
      <c r="D105" s="54">
        <v>18</v>
      </c>
      <c r="E105" s="65">
        <v>44067</v>
      </c>
    </row>
    <row r="106" spans="1:5">
      <c r="A106" s="46">
        <v>2024</v>
      </c>
      <c r="B106" s="46" t="s">
        <v>567</v>
      </c>
      <c r="C106" s="102">
        <v>45649</v>
      </c>
      <c r="D106" s="54">
        <v>9</v>
      </c>
      <c r="E106" s="65">
        <v>37665</v>
      </c>
    </row>
    <row r="107" spans="1:5">
      <c r="A107" s="46">
        <v>2024</v>
      </c>
      <c r="B107" s="46" t="s">
        <v>567</v>
      </c>
      <c r="C107" s="102">
        <v>45650</v>
      </c>
      <c r="D107" s="54">
        <v>9</v>
      </c>
      <c r="E107" s="65">
        <v>37665</v>
      </c>
    </row>
    <row r="108" spans="1:5">
      <c r="A108" s="46">
        <v>2024</v>
      </c>
      <c r="B108" s="46" t="s">
        <v>567</v>
      </c>
      <c r="C108" s="102">
        <v>45656</v>
      </c>
      <c r="D108" s="54">
        <v>4</v>
      </c>
      <c r="E108" s="65">
        <v>42261</v>
      </c>
    </row>
    <row r="109" spans="1:5">
      <c r="A109" s="46">
        <v>2024</v>
      </c>
      <c r="B109" s="46" t="s">
        <v>567</v>
      </c>
      <c r="C109" s="102">
        <v>45657</v>
      </c>
      <c r="D109" s="54">
        <v>5</v>
      </c>
      <c r="E109" s="65">
        <v>42261</v>
      </c>
    </row>
    <row r="110" spans="1:5">
      <c r="A110" s="46">
        <v>2025</v>
      </c>
      <c r="B110" s="46" t="s">
        <v>567</v>
      </c>
      <c r="C110" s="102">
        <v>45658</v>
      </c>
      <c r="D110" s="54">
        <v>2</v>
      </c>
      <c r="E110" s="65">
        <v>25951</v>
      </c>
    </row>
    <row r="111" spans="1:5">
      <c r="A111" s="46">
        <v>2025</v>
      </c>
      <c r="B111" s="46" t="s">
        <v>567</v>
      </c>
      <c r="C111" s="102">
        <v>45659</v>
      </c>
      <c r="D111" s="54">
        <v>2</v>
      </c>
      <c r="E111" s="65">
        <v>25951</v>
      </c>
    </row>
    <row r="112" spans="1:5">
      <c r="A112" s="46">
        <v>2025</v>
      </c>
      <c r="B112" s="46" t="s">
        <v>567</v>
      </c>
      <c r="C112" s="102">
        <v>45660</v>
      </c>
      <c r="D112" s="54">
        <v>1</v>
      </c>
      <c r="E112" s="65">
        <v>25951</v>
      </c>
    </row>
    <row r="113" spans="1:5">
      <c r="A113" s="46">
        <v>2025</v>
      </c>
      <c r="B113" s="46" t="s">
        <v>567</v>
      </c>
      <c r="C113" s="102">
        <v>45663</v>
      </c>
      <c r="D113" s="54">
        <v>1</v>
      </c>
      <c r="E113" s="65">
        <v>25951</v>
      </c>
    </row>
    <row r="114" spans="1:5">
      <c r="A114" s="46">
        <v>2025</v>
      </c>
      <c r="B114" s="46" t="s">
        <v>567</v>
      </c>
      <c r="C114" s="102">
        <v>45664</v>
      </c>
      <c r="D114" s="54">
        <v>3</v>
      </c>
      <c r="E114" s="65">
        <v>25951</v>
      </c>
    </row>
    <row r="115" spans="1:5">
      <c r="A115" s="46">
        <v>2025</v>
      </c>
      <c r="B115" s="46" t="s">
        <v>567</v>
      </c>
      <c r="C115" s="102">
        <v>45665</v>
      </c>
      <c r="D115" s="54">
        <v>9</v>
      </c>
      <c r="E115" s="65">
        <v>26441</v>
      </c>
    </row>
    <row r="116" spans="1:5">
      <c r="A116" s="46">
        <v>2025</v>
      </c>
      <c r="B116" s="46" t="s">
        <v>567</v>
      </c>
      <c r="C116" s="102">
        <v>45666</v>
      </c>
      <c r="D116" s="54">
        <v>10</v>
      </c>
      <c r="E116" s="65">
        <v>31956</v>
      </c>
    </row>
    <row r="117" spans="1:5">
      <c r="A117" s="46">
        <v>2025</v>
      </c>
      <c r="B117" s="46" t="s">
        <v>567</v>
      </c>
      <c r="C117" s="102">
        <v>45667</v>
      </c>
      <c r="D117" s="54">
        <v>8</v>
      </c>
      <c r="E117" s="65">
        <v>31956</v>
      </c>
    </row>
    <row r="118" spans="1:5">
      <c r="A118" s="46">
        <v>2025</v>
      </c>
      <c r="B118" s="46" t="s">
        <v>567</v>
      </c>
      <c r="C118" s="102">
        <v>45670</v>
      </c>
      <c r="D118" s="54">
        <v>7</v>
      </c>
      <c r="E118" s="65">
        <v>6253</v>
      </c>
    </row>
    <row r="119" spans="1:5">
      <c r="A119" s="46">
        <v>2025</v>
      </c>
      <c r="B119" s="46" t="s">
        <v>567</v>
      </c>
      <c r="C119" s="102">
        <v>45671</v>
      </c>
      <c r="D119" s="54">
        <v>5</v>
      </c>
      <c r="E119" s="65">
        <v>6253</v>
      </c>
    </row>
    <row r="120" spans="1:5">
      <c r="A120" s="46">
        <v>2025</v>
      </c>
      <c r="B120" s="46" t="s">
        <v>567</v>
      </c>
      <c r="C120" s="102">
        <v>45672</v>
      </c>
      <c r="D120" s="54">
        <v>7</v>
      </c>
      <c r="E120" s="65">
        <v>32274</v>
      </c>
    </row>
    <row r="121" spans="1:5">
      <c r="A121" s="46">
        <v>2025</v>
      </c>
      <c r="B121" s="46" t="s">
        <v>567</v>
      </c>
      <c r="C121" s="102">
        <v>45673</v>
      </c>
      <c r="D121" s="54">
        <v>8</v>
      </c>
      <c r="E121" s="65">
        <v>32249</v>
      </c>
    </row>
    <row r="122" spans="1:5">
      <c r="A122" s="46">
        <v>2025</v>
      </c>
      <c r="B122" s="46" t="s">
        <v>567</v>
      </c>
      <c r="C122" s="102">
        <v>45674</v>
      </c>
      <c r="D122" s="54">
        <v>8</v>
      </c>
      <c r="E122" s="65">
        <v>32249</v>
      </c>
    </row>
    <row r="123" spans="1:5">
      <c r="A123" s="46">
        <v>2025</v>
      </c>
      <c r="B123" s="46" t="s">
        <v>567</v>
      </c>
      <c r="C123" s="102">
        <v>45678</v>
      </c>
      <c r="D123" s="54">
        <v>6</v>
      </c>
      <c r="E123" s="65">
        <v>32247</v>
      </c>
    </row>
    <row r="124" spans="1:5">
      <c r="A124" s="46">
        <v>2025</v>
      </c>
      <c r="B124" s="46" t="s">
        <v>567</v>
      </c>
      <c r="C124" s="102">
        <v>45679</v>
      </c>
      <c r="D124" s="54">
        <v>8</v>
      </c>
      <c r="E124" s="65">
        <v>32274</v>
      </c>
    </row>
    <row r="125" spans="1:5">
      <c r="A125" s="46">
        <v>2025</v>
      </c>
      <c r="B125" s="46" t="s">
        <v>567</v>
      </c>
      <c r="C125" s="102">
        <v>45680</v>
      </c>
      <c r="D125" s="54">
        <v>3</v>
      </c>
      <c r="E125" s="65">
        <v>26224</v>
      </c>
    </row>
    <row r="126" spans="1:5">
      <c r="A126" s="46">
        <v>2025</v>
      </c>
      <c r="B126" s="46" t="s">
        <v>567</v>
      </c>
      <c r="C126" s="102">
        <v>45681</v>
      </c>
      <c r="D126" s="54">
        <v>3</v>
      </c>
      <c r="E126" s="65">
        <v>26224</v>
      </c>
    </row>
    <row r="127" spans="1:5">
      <c r="A127" s="46">
        <v>2025</v>
      </c>
      <c r="B127" s="46" t="s">
        <v>567</v>
      </c>
      <c r="C127" s="102">
        <v>45684</v>
      </c>
      <c r="D127" s="54">
        <v>2</v>
      </c>
      <c r="E127" s="65">
        <v>25976</v>
      </c>
    </row>
    <row r="128" spans="1:5">
      <c r="A128" s="46">
        <v>2025</v>
      </c>
      <c r="B128" s="46" t="s">
        <v>567</v>
      </c>
      <c r="C128" s="102">
        <v>45685</v>
      </c>
      <c r="D128" s="54">
        <v>2</v>
      </c>
      <c r="E128" s="65">
        <v>25976</v>
      </c>
    </row>
    <row r="129" spans="1:6">
      <c r="A129" s="46">
        <v>2025</v>
      </c>
      <c r="B129" s="46" t="s">
        <v>567</v>
      </c>
      <c r="C129" s="102">
        <v>45686</v>
      </c>
      <c r="D129" s="54">
        <v>1</v>
      </c>
      <c r="E129" s="65">
        <v>25972</v>
      </c>
    </row>
    <row r="130" spans="1:6">
      <c r="A130" s="46">
        <v>2025</v>
      </c>
      <c r="B130" s="46" t="s">
        <v>567</v>
      </c>
      <c r="C130" s="102">
        <v>45687</v>
      </c>
      <c r="D130" s="54">
        <v>1</v>
      </c>
      <c r="F130" t="s">
        <v>589</v>
      </c>
    </row>
    <row r="131" spans="1:6">
      <c r="A131" s="46">
        <v>2025</v>
      </c>
      <c r="B131" s="46" t="s">
        <v>567</v>
      </c>
      <c r="C131" s="102">
        <v>45688</v>
      </c>
      <c r="D131" s="54">
        <v>1</v>
      </c>
      <c r="F131" t="s">
        <v>589</v>
      </c>
    </row>
    <row r="132" spans="1:6">
      <c r="A132" s="46">
        <v>2025</v>
      </c>
      <c r="B132" s="46" t="s">
        <v>567</v>
      </c>
      <c r="C132" s="102">
        <v>45691</v>
      </c>
      <c r="D132" s="54">
        <v>0</v>
      </c>
    </row>
    <row r="133" spans="1:6">
      <c r="A133" s="46">
        <v>2025</v>
      </c>
      <c r="B133" s="46" t="s">
        <v>567</v>
      </c>
      <c r="C133" s="102">
        <v>45692</v>
      </c>
      <c r="D133" s="54">
        <v>0</v>
      </c>
    </row>
    <row r="134" spans="1:6">
      <c r="A134" s="46">
        <v>2025</v>
      </c>
      <c r="B134" s="46" t="s">
        <v>567</v>
      </c>
      <c r="C134" s="102">
        <v>45693</v>
      </c>
      <c r="D134" s="54">
        <v>0</v>
      </c>
    </row>
    <row r="135" spans="1:6">
      <c r="A135" s="46">
        <v>2025</v>
      </c>
      <c r="B135" s="46" t="s">
        <v>567</v>
      </c>
      <c r="C135" s="102">
        <v>45694</v>
      </c>
      <c r="D135" s="54">
        <v>0</v>
      </c>
    </row>
    <row r="136" spans="1:6">
      <c r="A136" s="46">
        <v>2025</v>
      </c>
      <c r="B136" s="46" t="s">
        <v>567</v>
      </c>
      <c r="C136" s="102">
        <v>45695</v>
      </c>
      <c r="D136" s="54">
        <v>0</v>
      </c>
    </row>
    <row r="137" spans="1:6">
      <c r="A137" s="46">
        <v>2025</v>
      </c>
      <c r="B137" s="46" t="s">
        <v>567</v>
      </c>
      <c r="C137" s="102">
        <v>45698</v>
      </c>
      <c r="D137" s="54">
        <v>0</v>
      </c>
    </row>
    <row r="138" spans="1:6">
      <c r="A138" s="46">
        <v>2025</v>
      </c>
      <c r="B138" s="46" t="s">
        <v>567</v>
      </c>
      <c r="C138" s="102">
        <v>45699</v>
      </c>
      <c r="D138" s="54">
        <v>1</v>
      </c>
      <c r="E138" s="65">
        <v>65</v>
      </c>
    </row>
    <row r="139" spans="1:6">
      <c r="A139" s="46">
        <v>2025</v>
      </c>
      <c r="B139" s="46" t="s">
        <v>567</v>
      </c>
      <c r="C139" s="102">
        <v>45700</v>
      </c>
      <c r="D139" s="54">
        <v>1</v>
      </c>
      <c r="E139" s="65">
        <v>65</v>
      </c>
    </row>
    <row r="140" spans="1:6">
      <c r="A140" s="46">
        <v>2025</v>
      </c>
      <c r="B140" s="46" t="s">
        <v>567</v>
      </c>
      <c r="C140" s="102">
        <v>45701</v>
      </c>
      <c r="D140" s="54">
        <v>1</v>
      </c>
      <c r="E140" s="65">
        <v>65</v>
      </c>
    </row>
    <row r="141" spans="1:6">
      <c r="A141" s="46">
        <v>2025</v>
      </c>
      <c r="B141" s="46" t="s">
        <v>567</v>
      </c>
      <c r="C141" s="102">
        <v>45702</v>
      </c>
      <c r="D141" s="54">
        <v>2</v>
      </c>
      <c r="E141" s="65">
        <v>65</v>
      </c>
    </row>
    <row r="142" spans="1:6">
      <c r="A142" s="46">
        <v>2025</v>
      </c>
      <c r="B142" s="46" t="s">
        <v>567</v>
      </c>
      <c r="C142" s="102">
        <v>45705</v>
      </c>
      <c r="D142" s="54">
        <v>2</v>
      </c>
      <c r="E142" s="65">
        <v>65</v>
      </c>
    </row>
    <row r="143" spans="1:6">
      <c r="A143" s="46">
        <v>2025</v>
      </c>
      <c r="B143" s="46" t="s">
        <v>567</v>
      </c>
      <c r="C143" s="102">
        <v>45706</v>
      </c>
      <c r="D143" s="54">
        <v>2</v>
      </c>
      <c r="E143" s="65">
        <v>65</v>
      </c>
    </row>
    <row r="144" spans="1:6">
      <c r="A144" s="46">
        <v>2025</v>
      </c>
      <c r="B144" s="46" t="s">
        <v>567</v>
      </c>
      <c r="C144" s="102">
        <v>45707</v>
      </c>
      <c r="D144" s="54">
        <v>2</v>
      </c>
      <c r="E144" s="65">
        <v>65</v>
      </c>
    </row>
    <row r="145" spans="1:6">
      <c r="A145" s="46">
        <v>2025</v>
      </c>
      <c r="B145" s="46" t="s">
        <v>567</v>
      </c>
      <c r="C145" s="102">
        <v>45708</v>
      </c>
      <c r="D145" s="54">
        <v>1</v>
      </c>
      <c r="E145" s="65">
        <v>65</v>
      </c>
    </row>
    <row r="146" spans="1:6">
      <c r="A146" s="46">
        <v>2025</v>
      </c>
      <c r="B146" s="46" t="s">
        <v>567</v>
      </c>
      <c r="C146" s="102">
        <v>45709</v>
      </c>
      <c r="D146" s="54">
        <v>1</v>
      </c>
      <c r="E146" s="65">
        <v>65</v>
      </c>
    </row>
    <row r="147" spans="1:6">
      <c r="A147" s="46">
        <v>2025</v>
      </c>
      <c r="B147" s="46" t="s">
        <v>567</v>
      </c>
      <c r="C147" s="102">
        <v>45712</v>
      </c>
      <c r="D147" s="54">
        <v>2</v>
      </c>
      <c r="E147" s="65">
        <v>65</v>
      </c>
    </row>
    <row r="148" spans="1:6">
      <c r="A148" s="46">
        <v>2025</v>
      </c>
      <c r="B148" s="46" t="s">
        <v>567</v>
      </c>
      <c r="C148" s="102">
        <v>45713</v>
      </c>
      <c r="D148" s="54">
        <v>2</v>
      </c>
      <c r="E148" s="65">
        <v>65</v>
      </c>
    </row>
    <row r="149" spans="1:6">
      <c r="A149" s="46">
        <v>2025</v>
      </c>
      <c r="B149" s="46" t="s">
        <v>567</v>
      </c>
      <c r="C149" s="102">
        <v>45714</v>
      </c>
      <c r="D149" s="54">
        <v>2</v>
      </c>
      <c r="E149" s="65">
        <v>65</v>
      </c>
    </row>
    <row r="150" spans="1:6">
      <c r="A150" s="46">
        <v>2025</v>
      </c>
      <c r="B150" s="46" t="s">
        <v>567</v>
      </c>
      <c r="C150" s="102">
        <v>45715</v>
      </c>
      <c r="D150" s="54">
        <v>2</v>
      </c>
      <c r="E150" s="65">
        <v>65</v>
      </c>
    </row>
    <row r="151" spans="1:6">
      <c r="A151" s="46">
        <v>2025</v>
      </c>
      <c r="B151" s="46" t="s">
        <v>567</v>
      </c>
      <c r="C151" s="102">
        <v>45716</v>
      </c>
      <c r="D151" s="54">
        <v>2</v>
      </c>
      <c r="E151" s="65">
        <v>65</v>
      </c>
    </row>
    <row r="152" spans="1:6">
      <c r="A152" s="46">
        <v>2025</v>
      </c>
      <c r="B152" s="46" t="s">
        <v>567</v>
      </c>
      <c r="C152" s="102">
        <v>45719</v>
      </c>
      <c r="D152" s="54">
        <v>0</v>
      </c>
      <c r="E152" s="65">
        <v>0</v>
      </c>
    </row>
    <row r="153" spans="1:6">
      <c r="A153" s="46">
        <v>2025</v>
      </c>
      <c r="B153" s="46" t="s">
        <v>567</v>
      </c>
      <c r="C153" s="102">
        <v>45720</v>
      </c>
      <c r="D153" s="54">
        <v>0</v>
      </c>
      <c r="E153" s="65">
        <v>0</v>
      </c>
    </row>
    <row r="154" spans="1:6">
      <c r="A154" s="46">
        <v>2025</v>
      </c>
      <c r="B154" s="46" t="s">
        <v>567</v>
      </c>
      <c r="C154" s="102">
        <v>45721</v>
      </c>
      <c r="D154" s="54">
        <v>0</v>
      </c>
      <c r="E154" s="65">
        <v>0</v>
      </c>
    </row>
    <row r="155" spans="1:6">
      <c r="A155" s="46">
        <v>2025</v>
      </c>
      <c r="B155" s="46" t="s">
        <v>567</v>
      </c>
      <c r="C155" s="102">
        <v>45722</v>
      </c>
      <c r="D155" s="54">
        <v>0</v>
      </c>
      <c r="E155" s="65">
        <v>0</v>
      </c>
    </row>
    <row r="156" spans="1:6">
      <c r="A156" s="46">
        <v>2025</v>
      </c>
      <c r="B156" s="46" t="s">
        <v>567</v>
      </c>
      <c r="C156" s="102">
        <v>45726</v>
      </c>
      <c r="D156" s="54">
        <v>1</v>
      </c>
      <c r="E156" s="65">
        <v>0</v>
      </c>
    </row>
    <row r="157" spans="1:6">
      <c r="A157" s="46">
        <v>2025</v>
      </c>
      <c r="B157" s="46" t="s">
        <v>567</v>
      </c>
      <c r="C157" s="102">
        <v>45727</v>
      </c>
      <c r="D157" s="54">
        <v>2</v>
      </c>
      <c r="E157" s="65">
        <v>0</v>
      </c>
    </row>
    <row r="158" spans="1:6">
      <c r="A158" s="46">
        <v>2025</v>
      </c>
      <c r="B158" s="46" t="s">
        <v>567</v>
      </c>
      <c r="C158" s="102">
        <v>45728</v>
      </c>
      <c r="D158" s="54">
        <v>3</v>
      </c>
      <c r="E158" s="65">
        <v>0</v>
      </c>
      <c r="F158" t="s">
        <v>591</v>
      </c>
    </row>
    <row r="159" spans="1:6">
      <c r="A159" s="46">
        <v>2025</v>
      </c>
      <c r="B159" s="46" t="s">
        <v>567</v>
      </c>
      <c r="C159" s="102">
        <v>45729</v>
      </c>
      <c r="D159" s="54">
        <v>4</v>
      </c>
      <c r="E159" s="65">
        <v>10</v>
      </c>
    </row>
    <row r="160" spans="1:6">
      <c r="A160" s="46">
        <v>2025</v>
      </c>
      <c r="B160" s="46" t="s">
        <v>567</v>
      </c>
      <c r="C160" s="102">
        <v>45733</v>
      </c>
      <c r="D160" s="54">
        <v>0</v>
      </c>
      <c r="E160" s="65">
        <v>0</v>
      </c>
    </row>
    <row r="161" spans="1:5">
      <c r="A161" s="46">
        <v>2025</v>
      </c>
      <c r="B161" s="46" t="s">
        <v>567</v>
      </c>
      <c r="C161" s="102">
        <v>45734</v>
      </c>
      <c r="D161" s="54">
        <v>0</v>
      </c>
      <c r="E161" s="65">
        <v>0</v>
      </c>
    </row>
    <row r="162" spans="1:5">
      <c r="A162" s="46">
        <v>2025</v>
      </c>
      <c r="B162" s="46" t="s">
        <v>567</v>
      </c>
      <c r="C162" s="102">
        <v>45735</v>
      </c>
      <c r="D162" s="54">
        <v>0</v>
      </c>
      <c r="E162" s="65">
        <v>0</v>
      </c>
    </row>
    <row r="163" spans="1:5">
      <c r="A163" s="46">
        <v>2025</v>
      </c>
      <c r="B163" s="46" t="s">
        <v>567</v>
      </c>
      <c r="C163" s="102">
        <v>45736</v>
      </c>
      <c r="D163" s="54">
        <v>0</v>
      </c>
      <c r="E163" s="65">
        <v>0</v>
      </c>
    </row>
    <row r="164" spans="1:5">
      <c r="A164" s="46">
        <v>2025</v>
      </c>
      <c r="B164" s="46" t="s">
        <v>567</v>
      </c>
      <c r="C164" s="102">
        <v>45737</v>
      </c>
      <c r="D164" s="54">
        <v>0</v>
      </c>
      <c r="E164" s="65">
        <v>0</v>
      </c>
    </row>
    <row r="165" spans="1:5">
      <c r="A165" s="46">
        <v>2025</v>
      </c>
      <c r="B165" s="46" t="s">
        <v>567</v>
      </c>
      <c r="C165" s="102">
        <v>45740</v>
      </c>
      <c r="D165" s="54">
        <v>0</v>
      </c>
      <c r="E165" s="65">
        <v>0</v>
      </c>
    </row>
    <row r="166" spans="1:5">
      <c r="A166" s="46">
        <v>2025</v>
      </c>
      <c r="B166" s="46" t="s">
        <v>567</v>
      </c>
      <c r="C166" s="102">
        <v>45741</v>
      </c>
      <c r="D166" s="54">
        <v>0</v>
      </c>
      <c r="E166" s="65">
        <v>0</v>
      </c>
    </row>
    <row r="167" spans="1:5">
      <c r="A167" s="46">
        <v>2025</v>
      </c>
      <c r="B167" s="46" t="s">
        <v>567</v>
      </c>
      <c r="C167" s="102">
        <v>45742</v>
      </c>
      <c r="D167" s="54">
        <v>0</v>
      </c>
      <c r="E167" s="65">
        <v>0</v>
      </c>
    </row>
    <row r="168" spans="1:5">
      <c r="A168" s="46">
        <v>2025</v>
      </c>
      <c r="B168" s="46" t="s">
        <v>567</v>
      </c>
      <c r="C168" s="102">
        <v>45743</v>
      </c>
      <c r="D168" s="54">
        <v>0</v>
      </c>
      <c r="E168" s="65">
        <v>0</v>
      </c>
    </row>
    <row r="169" spans="1:5">
      <c r="A169" s="46">
        <v>2025</v>
      </c>
      <c r="B169" s="46" t="s">
        <v>567</v>
      </c>
      <c r="C169" s="102">
        <v>45744</v>
      </c>
      <c r="D169" s="54">
        <v>0</v>
      </c>
      <c r="E169" s="65">
        <v>0</v>
      </c>
    </row>
    <row r="170" spans="1:5">
      <c r="A170" s="46">
        <v>2025</v>
      </c>
      <c r="B170" s="46" t="s">
        <v>567</v>
      </c>
      <c r="C170" s="102">
        <v>45747</v>
      </c>
      <c r="D170" s="54">
        <v>0</v>
      </c>
      <c r="E170" s="65">
        <v>0</v>
      </c>
    </row>
    <row r="171" spans="1:5">
      <c r="A171" s="46">
        <v>2025</v>
      </c>
      <c r="B171" s="46" t="s">
        <v>567</v>
      </c>
      <c r="C171" s="102">
        <v>45748</v>
      </c>
      <c r="D171" s="54">
        <v>0</v>
      </c>
      <c r="E171" s="65">
        <v>0</v>
      </c>
    </row>
    <row r="172" spans="1:5">
      <c r="A172" s="46">
        <v>2025</v>
      </c>
      <c r="B172" s="46" t="s">
        <v>567</v>
      </c>
      <c r="C172" s="102">
        <v>45749</v>
      </c>
      <c r="D172" s="54">
        <v>0</v>
      </c>
      <c r="E172" s="65">
        <v>0</v>
      </c>
    </row>
    <row r="173" spans="1:5">
      <c r="A173" s="46">
        <v>2025</v>
      </c>
      <c r="B173" s="46" t="s">
        <v>567</v>
      </c>
      <c r="C173" s="102">
        <v>45750</v>
      </c>
      <c r="D173" s="54">
        <v>0</v>
      </c>
      <c r="E173" s="65">
        <v>0</v>
      </c>
    </row>
    <row r="174" spans="1:5">
      <c r="A174" s="46">
        <v>2025</v>
      </c>
      <c r="B174" s="46" t="s">
        <v>567</v>
      </c>
      <c r="C174" s="102">
        <v>45751</v>
      </c>
      <c r="D174" s="54">
        <v>0</v>
      </c>
      <c r="E174" s="65">
        <v>0</v>
      </c>
    </row>
    <row r="175" spans="1:5">
      <c r="A175" s="46">
        <v>2025</v>
      </c>
      <c r="B175" s="46" t="s">
        <v>567</v>
      </c>
      <c r="C175" s="102">
        <v>45754</v>
      </c>
      <c r="D175" s="54">
        <v>0</v>
      </c>
      <c r="E175" s="65">
        <v>0</v>
      </c>
    </row>
    <row r="176" spans="1:5">
      <c r="A176" s="46">
        <v>2025</v>
      </c>
      <c r="B176" s="46" t="s">
        <v>567</v>
      </c>
      <c r="C176" s="102">
        <v>45755</v>
      </c>
      <c r="D176" s="54">
        <v>0</v>
      </c>
      <c r="E176" s="65">
        <v>0</v>
      </c>
    </row>
    <row r="177" spans="1:5">
      <c r="A177" s="46">
        <v>2025</v>
      </c>
      <c r="B177" s="46" t="s">
        <v>567</v>
      </c>
      <c r="C177" s="102">
        <v>45756</v>
      </c>
      <c r="D177" s="54">
        <v>0</v>
      </c>
      <c r="E177" s="65">
        <v>0</v>
      </c>
    </row>
    <row r="178" spans="1:5">
      <c r="A178" s="46">
        <v>2025</v>
      </c>
      <c r="B178" s="46" t="s">
        <v>567</v>
      </c>
      <c r="C178" s="102">
        <v>45757</v>
      </c>
      <c r="D178" s="54">
        <v>0</v>
      </c>
      <c r="E178" s="65">
        <v>0</v>
      </c>
    </row>
    <row r="179" spans="1:5">
      <c r="A179" s="46">
        <v>2025</v>
      </c>
      <c r="B179" s="46" t="s">
        <v>567</v>
      </c>
      <c r="C179" s="102">
        <v>45761</v>
      </c>
      <c r="D179" s="54">
        <v>0</v>
      </c>
      <c r="E179" s="65">
        <v>0</v>
      </c>
    </row>
    <row r="180" spans="1:5">
      <c r="A180" s="46">
        <v>2025</v>
      </c>
      <c r="B180" s="46" t="s">
        <v>567</v>
      </c>
      <c r="C180" s="102">
        <v>45762</v>
      </c>
      <c r="D180" s="54">
        <v>2</v>
      </c>
      <c r="E180" s="65">
        <v>0</v>
      </c>
    </row>
    <row r="181" spans="1:5">
      <c r="A181" s="46">
        <v>2025</v>
      </c>
      <c r="B181" s="46" t="s">
        <v>567</v>
      </c>
      <c r="C181" s="102">
        <v>45763</v>
      </c>
      <c r="D181" s="54">
        <v>1</v>
      </c>
      <c r="E181" s="65">
        <v>0</v>
      </c>
    </row>
    <row r="182" spans="1:5">
      <c r="A182" s="46">
        <v>2025</v>
      </c>
      <c r="B182" s="46" t="s">
        <v>567</v>
      </c>
      <c r="C182" s="102">
        <v>45764</v>
      </c>
      <c r="D182" s="54">
        <v>2</v>
      </c>
      <c r="E182" s="65">
        <v>2</v>
      </c>
    </row>
    <row r="183" spans="1:5">
      <c r="A183" s="46">
        <v>2025</v>
      </c>
      <c r="B183" s="46" t="s">
        <v>567</v>
      </c>
      <c r="C183" s="102">
        <v>45765</v>
      </c>
      <c r="D183" s="54">
        <v>1</v>
      </c>
      <c r="E183" s="65">
        <v>0</v>
      </c>
    </row>
    <row r="184" spans="1:5">
      <c r="A184" s="46">
        <v>2025</v>
      </c>
      <c r="B184" s="46" t="s">
        <v>567</v>
      </c>
      <c r="C184" s="102">
        <v>45766</v>
      </c>
      <c r="D184" s="54">
        <v>3</v>
      </c>
      <c r="E184" s="65">
        <v>0.5</v>
      </c>
    </row>
    <row r="185" spans="1:5">
      <c r="A185" s="46">
        <v>2025</v>
      </c>
      <c r="B185" s="46" t="s">
        <v>567</v>
      </c>
      <c r="C185" s="102">
        <v>45768</v>
      </c>
      <c r="D185" s="54">
        <v>2</v>
      </c>
      <c r="E185" s="65">
        <v>1</v>
      </c>
    </row>
    <row r="186" spans="1:5">
      <c r="A186" s="46">
        <v>2025</v>
      </c>
      <c r="B186" s="46" t="s">
        <v>567</v>
      </c>
      <c r="C186" s="102">
        <v>45769</v>
      </c>
      <c r="D186" s="54">
        <v>4</v>
      </c>
      <c r="E186" s="65">
        <v>0.5</v>
      </c>
    </row>
    <row r="187" spans="1:5">
      <c r="A187" s="46">
        <v>2025</v>
      </c>
      <c r="B187" s="46" t="s">
        <v>567</v>
      </c>
      <c r="C187" s="102">
        <v>45770</v>
      </c>
      <c r="D187" s="54">
        <v>4</v>
      </c>
      <c r="E187" s="65">
        <v>10</v>
      </c>
    </row>
    <row r="188" spans="1:5">
      <c r="A188" s="46">
        <v>2025</v>
      </c>
      <c r="B188" s="46" t="s">
        <v>567</v>
      </c>
      <c r="C188" s="102">
        <v>45771</v>
      </c>
      <c r="D188" s="54">
        <v>5</v>
      </c>
      <c r="E188" s="65">
        <v>10</v>
      </c>
    </row>
    <row r="189" spans="1:5">
      <c r="A189" s="46">
        <v>2025</v>
      </c>
      <c r="B189" s="46" t="s">
        <v>567</v>
      </c>
      <c r="C189" s="102">
        <v>45772</v>
      </c>
      <c r="D189" s="54">
        <v>4</v>
      </c>
      <c r="E189" s="65">
        <v>15</v>
      </c>
    </row>
    <row r="190" spans="1:5">
      <c r="A190" s="46">
        <v>2025</v>
      </c>
      <c r="B190" s="46" t="s">
        <v>567</v>
      </c>
      <c r="C190" s="102">
        <v>45773</v>
      </c>
      <c r="D190" s="54">
        <v>4</v>
      </c>
      <c r="E190" s="65">
        <v>8</v>
      </c>
    </row>
    <row r="191" spans="1:5">
      <c r="A191" s="46">
        <v>2025</v>
      </c>
      <c r="B191" s="46" t="s">
        <v>567</v>
      </c>
      <c r="C191" s="102">
        <v>45775</v>
      </c>
      <c r="D191" s="54">
        <v>5</v>
      </c>
      <c r="E191" s="65">
        <v>15</v>
      </c>
    </row>
    <row r="192" spans="1:5">
      <c r="A192" s="46">
        <v>2025</v>
      </c>
      <c r="B192" s="46" t="s">
        <v>567</v>
      </c>
      <c r="C192" s="102">
        <v>45776</v>
      </c>
      <c r="D192" s="54">
        <v>4</v>
      </c>
      <c r="E192" s="65">
        <v>3</v>
      </c>
    </row>
    <row r="193" spans="1:5">
      <c r="A193" s="46">
        <v>2025</v>
      </c>
      <c r="B193" s="46" t="s">
        <v>567</v>
      </c>
      <c r="C193" s="102">
        <v>45777</v>
      </c>
      <c r="D193" s="54">
        <v>5</v>
      </c>
      <c r="E193" s="65">
        <v>3</v>
      </c>
    </row>
    <row r="194" spans="1:5">
      <c r="A194" s="46">
        <v>2025</v>
      </c>
      <c r="B194" s="46" t="s">
        <v>567</v>
      </c>
      <c r="C194" s="102">
        <v>45778</v>
      </c>
      <c r="D194" s="54">
        <v>4</v>
      </c>
      <c r="E194" s="65">
        <v>1</v>
      </c>
    </row>
    <row r="195" spans="1:5">
      <c r="A195" s="46">
        <v>2025</v>
      </c>
      <c r="B195" s="46" t="s">
        <v>567</v>
      </c>
      <c r="C195" s="102">
        <v>45779</v>
      </c>
      <c r="D195" s="54">
        <v>1</v>
      </c>
      <c r="E195" s="65">
        <v>0</v>
      </c>
    </row>
    <row r="196" spans="1:5">
      <c r="A196" s="46">
        <v>2025</v>
      </c>
      <c r="B196" s="46" t="s">
        <v>567</v>
      </c>
      <c r="C196" s="102">
        <v>45781</v>
      </c>
      <c r="D196" s="54">
        <v>0</v>
      </c>
      <c r="E196" s="65">
        <v>0</v>
      </c>
    </row>
    <row r="197" spans="1:5">
      <c r="A197" s="46">
        <v>2025</v>
      </c>
      <c r="B197" s="46" t="s">
        <v>567</v>
      </c>
      <c r="C197" s="102">
        <v>45782</v>
      </c>
      <c r="D197" s="54">
        <v>5</v>
      </c>
      <c r="E197" s="65">
        <v>2</v>
      </c>
    </row>
    <row r="198" spans="1:5">
      <c r="A198" s="46">
        <v>2025</v>
      </c>
      <c r="B198" s="46" t="s">
        <v>567</v>
      </c>
      <c r="C198" s="102">
        <v>45783</v>
      </c>
      <c r="D198" s="54">
        <v>4</v>
      </c>
      <c r="E198" s="65">
        <v>1</v>
      </c>
    </row>
    <row r="199" spans="1:5">
      <c r="A199" s="46">
        <v>2025</v>
      </c>
      <c r="B199" s="46" t="s">
        <v>567</v>
      </c>
      <c r="C199" s="102">
        <v>45784</v>
      </c>
      <c r="D199" s="54">
        <v>4</v>
      </c>
      <c r="E199" s="65">
        <v>1</v>
      </c>
    </row>
    <row r="200" spans="1:5">
      <c r="A200" s="46">
        <v>2025</v>
      </c>
      <c r="B200" s="46" t="s">
        <v>567</v>
      </c>
      <c r="C200" s="102">
        <v>45785</v>
      </c>
      <c r="D200" s="54">
        <v>5</v>
      </c>
      <c r="E200" s="65">
        <v>1</v>
      </c>
    </row>
    <row r="201" spans="1:5">
      <c r="A201" s="46">
        <v>2025</v>
      </c>
      <c r="B201" s="46" t="s">
        <v>567</v>
      </c>
      <c r="C201" s="102">
        <v>45786</v>
      </c>
      <c r="D201" s="54">
        <v>6</v>
      </c>
      <c r="E201" s="65">
        <v>52</v>
      </c>
    </row>
    <row r="202" spans="1:5">
      <c r="A202" s="46">
        <v>2025</v>
      </c>
      <c r="B202" s="46" t="s">
        <v>567</v>
      </c>
      <c r="C202" s="102">
        <v>45789</v>
      </c>
      <c r="D202" s="54">
        <v>4</v>
      </c>
      <c r="E202" s="65">
        <v>41</v>
      </c>
    </row>
    <row r="203" spans="1:5">
      <c r="A203" s="46">
        <v>2025</v>
      </c>
      <c r="B203" s="46" t="s">
        <v>567</v>
      </c>
      <c r="C203" s="102">
        <v>45790</v>
      </c>
      <c r="D203" s="54">
        <v>5</v>
      </c>
      <c r="E203" s="65">
        <v>36</v>
      </c>
    </row>
    <row r="204" spans="1:5">
      <c r="A204" s="46">
        <v>2025</v>
      </c>
      <c r="B204" s="46" t="s">
        <v>567</v>
      </c>
      <c r="C204" s="102">
        <v>45791</v>
      </c>
      <c r="D204" s="54">
        <v>7</v>
      </c>
      <c r="E204" s="65">
        <v>36</v>
      </c>
    </row>
    <row r="205" spans="1:5">
      <c r="A205" s="46">
        <v>2025</v>
      </c>
      <c r="B205" s="46" t="s">
        <v>567</v>
      </c>
      <c r="C205" s="102">
        <v>45792</v>
      </c>
      <c r="D205" s="54">
        <v>7</v>
      </c>
      <c r="E205" s="65">
        <v>36</v>
      </c>
    </row>
    <row r="206" spans="1:5">
      <c r="A206" s="46">
        <v>2025</v>
      </c>
      <c r="B206" s="46" t="s">
        <v>567</v>
      </c>
      <c r="C206" s="102">
        <v>45793</v>
      </c>
      <c r="D206" s="54">
        <v>3</v>
      </c>
      <c r="E206" s="65">
        <v>36</v>
      </c>
    </row>
    <row r="207" spans="1:5">
      <c r="A207" s="46">
        <v>2025</v>
      </c>
      <c r="B207" s="46" t="s">
        <v>567</v>
      </c>
      <c r="C207" s="102">
        <v>45796</v>
      </c>
      <c r="D207" s="54">
        <v>2</v>
      </c>
      <c r="E207" s="65">
        <v>36</v>
      </c>
    </row>
    <row r="208" spans="1:5">
      <c r="A208" s="46">
        <v>2025</v>
      </c>
      <c r="B208" s="46" t="s">
        <v>567</v>
      </c>
      <c r="C208" s="102">
        <v>45797</v>
      </c>
      <c r="D208" s="54">
        <v>2</v>
      </c>
      <c r="E208" s="65">
        <v>36</v>
      </c>
    </row>
    <row r="209" spans="1:6">
      <c r="A209" s="46">
        <v>2025</v>
      </c>
      <c r="B209" s="46" t="s">
        <v>567</v>
      </c>
      <c r="C209" s="102">
        <v>45798</v>
      </c>
      <c r="D209" s="54">
        <v>3</v>
      </c>
      <c r="E209" s="65">
        <v>41</v>
      </c>
    </row>
    <row r="210" spans="1:6">
      <c r="A210" s="46">
        <v>2025</v>
      </c>
      <c r="B210" s="46" t="s">
        <v>567</v>
      </c>
      <c r="C210" s="102">
        <v>45799</v>
      </c>
      <c r="D210" s="54">
        <v>3</v>
      </c>
      <c r="E210" s="65">
        <v>38</v>
      </c>
    </row>
    <row r="211" spans="1:6">
      <c r="A211" s="46">
        <v>2025</v>
      </c>
      <c r="B211" s="46" t="s">
        <v>567</v>
      </c>
      <c r="C211" s="102">
        <v>45800</v>
      </c>
      <c r="D211" s="54">
        <v>2</v>
      </c>
      <c r="E211" s="65">
        <v>2</v>
      </c>
    </row>
    <row r="212" spans="1:6">
      <c r="A212" s="46">
        <v>2025</v>
      </c>
      <c r="B212" s="46" t="s">
        <v>567</v>
      </c>
      <c r="C212" s="102">
        <v>45804</v>
      </c>
      <c r="D212" s="54">
        <v>2</v>
      </c>
      <c r="E212" s="65">
        <v>3002</v>
      </c>
    </row>
    <row r="213" spans="1:6">
      <c r="A213" s="46">
        <v>2025</v>
      </c>
      <c r="B213" s="46" t="s">
        <v>567</v>
      </c>
      <c r="C213" s="102">
        <v>45805</v>
      </c>
      <c r="D213" s="54">
        <v>5</v>
      </c>
      <c r="E213" s="65">
        <v>1826</v>
      </c>
    </row>
    <row r="214" spans="1:6">
      <c r="A214" s="46">
        <v>2025</v>
      </c>
      <c r="B214" s="46" t="s">
        <v>567</v>
      </c>
      <c r="C214" s="102">
        <v>45806</v>
      </c>
      <c r="D214" s="54">
        <v>7</v>
      </c>
      <c r="E214" s="65">
        <v>1826</v>
      </c>
    </row>
    <row r="215" spans="1:6">
      <c r="A215" s="46">
        <v>2025</v>
      </c>
      <c r="B215" s="46" t="s">
        <v>567</v>
      </c>
      <c r="C215" s="102">
        <v>45807</v>
      </c>
      <c r="D215" s="54">
        <v>10</v>
      </c>
      <c r="E215" s="65">
        <v>1835</v>
      </c>
    </row>
    <row r="216" spans="1:6">
      <c r="A216" s="46">
        <v>2025</v>
      </c>
      <c r="B216" s="46" t="s">
        <v>567</v>
      </c>
      <c r="C216" s="102">
        <v>45810</v>
      </c>
      <c r="D216" s="54">
        <v>10</v>
      </c>
      <c r="E216" s="65">
        <v>1958</v>
      </c>
      <c r="F216" s="150"/>
    </row>
    <row r="217" spans="1:6">
      <c r="A217" s="46">
        <v>2025</v>
      </c>
      <c r="B217" s="46" t="s">
        <v>567</v>
      </c>
      <c r="C217" s="102">
        <v>45811</v>
      </c>
      <c r="D217" s="54">
        <v>13</v>
      </c>
      <c r="E217" s="65">
        <v>1956</v>
      </c>
    </row>
    <row r="218" spans="1:6">
      <c r="A218" s="46">
        <v>2025</v>
      </c>
      <c r="B218" s="46" t="s">
        <v>567</v>
      </c>
      <c r="C218" s="102">
        <v>45812</v>
      </c>
      <c r="D218" s="54">
        <v>13</v>
      </c>
      <c r="E218" s="65">
        <v>1964</v>
      </c>
    </row>
    <row r="219" spans="1:6">
      <c r="A219" s="46">
        <v>2025</v>
      </c>
      <c r="B219" s="46" t="s">
        <v>567</v>
      </c>
      <c r="C219" s="102">
        <v>45813</v>
      </c>
      <c r="D219" s="54">
        <v>15</v>
      </c>
      <c r="E219" s="65">
        <v>1933</v>
      </c>
    </row>
    <row r="220" spans="1:6">
      <c r="A220" s="46">
        <v>2025</v>
      </c>
      <c r="B220" s="46" t="s">
        <v>567</v>
      </c>
      <c r="C220" s="102">
        <v>45814</v>
      </c>
      <c r="D220" s="54">
        <v>14</v>
      </c>
      <c r="E220" s="65">
        <v>155</v>
      </c>
      <c r="F220" s="11"/>
    </row>
    <row r="221" spans="1:6">
      <c r="A221" s="46">
        <v>2025</v>
      </c>
      <c r="B221" s="46" t="s">
        <v>567</v>
      </c>
      <c r="C221" s="102">
        <v>45815</v>
      </c>
      <c r="D221" s="54">
        <v>10</v>
      </c>
      <c r="E221" s="65">
        <v>827</v>
      </c>
    </row>
    <row r="222" spans="1:6">
      <c r="A222" s="46">
        <v>2025</v>
      </c>
      <c r="B222" s="46" t="s">
        <v>567</v>
      </c>
      <c r="C222" s="102">
        <v>45818</v>
      </c>
      <c r="D222" s="54">
        <v>12</v>
      </c>
      <c r="E222" s="65">
        <v>758</v>
      </c>
    </row>
    <row r="223" spans="1:6">
      <c r="A223" s="46">
        <v>2025</v>
      </c>
      <c r="B223" s="46" t="s">
        <v>567</v>
      </c>
      <c r="C223" s="102">
        <v>45819</v>
      </c>
      <c r="D223" s="54">
        <v>30</v>
      </c>
      <c r="E223" s="65">
        <v>913</v>
      </c>
    </row>
    <row r="224" spans="1:6">
      <c r="A224" s="46">
        <v>2025</v>
      </c>
      <c r="B224" s="46" t="s">
        <v>567</v>
      </c>
      <c r="C224" s="102">
        <v>45820</v>
      </c>
      <c r="D224" s="54">
        <v>35</v>
      </c>
      <c r="E224" s="65">
        <v>5324</v>
      </c>
    </row>
    <row r="225" spans="1:6">
      <c r="A225" s="46">
        <v>2025</v>
      </c>
      <c r="B225" s="46" t="s">
        <v>567</v>
      </c>
      <c r="C225" s="102">
        <v>45821</v>
      </c>
      <c r="D225" s="54">
        <v>29</v>
      </c>
      <c r="E225" s="65">
        <v>9327</v>
      </c>
    </row>
    <row r="226" spans="1:6">
      <c r="A226" s="46">
        <v>2025</v>
      </c>
      <c r="B226" s="46" t="s">
        <v>567</v>
      </c>
      <c r="C226" s="102">
        <v>45822</v>
      </c>
      <c r="D226" s="54">
        <v>19</v>
      </c>
      <c r="E226" s="65">
        <v>13755</v>
      </c>
    </row>
    <row r="227" spans="1:6">
      <c r="A227" s="46">
        <v>2025</v>
      </c>
      <c r="B227" s="46" t="s">
        <v>567</v>
      </c>
      <c r="C227" s="102">
        <v>45823</v>
      </c>
      <c r="D227" s="54">
        <v>14</v>
      </c>
      <c r="E227" s="65">
        <v>15105</v>
      </c>
    </row>
    <row r="228" spans="1:6">
      <c r="A228" s="46">
        <v>2025</v>
      </c>
      <c r="B228" s="46" t="s">
        <v>567</v>
      </c>
      <c r="C228" s="102">
        <v>45824</v>
      </c>
      <c r="D228" s="54">
        <v>9</v>
      </c>
      <c r="E228" s="65">
        <v>15630</v>
      </c>
      <c r="F228" t="s">
        <v>653</v>
      </c>
    </row>
    <row r="229" spans="1:6">
      <c r="A229" s="46">
        <v>2025</v>
      </c>
      <c r="B229" s="46" t="s">
        <v>567</v>
      </c>
      <c r="C229" s="102">
        <v>45825</v>
      </c>
      <c r="D229" s="54">
        <v>10</v>
      </c>
      <c r="E229" s="65">
        <v>17316</v>
      </c>
    </row>
    <row r="230" spans="1:6">
      <c r="A230" s="46">
        <v>2025</v>
      </c>
      <c r="B230" s="46" t="s">
        <v>567</v>
      </c>
      <c r="C230" s="102">
        <v>45826</v>
      </c>
      <c r="D230" s="54">
        <v>13</v>
      </c>
      <c r="E230" s="65">
        <v>16825</v>
      </c>
    </row>
    <row r="231" spans="1:6">
      <c r="A231" s="46">
        <v>2025</v>
      </c>
      <c r="B231" s="46" t="s">
        <v>567</v>
      </c>
      <c r="C231" s="102">
        <v>45827</v>
      </c>
      <c r="D231" s="54">
        <v>17</v>
      </c>
      <c r="E231" s="65">
        <v>17472</v>
      </c>
    </row>
    <row r="232" spans="1:6">
      <c r="A232" s="46">
        <v>2025</v>
      </c>
      <c r="B232" s="46" t="s">
        <v>567</v>
      </c>
      <c r="C232" s="102">
        <v>45828</v>
      </c>
      <c r="D232" s="54">
        <v>13</v>
      </c>
      <c r="E232" s="65">
        <v>17931</v>
      </c>
    </row>
    <row r="233" spans="1:6">
      <c r="A233" s="46">
        <v>2025</v>
      </c>
      <c r="B233" s="46" t="s">
        <v>567</v>
      </c>
      <c r="C233" s="102">
        <v>45831</v>
      </c>
      <c r="D233" s="54">
        <v>12</v>
      </c>
      <c r="E233" s="65">
        <v>17924</v>
      </c>
    </row>
    <row r="234" spans="1:6">
      <c r="A234" s="46">
        <v>2025</v>
      </c>
      <c r="B234" s="46" t="s">
        <v>567</v>
      </c>
      <c r="C234" s="102">
        <v>45832</v>
      </c>
      <c r="D234" s="54">
        <v>11</v>
      </c>
      <c r="E234" s="65">
        <v>18124</v>
      </c>
    </row>
    <row r="235" spans="1:6">
      <c r="A235" s="46">
        <v>2025</v>
      </c>
      <c r="B235" s="46" t="s">
        <v>567</v>
      </c>
      <c r="C235" s="102">
        <v>45833</v>
      </c>
      <c r="D235" s="54">
        <v>14</v>
      </c>
      <c r="E235" s="65">
        <v>7472</v>
      </c>
      <c r="F235" t="s">
        <v>670</v>
      </c>
    </row>
    <row r="236" spans="1:6">
      <c r="A236" s="46">
        <v>2025</v>
      </c>
      <c r="B236" s="46" t="s">
        <v>567</v>
      </c>
      <c r="C236" s="102">
        <v>45834</v>
      </c>
      <c r="D236" s="54">
        <v>15</v>
      </c>
      <c r="E236" s="65">
        <v>7474</v>
      </c>
    </row>
    <row r="237" spans="1:6">
      <c r="A237" s="46">
        <v>2025</v>
      </c>
      <c r="B237" s="46" t="s">
        <v>567</v>
      </c>
      <c r="C237" s="102">
        <v>45835</v>
      </c>
      <c r="D237" s="54">
        <v>20</v>
      </c>
      <c r="E237" s="65">
        <v>7458</v>
      </c>
    </row>
    <row r="238" spans="1:6">
      <c r="A238" s="46">
        <v>2025</v>
      </c>
      <c r="B238" s="46" t="s">
        <v>567</v>
      </c>
      <c r="C238" s="102">
        <v>45838</v>
      </c>
      <c r="D238" s="54">
        <v>14</v>
      </c>
      <c r="E238" s="65">
        <v>7608</v>
      </c>
    </row>
    <row r="239" spans="1:6">
      <c r="A239" s="46">
        <v>2025</v>
      </c>
      <c r="B239" s="46" t="s">
        <v>567</v>
      </c>
      <c r="C239" s="102">
        <v>45839</v>
      </c>
      <c r="D239" s="54">
        <v>21</v>
      </c>
      <c r="E239" s="65">
        <v>7606</v>
      </c>
    </row>
    <row r="240" spans="1:6">
      <c r="A240" s="46">
        <v>2025</v>
      </c>
      <c r="B240" s="46" t="s">
        <v>567</v>
      </c>
      <c r="C240" s="102">
        <v>45840</v>
      </c>
      <c r="D240" s="54">
        <v>61</v>
      </c>
      <c r="E240" s="65">
        <v>7647</v>
      </c>
    </row>
    <row r="241" spans="1:6">
      <c r="A241" s="46">
        <v>2025</v>
      </c>
      <c r="B241" s="46" t="s">
        <v>567</v>
      </c>
      <c r="C241" s="102">
        <v>45842</v>
      </c>
      <c r="D241" s="54">
        <v>60</v>
      </c>
      <c r="E241" s="65">
        <v>9843</v>
      </c>
    </row>
    <row r="242" spans="1:6">
      <c r="A242" s="46">
        <v>2025</v>
      </c>
      <c r="B242" s="46" t="s">
        <v>567</v>
      </c>
      <c r="C242" s="102">
        <v>45843</v>
      </c>
      <c r="D242" s="54">
        <v>85</v>
      </c>
      <c r="E242" s="65">
        <v>9304</v>
      </c>
    </row>
    <row r="243" spans="1:6">
      <c r="A243" s="46">
        <v>2025</v>
      </c>
      <c r="B243" s="46" t="s">
        <v>567</v>
      </c>
      <c r="C243" s="102">
        <v>45845</v>
      </c>
      <c r="D243" s="54">
        <v>68</v>
      </c>
      <c r="E243" s="65">
        <v>3853</v>
      </c>
    </row>
    <row r="244" spans="1:6">
      <c r="A244" s="46">
        <v>2025</v>
      </c>
      <c r="B244" s="46" t="s">
        <v>567</v>
      </c>
      <c r="C244" s="102">
        <v>45846</v>
      </c>
      <c r="D244" s="54">
        <v>50</v>
      </c>
      <c r="E244" s="65">
        <v>5003</v>
      </c>
    </row>
    <row r="245" spans="1:6">
      <c r="A245" s="46">
        <v>2025</v>
      </c>
      <c r="B245" s="46" t="s">
        <v>567</v>
      </c>
      <c r="C245" s="102">
        <v>45847</v>
      </c>
      <c r="D245" s="54">
        <v>62</v>
      </c>
      <c r="E245" s="65">
        <v>5707</v>
      </c>
    </row>
    <row r="246" spans="1:6">
      <c r="A246" s="46">
        <v>2025</v>
      </c>
      <c r="B246" s="46" t="s">
        <v>567</v>
      </c>
      <c r="C246" s="102">
        <v>45848</v>
      </c>
      <c r="D246" s="54">
        <v>84</v>
      </c>
      <c r="E246" s="65">
        <v>7011</v>
      </c>
    </row>
    <row r="247" spans="1:6">
      <c r="A247" s="46">
        <v>2025</v>
      </c>
      <c r="B247" s="46" t="s">
        <v>567</v>
      </c>
      <c r="C247" s="102">
        <v>45849</v>
      </c>
      <c r="D247" s="54">
        <v>71</v>
      </c>
      <c r="E247" s="65">
        <v>12144</v>
      </c>
    </row>
    <row r="248" spans="1:6">
      <c r="A248" s="46">
        <v>2025</v>
      </c>
      <c r="B248" s="46" t="s">
        <v>567</v>
      </c>
      <c r="C248" s="102">
        <v>45852</v>
      </c>
      <c r="D248" s="54">
        <v>60</v>
      </c>
      <c r="E248" s="65">
        <v>16404</v>
      </c>
    </row>
    <row r="249" spans="1:6">
      <c r="A249" s="46">
        <v>2025</v>
      </c>
      <c r="B249" s="46" t="s">
        <v>567</v>
      </c>
      <c r="C249" s="102">
        <v>45853</v>
      </c>
      <c r="D249" s="54">
        <v>72</v>
      </c>
      <c r="E249" s="65">
        <v>33366</v>
      </c>
    </row>
    <row r="250" spans="1:6">
      <c r="A250" s="46">
        <v>2025</v>
      </c>
      <c r="B250" s="46" t="s">
        <v>567</v>
      </c>
      <c r="C250" s="102">
        <v>45854</v>
      </c>
      <c r="D250" s="54">
        <v>58</v>
      </c>
      <c r="E250" s="65">
        <f>54244+22918</f>
        <v>77162</v>
      </c>
      <c r="F250" t="s">
        <v>730</v>
      </c>
    </row>
    <row r="251" spans="1:6">
      <c r="A251" s="46">
        <v>2025</v>
      </c>
      <c r="B251" s="46" t="s">
        <v>567</v>
      </c>
      <c r="C251" s="102">
        <v>45855</v>
      </c>
      <c r="D251" s="54">
        <v>51</v>
      </c>
      <c r="E251" s="65">
        <v>76765</v>
      </c>
      <c r="F251" t="s">
        <v>731</v>
      </c>
    </row>
    <row r="252" spans="1:6">
      <c r="A252" s="46">
        <v>2025</v>
      </c>
      <c r="B252" s="46" t="s">
        <v>567</v>
      </c>
      <c r="C252" s="102">
        <v>45856</v>
      </c>
      <c r="D252" s="54">
        <v>49</v>
      </c>
      <c r="E252" s="65">
        <v>105153</v>
      </c>
    </row>
    <row r="253" spans="1:6">
      <c r="A253" s="46">
        <v>2025</v>
      </c>
      <c r="B253" s="46" t="s">
        <v>567</v>
      </c>
      <c r="C253" s="102">
        <v>45859</v>
      </c>
      <c r="D253" s="54">
        <v>43</v>
      </c>
      <c r="E253" s="65">
        <v>109399</v>
      </c>
    </row>
    <row r="254" spans="1:6">
      <c r="A254" s="46">
        <v>2025</v>
      </c>
      <c r="B254" s="46" t="s">
        <v>567</v>
      </c>
      <c r="C254" s="102">
        <v>45860</v>
      </c>
      <c r="D254" s="54">
        <v>43</v>
      </c>
      <c r="E254" s="65">
        <v>109365</v>
      </c>
    </row>
    <row r="255" spans="1:6">
      <c r="A255" s="46">
        <v>2025</v>
      </c>
      <c r="B255" s="46" t="s">
        <v>567</v>
      </c>
      <c r="C255" s="102">
        <v>45861</v>
      </c>
      <c r="D255" s="54">
        <v>45</v>
      </c>
      <c r="E255" s="65">
        <v>109361</v>
      </c>
    </row>
    <row r="256" spans="1:6">
      <c r="A256" s="46">
        <v>2025</v>
      </c>
      <c r="B256" s="46" t="s">
        <v>567</v>
      </c>
      <c r="C256" s="102">
        <v>45862</v>
      </c>
      <c r="D256" s="54">
        <v>42</v>
      </c>
      <c r="E256" s="65">
        <v>108368</v>
      </c>
    </row>
    <row r="257" spans="1:5">
      <c r="A257" s="46">
        <v>2025</v>
      </c>
      <c r="B257" s="46" t="s">
        <v>567</v>
      </c>
      <c r="C257" s="102">
        <v>45863</v>
      </c>
      <c r="D257" s="54">
        <v>39</v>
      </c>
      <c r="E257" s="65">
        <v>108268</v>
      </c>
    </row>
    <row r="258" spans="1:5">
      <c r="A258" s="46">
        <v>2025</v>
      </c>
      <c r="B258" s="46" t="s">
        <v>567</v>
      </c>
      <c r="C258" s="102">
        <v>45866</v>
      </c>
      <c r="D258" s="54">
        <v>43</v>
      </c>
      <c r="E258" s="65">
        <v>17545</v>
      </c>
    </row>
    <row r="259" spans="1:5">
      <c r="A259" s="46">
        <v>2025</v>
      </c>
      <c r="B259" s="46" t="s">
        <v>567</v>
      </c>
      <c r="C259" s="102">
        <v>45867</v>
      </c>
      <c r="D259" s="54">
        <v>48</v>
      </c>
      <c r="E259" s="65">
        <v>19813</v>
      </c>
    </row>
    <row r="260" spans="1:5">
      <c r="A260" s="46">
        <v>2025</v>
      </c>
      <c r="B260" s="46" t="s">
        <v>567</v>
      </c>
      <c r="C260" s="102">
        <v>45868</v>
      </c>
      <c r="D260" s="54">
        <v>49</v>
      </c>
      <c r="E260" s="65">
        <v>16610</v>
      </c>
    </row>
    <row r="261" spans="1:5">
      <c r="A261" s="46">
        <v>2025</v>
      </c>
      <c r="B261" s="46" t="s">
        <v>567</v>
      </c>
      <c r="C261" s="102">
        <v>45869</v>
      </c>
      <c r="D261" s="54">
        <v>66</v>
      </c>
      <c r="E261" s="65">
        <v>25448</v>
      </c>
    </row>
    <row r="262" spans="1:5">
      <c r="A262" s="46">
        <v>2025</v>
      </c>
      <c r="B262" s="46" t="s">
        <v>567</v>
      </c>
      <c r="C262" s="102">
        <v>45870</v>
      </c>
      <c r="D262" s="54">
        <v>74</v>
      </c>
      <c r="E262" s="65">
        <v>38942</v>
      </c>
    </row>
    <row r="263" spans="1:5">
      <c r="A263" s="46">
        <v>2025</v>
      </c>
      <c r="B263" s="46" t="s">
        <v>567</v>
      </c>
      <c r="C263" s="102">
        <v>45873</v>
      </c>
      <c r="D263" s="54">
        <v>65</v>
      </c>
      <c r="E263" s="65">
        <v>38493</v>
      </c>
    </row>
    <row r="264" spans="1:5">
      <c r="A264" s="46">
        <v>2025</v>
      </c>
      <c r="B264" s="46" t="s">
        <v>567</v>
      </c>
      <c r="C264" s="102">
        <v>45874</v>
      </c>
      <c r="D264" s="54">
        <v>43</v>
      </c>
      <c r="E264" s="65">
        <v>38067</v>
      </c>
    </row>
    <row r="265" spans="1:5">
      <c r="A265" s="46">
        <v>2025</v>
      </c>
      <c r="B265" s="46" t="s">
        <v>567</v>
      </c>
      <c r="C265" s="102">
        <v>45875</v>
      </c>
      <c r="D265" s="54">
        <v>38</v>
      </c>
      <c r="E265" s="65">
        <v>38840</v>
      </c>
    </row>
    <row r="266" spans="1:5">
      <c r="A266" s="46">
        <v>2025</v>
      </c>
      <c r="B266" s="46" t="s">
        <v>567</v>
      </c>
      <c r="C266" s="102">
        <v>45876</v>
      </c>
      <c r="D266" s="54">
        <v>25</v>
      </c>
      <c r="E266" s="65">
        <v>3951</v>
      </c>
    </row>
    <row r="267" spans="1:5">
      <c r="A267" s="46">
        <v>2025</v>
      </c>
      <c r="B267" s="46" t="s">
        <v>567</v>
      </c>
      <c r="C267" s="102">
        <v>45877</v>
      </c>
      <c r="D267" s="54">
        <v>21</v>
      </c>
      <c r="E267" s="65">
        <v>3864</v>
      </c>
    </row>
    <row r="268" spans="1:5">
      <c r="A268" s="46">
        <v>2025</v>
      </c>
      <c r="B268" s="46" t="s">
        <v>567</v>
      </c>
      <c r="C268" s="102">
        <v>45880</v>
      </c>
      <c r="D268" s="54">
        <v>24</v>
      </c>
      <c r="E268" s="65">
        <v>3595</v>
      </c>
    </row>
    <row r="269" spans="1:5">
      <c r="A269" s="46">
        <v>2025</v>
      </c>
      <c r="B269" s="46" t="s">
        <v>567</v>
      </c>
      <c r="C269" s="102">
        <v>45881</v>
      </c>
      <c r="D269" s="54">
        <v>28</v>
      </c>
      <c r="E269" s="65">
        <v>3805</v>
      </c>
    </row>
    <row r="270" spans="1:5">
      <c r="A270" s="46">
        <v>2025</v>
      </c>
      <c r="B270" s="46" t="s">
        <v>567</v>
      </c>
      <c r="C270" s="102">
        <v>45882</v>
      </c>
      <c r="D270" s="54">
        <v>22</v>
      </c>
      <c r="E270" s="65">
        <v>3139</v>
      </c>
    </row>
    <row r="271" spans="1:5">
      <c r="A271" s="46">
        <v>2025</v>
      </c>
      <c r="B271" s="46" t="s">
        <v>567</v>
      </c>
      <c r="C271" s="102">
        <v>45883</v>
      </c>
      <c r="D271" s="54">
        <v>29</v>
      </c>
      <c r="E271" s="65">
        <v>3195</v>
      </c>
    </row>
    <row r="272" spans="1:5">
      <c r="A272" s="46">
        <v>2025</v>
      </c>
      <c r="B272" s="46" t="s">
        <v>567</v>
      </c>
      <c r="C272" s="102">
        <v>45884</v>
      </c>
      <c r="D272" s="54">
        <v>24</v>
      </c>
      <c r="E272" s="65">
        <v>2826</v>
      </c>
    </row>
    <row r="273" spans="1:5">
      <c r="A273" s="46">
        <v>2025</v>
      </c>
      <c r="B273" s="46" t="s">
        <v>567</v>
      </c>
      <c r="C273" s="102">
        <v>45887</v>
      </c>
      <c r="D273" s="54">
        <v>17</v>
      </c>
      <c r="E273" s="65">
        <v>3642</v>
      </c>
    </row>
    <row r="274" spans="1:5">
      <c r="A274" s="46">
        <v>2025</v>
      </c>
      <c r="B274" s="46" t="s">
        <v>567</v>
      </c>
      <c r="C274" s="102">
        <v>45888</v>
      </c>
      <c r="D274" s="54">
        <v>19</v>
      </c>
      <c r="E274" s="65">
        <v>2342</v>
      </c>
    </row>
    <row r="275" spans="1:5">
      <c r="A275" s="46">
        <v>2025</v>
      </c>
      <c r="B275" s="46" t="s">
        <v>567</v>
      </c>
      <c r="C275" s="102">
        <v>45889</v>
      </c>
      <c r="D275" s="54">
        <v>23</v>
      </c>
      <c r="E275" s="65">
        <v>247</v>
      </c>
    </row>
    <row r="276" spans="1:5">
      <c r="A276" s="46">
        <v>2025</v>
      </c>
      <c r="B276" s="46" t="s">
        <v>567</v>
      </c>
      <c r="C276" s="102">
        <v>45890</v>
      </c>
      <c r="D276" s="54">
        <v>26</v>
      </c>
      <c r="E276" s="65">
        <v>317</v>
      </c>
    </row>
    <row r="277" spans="1:5">
      <c r="A277" s="46">
        <v>2025</v>
      </c>
      <c r="B277" s="46" t="s">
        <v>567</v>
      </c>
      <c r="C277" s="102">
        <v>45891</v>
      </c>
      <c r="D277" s="54">
        <v>21</v>
      </c>
      <c r="E277" s="65">
        <v>882</v>
      </c>
    </row>
    <row r="278" spans="1:5">
      <c r="A278" s="46">
        <v>2025</v>
      </c>
      <c r="B278" s="46" t="s">
        <v>567</v>
      </c>
      <c r="C278" s="102">
        <v>45894</v>
      </c>
      <c r="D278" s="54">
        <v>30</v>
      </c>
      <c r="E278" s="65">
        <v>22419</v>
      </c>
    </row>
    <row r="279" spans="1:5">
      <c r="A279" s="46">
        <v>2025</v>
      </c>
      <c r="B279" s="46" t="s">
        <v>567</v>
      </c>
      <c r="C279" s="102">
        <v>45895</v>
      </c>
      <c r="D279" s="54">
        <v>47</v>
      </c>
      <c r="E279" s="65">
        <v>28093</v>
      </c>
    </row>
    <row r="280" spans="1:5">
      <c r="A280" s="46">
        <v>2025</v>
      </c>
      <c r="B280" s="46" t="s">
        <v>567</v>
      </c>
      <c r="C280" s="102">
        <v>45896</v>
      </c>
      <c r="D280" s="54">
        <v>51</v>
      </c>
      <c r="E280" s="65">
        <v>33498</v>
      </c>
    </row>
    <row r="281" spans="1:5">
      <c r="A281" s="46">
        <v>2025</v>
      </c>
      <c r="B281" s="46" t="s">
        <v>567</v>
      </c>
      <c r="C281" s="102">
        <v>45897</v>
      </c>
      <c r="D281" s="54">
        <v>71</v>
      </c>
      <c r="E281" s="65">
        <v>36241</v>
      </c>
    </row>
    <row r="282" spans="1:5">
      <c r="A282" s="46">
        <v>2025</v>
      </c>
      <c r="B282" s="46" t="s">
        <v>567</v>
      </c>
      <c r="C282" s="102">
        <v>45898</v>
      </c>
      <c r="D282" s="54">
        <v>60</v>
      </c>
      <c r="E282" s="65">
        <v>42579</v>
      </c>
    </row>
    <row r="283" spans="1:5">
      <c r="A283" s="46">
        <v>2025</v>
      </c>
      <c r="B283" s="46" t="s">
        <v>567</v>
      </c>
      <c r="C283" s="102">
        <v>45902</v>
      </c>
      <c r="D283" s="54">
        <v>24</v>
      </c>
      <c r="E283" s="65">
        <v>58173</v>
      </c>
    </row>
    <row r="284" spans="1:5">
      <c r="A284" s="46">
        <v>2025</v>
      </c>
      <c r="B284" s="46" t="s">
        <v>567</v>
      </c>
      <c r="C284" s="102">
        <v>45903</v>
      </c>
      <c r="D284" s="54">
        <v>27</v>
      </c>
      <c r="E284" s="65">
        <v>53592</v>
      </c>
    </row>
    <row r="285" spans="1:5">
      <c r="A285" s="46">
        <v>2025</v>
      </c>
      <c r="B285" s="46" t="s">
        <v>567</v>
      </c>
      <c r="C285" s="102">
        <v>45904</v>
      </c>
      <c r="D285" s="54">
        <v>42</v>
      </c>
      <c r="E285" s="65">
        <v>57857</v>
      </c>
    </row>
    <row r="286" spans="1:5">
      <c r="A286" s="46">
        <v>2025</v>
      </c>
      <c r="B286" s="46" t="s">
        <v>567</v>
      </c>
      <c r="C286" s="102">
        <v>45905</v>
      </c>
      <c r="D286" s="54">
        <v>61</v>
      </c>
      <c r="E286" s="65">
        <v>65705</v>
      </c>
    </row>
    <row r="287" spans="1:5">
      <c r="A287" s="46">
        <v>2025</v>
      </c>
      <c r="B287" s="46" t="s">
        <v>567</v>
      </c>
      <c r="C287" s="102">
        <v>45908</v>
      </c>
      <c r="D287" s="54">
        <v>97</v>
      </c>
      <c r="E287" s="65">
        <v>86520</v>
      </c>
    </row>
    <row r="288" spans="1:5">
      <c r="A288" s="46">
        <v>2025</v>
      </c>
      <c r="B288" s="46" t="s">
        <v>567</v>
      </c>
      <c r="C288" s="102">
        <v>45909</v>
      </c>
      <c r="D288" s="54">
        <v>96</v>
      </c>
      <c r="E288" s="65">
        <v>110285</v>
      </c>
    </row>
    <row r="289" spans="1:5">
      <c r="A289" s="46">
        <v>2025</v>
      </c>
      <c r="B289" s="46" t="s">
        <v>567</v>
      </c>
      <c r="C289" s="102">
        <v>45910</v>
      </c>
      <c r="D289" s="54">
        <v>90</v>
      </c>
      <c r="E289" s="65">
        <v>105463</v>
      </c>
    </row>
    <row r="290" spans="1:5">
      <c r="A290" s="46">
        <v>2025</v>
      </c>
      <c r="B290" s="46" t="s">
        <v>567</v>
      </c>
      <c r="C290" s="102">
        <v>45911</v>
      </c>
      <c r="D290" s="54">
        <v>73</v>
      </c>
      <c r="E290" s="65">
        <v>105933</v>
      </c>
    </row>
    <row r="291" spans="1:5">
      <c r="A291" s="46">
        <v>2025</v>
      </c>
      <c r="B291" s="46" t="s">
        <v>567</v>
      </c>
      <c r="C291" s="102">
        <v>45912</v>
      </c>
      <c r="D291" s="54">
        <v>53</v>
      </c>
      <c r="E291" s="65">
        <v>105199</v>
      </c>
    </row>
    <row r="292" spans="1:5">
      <c r="A292" s="46">
        <v>2025</v>
      </c>
      <c r="B292" s="46" t="s">
        <v>567</v>
      </c>
      <c r="C292" s="102">
        <v>45915</v>
      </c>
      <c r="D292" s="54">
        <v>27</v>
      </c>
      <c r="E292" s="65">
        <v>108326</v>
      </c>
    </row>
    <row r="293" spans="1:5">
      <c r="A293" s="46">
        <v>2025</v>
      </c>
      <c r="B293" s="46" t="s">
        <v>567</v>
      </c>
      <c r="C293" s="102">
        <v>45916</v>
      </c>
      <c r="D293" s="54">
        <v>27</v>
      </c>
      <c r="E293" s="65">
        <v>108341</v>
      </c>
    </row>
    <row r="294" spans="1:5">
      <c r="A294" s="46">
        <v>2025</v>
      </c>
      <c r="B294" s="46" t="s">
        <v>567</v>
      </c>
      <c r="C294" s="102">
        <v>45917</v>
      </c>
      <c r="D294" s="54">
        <v>25</v>
      </c>
      <c r="E294" s="65">
        <v>107854</v>
      </c>
    </row>
    <row r="295" spans="1:5">
      <c r="A295" s="46">
        <v>2025</v>
      </c>
      <c r="B295" s="46" t="s">
        <v>567</v>
      </c>
      <c r="C295" s="102">
        <v>45918</v>
      </c>
      <c r="D295" s="54">
        <v>32</v>
      </c>
      <c r="E295" s="65">
        <v>107941</v>
      </c>
    </row>
    <row r="296" spans="1:5">
      <c r="A296" s="46">
        <v>2025</v>
      </c>
      <c r="B296" s="46" t="s">
        <v>567</v>
      </c>
      <c r="C296" s="102">
        <v>45919</v>
      </c>
      <c r="D296" s="54">
        <v>30</v>
      </c>
      <c r="E296" s="65">
        <v>108664</v>
      </c>
    </row>
    <row r="297" spans="1:5">
      <c r="A297" s="46">
        <v>2025</v>
      </c>
      <c r="B297" s="46" t="s">
        <v>567</v>
      </c>
      <c r="C297" s="102">
        <v>45922</v>
      </c>
      <c r="D297" s="54">
        <v>26</v>
      </c>
      <c r="E297" s="65">
        <v>65162</v>
      </c>
    </row>
    <row r="298" spans="1:5">
      <c r="A298" s="46">
        <v>2025</v>
      </c>
      <c r="B298" s="46" t="s">
        <v>567</v>
      </c>
      <c r="C298" s="102">
        <v>45923</v>
      </c>
      <c r="D298" s="54">
        <v>22</v>
      </c>
      <c r="E298" s="65">
        <v>65391</v>
      </c>
    </row>
    <row r="299" spans="1:5">
      <c r="A299" s="46">
        <v>2025</v>
      </c>
      <c r="B299" s="46" t="s">
        <v>567</v>
      </c>
      <c r="C299" s="102">
        <v>45924</v>
      </c>
      <c r="D299" s="54">
        <v>26</v>
      </c>
      <c r="E299" s="65">
        <v>65781</v>
      </c>
    </row>
    <row r="300" spans="1:5">
      <c r="A300" s="46">
        <v>2025</v>
      </c>
      <c r="B300" s="46" t="s">
        <v>567</v>
      </c>
      <c r="C300" s="102">
        <v>45925</v>
      </c>
      <c r="D300" s="54">
        <v>33</v>
      </c>
      <c r="E300" s="65">
        <v>65713</v>
      </c>
    </row>
    <row r="301" spans="1:5">
      <c r="A301" s="46">
        <v>2025</v>
      </c>
      <c r="B301" s="46" t="s">
        <v>567</v>
      </c>
      <c r="C301" s="102">
        <v>45926</v>
      </c>
      <c r="D301" s="54">
        <v>30</v>
      </c>
      <c r="E301" s="65">
        <v>65573</v>
      </c>
    </row>
    <row r="302" spans="1:5">
      <c r="A302" s="46">
        <v>2025</v>
      </c>
      <c r="B302" s="46" t="s">
        <v>567</v>
      </c>
      <c r="C302" s="102">
        <v>45929</v>
      </c>
      <c r="D302" s="54">
        <v>25</v>
      </c>
      <c r="E302" s="65">
        <v>78555</v>
      </c>
    </row>
    <row r="303" spans="1:5">
      <c r="A303" s="46">
        <v>2025</v>
      </c>
      <c r="B303" s="46" t="s">
        <v>567</v>
      </c>
      <c r="C303" s="102">
        <v>45930</v>
      </c>
      <c r="D303" s="54">
        <v>22</v>
      </c>
      <c r="E303" s="65">
        <v>79648</v>
      </c>
    </row>
    <row r="304" spans="1:5">
      <c r="A304" s="46">
        <v>2025</v>
      </c>
      <c r="B304" s="46" t="s">
        <v>567</v>
      </c>
      <c r="C304" s="102">
        <v>45931</v>
      </c>
      <c r="D304" s="54">
        <v>18</v>
      </c>
      <c r="E304" s="65">
        <v>79599</v>
      </c>
    </row>
    <row r="305" spans="1:6">
      <c r="A305" s="46">
        <v>2025</v>
      </c>
      <c r="B305" s="46" t="s">
        <v>567</v>
      </c>
      <c r="C305" s="102">
        <v>45932</v>
      </c>
      <c r="D305" s="54">
        <v>17</v>
      </c>
      <c r="E305" s="65">
        <v>56281</v>
      </c>
    </row>
    <row r="306" spans="1:6">
      <c r="A306" s="46">
        <v>2025</v>
      </c>
      <c r="B306" s="46" t="s">
        <v>567</v>
      </c>
      <c r="C306" s="102">
        <v>45933</v>
      </c>
      <c r="D306" s="54">
        <v>12</v>
      </c>
      <c r="E306" s="65">
        <v>55178</v>
      </c>
    </row>
    <row r="307" spans="1:6">
      <c r="A307" s="46">
        <v>2025</v>
      </c>
      <c r="B307" s="46" t="s">
        <v>567</v>
      </c>
      <c r="C307" s="102">
        <v>45936</v>
      </c>
      <c r="D307" s="54">
        <v>16</v>
      </c>
      <c r="E307" s="65">
        <v>56435</v>
      </c>
    </row>
    <row r="308" spans="1:6">
      <c r="A308" s="46">
        <v>2025</v>
      </c>
      <c r="B308" s="46" t="s">
        <v>567</v>
      </c>
      <c r="C308" s="102">
        <v>45937</v>
      </c>
      <c r="D308" s="54">
        <v>17</v>
      </c>
      <c r="E308" s="65">
        <v>54855</v>
      </c>
      <c r="F308" t="s">
        <v>821</v>
      </c>
    </row>
    <row r="309" spans="1:6">
      <c r="A309" s="46">
        <v>2025</v>
      </c>
      <c r="B309" s="46" t="s">
        <v>567</v>
      </c>
      <c r="C309" s="102">
        <v>45938</v>
      </c>
      <c r="D309" s="54">
        <v>19</v>
      </c>
      <c r="E309" s="65">
        <v>53841</v>
      </c>
    </row>
    <row r="310" spans="1:6">
      <c r="A310" s="46">
        <v>2025</v>
      </c>
      <c r="B310" s="46" t="s">
        <v>567</v>
      </c>
      <c r="C310" s="102">
        <v>45939</v>
      </c>
      <c r="D310" s="54">
        <v>22</v>
      </c>
      <c r="E310" s="65">
        <v>53845</v>
      </c>
    </row>
    <row r="311" spans="1:6">
      <c r="A311" s="46">
        <v>2025</v>
      </c>
      <c r="B311" s="46" t="s">
        <v>567</v>
      </c>
      <c r="C311" s="102">
        <v>45940</v>
      </c>
      <c r="D311" s="54">
        <v>20</v>
      </c>
      <c r="E311" s="65">
        <v>53845</v>
      </c>
    </row>
    <row r="312" spans="1:6">
      <c r="A312" s="46">
        <v>2025</v>
      </c>
      <c r="B312" s="46" t="s">
        <v>567</v>
      </c>
      <c r="C312" s="102">
        <v>45943</v>
      </c>
      <c r="D312" s="54">
        <v>13</v>
      </c>
      <c r="E312" s="65">
        <v>53386</v>
      </c>
    </row>
    <row r="313" spans="1:6">
      <c r="A313" s="46">
        <v>2025</v>
      </c>
      <c r="B313" s="46" t="s">
        <v>567</v>
      </c>
      <c r="C313" s="102">
        <v>45944</v>
      </c>
      <c r="D313" s="54">
        <v>19</v>
      </c>
      <c r="E313" s="65">
        <v>53843</v>
      </c>
    </row>
    <row r="314" spans="1:6">
      <c r="A314" s="46">
        <v>2025</v>
      </c>
      <c r="B314" s="46" t="s">
        <v>567</v>
      </c>
      <c r="C314" s="102">
        <v>45945</v>
      </c>
      <c r="D314" s="54">
        <v>19</v>
      </c>
      <c r="E314" s="65">
        <v>53814</v>
      </c>
    </row>
    <row r="315" spans="1:6">
      <c r="A315" s="46">
        <v>2025</v>
      </c>
      <c r="B315" s="208" t="s">
        <v>567</v>
      </c>
      <c r="C315" s="102">
        <v>45946</v>
      </c>
      <c r="D315" s="54">
        <v>24</v>
      </c>
      <c r="E315" s="65">
        <v>53932</v>
      </c>
    </row>
    <row r="316" spans="1:6">
      <c r="A316" s="46">
        <v>2025</v>
      </c>
      <c r="B316" s="46" t="s">
        <v>567</v>
      </c>
      <c r="C316" s="102">
        <v>45947</v>
      </c>
      <c r="D316" s="54">
        <v>23</v>
      </c>
      <c r="E316" s="65">
        <v>53477</v>
      </c>
    </row>
    <row r="317" spans="1:6">
      <c r="A317" s="46">
        <v>2025</v>
      </c>
      <c r="B317" s="46" t="s">
        <v>567</v>
      </c>
      <c r="C317" s="102">
        <v>45950</v>
      </c>
      <c r="D317" s="54">
        <v>18</v>
      </c>
      <c r="E317" s="65">
        <v>53476</v>
      </c>
    </row>
    <row r="318" spans="1:6">
      <c r="A318" s="46">
        <v>2025</v>
      </c>
      <c r="B318" s="208" t="s">
        <v>567</v>
      </c>
      <c r="C318" s="102">
        <v>45951</v>
      </c>
      <c r="D318" s="54">
        <v>22</v>
      </c>
      <c r="E318" s="65">
        <v>53528</v>
      </c>
    </row>
    <row r="319" spans="1:6">
      <c r="A319" s="46">
        <v>2025</v>
      </c>
      <c r="B319" s="46" t="s">
        <v>567</v>
      </c>
      <c r="C319" s="102">
        <v>45952</v>
      </c>
      <c r="D319" s="54">
        <v>32</v>
      </c>
      <c r="E319" s="65">
        <v>53550</v>
      </c>
    </row>
    <row r="320" spans="1:6">
      <c r="A320" s="46">
        <v>2025</v>
      </c>
      <c r="B320" s="46" t="s">
        <v>567</v>
      </c>
      <c r="C320" s="102">
        <v>45953</v>
      </c>
      <c r="D320" s="54">
        <v>12</v>
      </c>
      <c r="E320" s="65">
        <v>53377</v>
      </c>
    </row>
    <row r="321" spans="1:5">
      <c r="A321" s="46">
        <v>2025</v>
      </c>
      <c r="B321" s="208" t="s">
        <v>567</v>
      </c>
      <c r="C321" s="102">
        <v>45954</v>
      </c>
      <c r="D321" s="54">
        <v>12</v>
      </c>
      <c r="E321" s="65">
        <v>53384</v>
      </c>
    </row>
    <row r="322" spans="1:5">
      <c r="A322" s="46">
        <v>2025</v>
      </c>
      <c r="B322" s="208" t="s">
        <v>567</v>
      </c>
      <c r="C322" s="102">
        <v>45957</v>
      </c>
      <c r="D322" s="54">
        <v>18</v>
      </c>
      <c r="E322" s="65">
        <v>53559</v>
      </c>
    </row>
    <row r="323" spans="1:5">
      <c r="A323" s="46">
        <v>2025</v>
      </c>
      <c r="B323" s="208" t="s">
        <v>567</v>
      </c>
      <c r="C323" s="102">
        <v>45958</v>
      </c>
      <c r="D323" s="54">
        <v>26</v>
      </c>
      <c r="E323" s="65">
        <v>53572</v>
      </c>
    </row>
    <row r="324" spans="1:5">
      <c r="A324" s="46">
        <v>2025</v>
      </c>
      <c r="B324" s="208" t="s">
        <v>567</v>
      </c>
      <c r="C324" s="102">
        <v>45959</v>
      </c>
      <c r="D324" s="54">
        <v>29</v>
      </c>
      <c r="E324" s="65">
        <v>53643</v>
      </c>
    </row>
    <row r="325" spans="1:5">
      <c r="A325" s="46">
        <v>2025</v>
      </c>
      <c r="B325" s="208" t="s">
        <v>567</v>
      </c>
      <c r="C325" s="102">
        <v>45960</v>
      </c>
      <c r="D325" s="54">
        <v>32</v>
      </c>
      <c r="E325" s="65">
        <v>53468</v>
      </c>
    </row>
    <row r="326" spans="1:5">
      <c r="A326" s="46">
        <v>2025</v>
      </c>
      <c r="B326" s="208" t="s">
        <v>567</v>
      </c>
      <c r="C326" s="102">
        <v>45961</v>
      </c>
      <c r="D326" s="54">
        <v>21</v>
      </c>
      <c r="E326" s="65">
        <v>53463</v>
      </c>
    </row>
    <row r="327" spans="1:5">
      <c r="A327" s="46">
        <v>2025</v>
      </c>
      <c r="B327" s="208" t="s">
        <v>567</v>
      </c>
      <c r="C327" s="102">
        <v>45964</v>
      </c>
      <c r="D327" s="54">
        <v>12</v>
      </c>
      <c r="E327" s="65">
        <v>53469</v>
      </c>
    </row>
    <row r="328" spans="1:5">
      <c r="A328" s="46">
        <v>2025</v>
      </c>
      <c r="B328" s="208" t="s">
        <v>567</v>
      </c>
      <c r="C328" s="102">
        <v>45965</v>
      </c>
      <c r="D328" s="54">
        <v>25</v>
      </c>
      <c r="E328" s="65">
        <v>53506</v>
      </c>
    </row>
    <row r="329" spans="1:5">
      <c r="A329" s="46">
        <v>2025</v>
      </c>
      <c r="B329" s="208" t="s">
        <v>567</v>
      </c>
      <c r="C329" s="102">
        <v>45966</v>
      </c>
      <c r="D329" s="54">
        <v>34</v>
      </c>
      <c r="E329" s="65">
        <v>53531</v>
      </c>
    </row>
    <row r="330" spans="1:5">
      <c r="A330" s="46">
        <v>2025</v>
      </c>
      <c r="B330" s="208" t="s">
        <v>567</v>
      </c>
      <c r="C330" s="102">
        <v>45971</v>
      </c>
      <c r="D330" s="54">
        <v>13</v>
      </c>
      <c r="E330" s="65">
        <v>53479</v>
      </c>
    </row>
    <row r="331" spans="1:5">
      <c r="A331" s="46">
        <v>2025</v>
      </c>
      <c r="B331" s="208" t="s">
        <v>567</v>
      </c>
      <c r="C331" s="102">
        <v>45973</v>
      </c>
      <c r="D331" s="54">
        <v>23</v>
      </c>
      <c r="E331" s="65">
        <v>34032</v>
      </c>
    </row>
    <row r="332" spans="1:5" ht="15" customHeight="1">
      <c r="A332" s="46">
        <v>2025</v>
      </c>
      <c r="B332" s="208" t="s">
        <v>567</v>
      </c>
      <c r="C332" s="102">
        <v>45974</v>
      </c>
      <c r="D332" s="54">
        <v>36</v>
      </c>
      <c r="E332" s="65">
        <v>34131</v>
      </c>
    </row>
    <row r="333" spans="1:5">
      <c r="A333" s="46">
        <v>2025</v>
      </c>
      <c r="B333" s="208" t="s">
        <v>567</v>
      </c>
      <c r="C333" s="102">
        <v>45975</v>
      </c>
      <c r="D333" s="54">
        <v>31</v>
      </c>
      <c r="E333" s="65">
        <v>57550</v>
      </c>
    </row>
    <row r="334" spans="1:5">
      <c r="A334" s="46">
        <v>2025</v>
      </c>
      <c r="B334" s="208" t="s">
        <v>567</v>
      </c>
      <c r="C334" s="102">
        <v>45978</v>
      </c>
      <c r="D334" s="54">
        <v>20</v>
      </c>
      <c r="E334" s="65">
        <v>27690</v>
      </c>
    </row>
    <row r="335" spans="1:5">
      <c r="A335" s="46">
        <v>2025</v>
      </c>
      <c r="B335" s="208" t="s">
        <v>567</v>
      </c>
      <c r="C335" s="102">
        <v>45979</v>
      </c>
      <c r="D335" s="54">
        <v>30</v>
      </c>
      <c r="E335" s="65">
        <v>43877</v>
      </c>
    </row>
    <row r="336" spans="1:5">
      <c r="A336" s="46">
        <v>2025</v>
      </c>
      <c r="B336" s="208" t="s">
        <v>567</v>
      </c>
      <c r="C336" s="102">
        <v>45980</v>
      </c>
      <c r="D336" s="54">
        <v>38</v>
      </c>
      <c r="E336" s="65">
        <v>45588</v>
      </c>
    </row>
    <row r="337" spans="1:5">
      <c r="A337" s="46">
        <v>2025</v>
      </c>
      <c r="B337" s="208" t="s">
        <v>567</v>
      </c>
      <c r="C337" s="102">
        <v>45981</v>
      </c>
      <c r="D337" s="54">
        <v>32</v>
      </c>
      <c r="E337" s="65">
        <v>45573</v>
      </c>
    </row>
    <row r="338" spans="1:5">
      <c r="A338" s="46">
        <v>2025</v>
      </c>
      <c r="B338" s="208" t="s">
        <v>567</v>
      </c>
      <c r="C338" s="102">
        <v>45982</v>
      </c>
      <c r="D338" s="54">
        <v>29</v>
      </c>
      <c r="E338" s="65">
        <v>44905</v>
      </c>
    </row>
    <row r="339" spans="1:5">
      <c r="A339" s="46">
        <v>2025</v>
      </c>
      <c r="B339" s="208" t="s">
        <v>567</v>
      </c>
      <c r="C339" s="102">
        <v>45985</v>
      </c>
      <c r="D339" s="54">
        <v>8</v>
      </c>
      <c r="E339" s="65">
        <v>44871</v>
      </c>
    </row>
    <row r="340" spans="1:5">
      <c r="A340" s="46">
        <v>2025</v>
      </c>
      <c r="B340" s="208" t="s">
        <v>567</v>
      </c>
      <c r="C340" s="102">
        <v>45986</v>
      </c>
      <c r="D340" s="54">
        <v>21</v>
      </c>
      <c r="E340" s="65">
        <v>44813</v>
      </c>
    </row>
    <row r="341" spans="1:5">
      <c r="A341" s="46">
        <v>2025</v>
      </c>
      <c r="B341" s="208" t="s">
        <v>567</v>
      </c>
      <c r="C341" s="102">
        <v>45987</v>
      </c>
      <c r="D341" s="54">
        <v>22</v>
      </c>
      <c r="E341" s="65">
        <v>44813</v>
      </c>
    </row>
    <row r="342" spans="1:5">
      <c r="A342" s="46">
        <v>2025</v>
      </c>
      <c r="B342" s="208" t="s">
        <v>567</v>
      </c>
      <c r="C342" s="102">
        <v>45992</v>
      </c>
      <c r="D342" s="54">
        <v>8</v>
      </c>
      <c r="E342" s="65">
        <v>21445</v>
      </c>
    </row>
    <row r="343" spans="1:5">
      <c r="A343" s="46">
        <v>2025</v>
      </c>
      <c r="B343" s="208" t="s">
        <v>567</v>
      </c>
      <c r="C343" s="102">
        <v>45993</v>
      </c>
      <c r="D343" s="54">
        <v>14</v>
      </c>
      <c r="E343" s="65">
        <v>1981</v>
      </c>
    </row>
    <row r="344" spans="1:5">
      <c r="A344" s="46">
        <v>2025</v>
      </c>
      <c r="B344" s="208" t="s">
        <v>567</v>
      </c>
      <c r="C344" s="102">
        <v>45994</v>
      </c>
      <c r="D344" s="54">
        <v>14</v>
      </c>
      <c r="E344" s="65">
        <v>2107</v>
      </c>
    </row>
    <row r="345" spans="1:5">
      <c r="A345" s="46">
        <v>2025</v>
      </c>
      <c r="B345" s="208" t="s">
        <v>567</v>
      </c>
      <c r="C345" s="102">
        <v>45995</v>
      </c>
      <c r="D345" s="54">
        <v>21</v>
      </c>
      <c r="E345" s="65">
        <v>2206</v>
      </c>
    </row>
    <row r="346" spans="1:5">
      <c r="A346" s="46">
        <v>2025</v>
      </c>
      <c r="B346" s="208" t="s">
        <v>567</v>
      </c>
      <c r="C346" s="102">
        <v>45996</v>
      </c>
      <c r="D346" s="54">
        <v>21</v>
      </c>
      <c r="E346" s="65">
        <v>5603</v>
      </c>
    </row>
    <row r="347" spans="1:5">
      <c r="A347" s="46">
        <v>2025</v>
      </c>
      <c r="B347" s="208" t="s">
        <v>567</v>
      </c>
      <c r="C347" s="102">
        <v>45999</v>
      </c>
      <c r="D347" s="54">
        <v>11</v>
      </c>
      <c r="E347" s="65">
        <v>5600</v>
      </c>
    </row>
    <row r="348" spans="1:5">
      <c r="A348" s="46">
        <v>2025</v>
      </c>
      <c r="B348" s="208" t="s">
        <v>567</v>
      </c>
      <c r="C348" s="102">
        <v>46000</v>
      </c>
      <c r="D348" s="54">
        <v>18</v>
      </c>
      <c r="E348" s="65">
        <v>5698</v>
      </c>
    </row>
    <row r="349" spans="1:5">
      <c r="A349" s="46">
        <v>2025</v>
      </c>
      <c r="B349" s="208" t="s">
        <v>567</v>
      </c>
      <c r="C349" s="102">
        <v>46001</v>
      </c>
      <c r="D349" s="54">
        <v>21</v>
      </c>
      <c r="E349" s="65">
        <v>5818</v>
      </c>
    </row>
    <row r="350" spans="1:5">
      <c r="A350" s="46">
        <v>2025</v>
      </c>
      <c r="B350" s="208" t="s">
        <v>567</v>
      </c>
      <c r="C350" s="102">
        <v>46002</v>
      </c>
      <c r="D350" s="54">
        <v>32</v>
      </c>
      <c r="E350" s="65">
        <v>29175</v>
      </c>
    </row>
    <row r="351" spans="1:5">
      <c r="A351" s="46">
        <v>2025</v>
      </c>
      <c r="B351" s="208" t="s">
        <v>567</v>
      </c>
      <c r="C351" s="102">
        <v>46006</v>
      </c>
      <c r="D351" s="54">
        <v>17</v>
      </c>
      <c r="E351" s="65">
        <v>30138</v>
      </c>
    </row>
    <row r="352" spans="1:5">
      <c r="A352" s="46">
        <v>2025</v>
      </c>
      <c r="B352" s="208" t="s">
        <v>567</v>
      </c>
      <c r="C352" s="102">
        <v>46007</v>
      </c>
      <c r="D352" s="54">
        <v>23</v>
      </c>
      <c r="E352" s="65">
        <v>30159</v>
      </c>
    </row>
    <row r="353" spans="1:6">
      <c r="A353" s="46">
        <v>2025</v>
      </c>
      <c r="B353" s="208" t="s">
        <v>567</v>
      </c>
      <c r="C353" s="102">
        <v>46008</v>
      </c>
      <c r="D353" s="54">
        <v>29</v>
      </c>
      <c r="E353" s="65">
        <v>30670</v>
      </c>
    </row>
    <row r="354" spans="1:6">
      <c r="A354" s="46">
        <v>2025</v>
      </c>
      <c r="B354" s="208" t="s">
        <v>567</v>
      </c>
      <c r="C354" s="102">
        <v>46009</v>
      </c>
      <c r="D354" s="54">
        <v>44</v>
      </c>
      <c r="E354" s="65">
        <v>30737</v>
      </c>
    </row>
    <row r="355" spans="1:6">
      <c r="A355" s="46">
        <v>2025</v>
      </c>
      <c r="B355" s="208" t="s">
        <v>567</v>
      </c>
      <c r="C355" s="102">
        <v>46010</v>
      </c>
      <c r="D355" s="54">
        <v>41</v>
      </c>
      <c r="E355" s="65">
        <v>25625</v>
      </c>
    </row>
    <row r="356" spans="1:6">
      <c r="A356" s="46">
        <v>2025</v>
      </c>
      <c r="B356" s="208" t="s">
        <v>567</v>
      </c>
      <c r="C356" s="102">
        <v>46013</v>
      </c>
      <c r="D356" s="54">
        <v>14</v>
      </c>
      <c r="E356" s="65">
        <v>25570</v>
      </c>
    </row>
    <row r="357" spans="1:6">
      <c r="A357" s="46">
        <v>2025</v>
      </c>
      <c r="B357" s="208" t="s">
        <v>567</v>
      </c>
      <c r="C357" s="102">
        <v>46014</v>
      </c>
      <c r="D357" s="54">
        <v>15</v>
      </c>
      <c r="E357" s="65">
        <v>25374</v>
      </c>
    </row>
    <row r="358" spans="1:6">
      <c r="A358" s="46">
        <v>2025</v>
      </c>
      <c r="B358" s="208" t="s">
        <v>567</v>
      </c>
      <c r="C358" s="102">
        <v>46015</v>
      </c>
      <c r="D358" s="54">
        <v>14</v>
      </c>
      <c r="E358" s="65">
        <v>25245</v>
      </c>
    </row>
    <row r="359" spans="1:6">
      <c r="A359" s="46">
        <v>2025</v>
      </c>
      <c r="B359" s="208" t="s">
        <v>567</v>
      </c>
      <c r="C359" s="102">
        <v>46017</v>
      </c>
      <c r="D359" s="54">
        <v>5</v>
      </c>
      <c r="E359" s="65">
        <v>1330</v>
      </c>
    </row>
    <row r="360" spans="1:6">
      <c r="A360" s="46">
        <v>2025</v>
      </c>
      <c r="B360" s="208" t="s">
        <v>567</v>
      </c>
      <c r="C360" s="102">
        <v>46020</v>
      </c>
      <c r="D360" s="54">
        <v>3</v>
      </c>
      <c r="E360" s="65">
        <v>1041</v>
      </c>
    </row>
    <row r="361" spans="1:6">
      <c r="A361" s="46">
        <v>2025</v>
      </c>
      <c r="B361" s="208" t="s">
        <v>567</v>
      </c>
      <c r="C361" s="102">
        <v>46022</v>
      </c>
      <c r="D361" s="54">
        <v>1</v>
      </c>
      <c r="E361" s="65">
        <v>0</v>
      </c>
      <c r="F361" t="s">
        <v>825</v>
      </c>
    </row>
    <row r="362" spans="1:6">
      <c r="A362" s="46">
        <v>2026</v>
      </c>
      <c r="B362" s="208" t="s">
        <v>567</v>
      </c>
      <c r="C362" s="102">
        <v>46023</v>
      </c>
      <c r="D362" s="54">
        <v>1</v>
      </c>
      <c r="E362" s="65">
        <v>0</v>
      </c>
      <c r="F362" t="s">
        <v>825</v>
      </c>
    </row>
    <row r="363" spans="1:6">
      <c r="A363" s="46">
        <v>2026</v>
      </c>
      <c r="B363" s="208" t="s">
        <v>567</v>
      </c>
      <c r="C363" s="102">
        <v>46024</v>
      </c>
      <c r="D363" s="54">
        <v>1</v>
      </c>
      <c r="E363" s="65">
        <v>0</v>
      </c>
      <c r="F363" t="s">
        <v>825</v>
      </c>
    </row>
    <row r="364" spans="1:6">
      <c r="A364" s="46">
        <v>2026</v>
      </c>
      <c r="B364" s="208" t="s">
        <v>567</v>
      </c>
      <c r="C364" s="102">
        <v>46027</v>
      </c>
      <c r="D364" s="54">
        <v>15</v>
      </c>
      <c r="E364" s="65">
        <v>0</v>
      </c>
    </row>
    <row r="365" spans="1:6">
      <c r="A365" s="46">
        <v>2026</v>
      </c>
      <c r="B365" s="208" t="s">
        <v>567</v>
      </c>
      <c r="C365" s="102">
        <v>46028</v>
      </c>
      <c r="D365" s="54">
        <v>10</v>
      </c>
      <c r="E365" s="65">
        <v>27</v>
      </c>
    </row>
    <row r="366" spans="1:6">
      <c r="A366" s="46">
        <v>2026</v>
      </c>
      <c r="B366" s="208" t="s">
        <v>567</v>
      </c>
      <c r="C366" s="102">
        <v>46029</v>
      </c>
      <c r="D366" s="54">
        <v>19</v>
      </c>
      <c r="E366" s="65">
        <v>176</v>
      </c>
    </row>
    <row r="367" spans="1:6">
      <c r="A367" s="46">
        <v>2026</v>
      </c>
      <c r="B367" s="208" t="s">
        <v>567</v>
      </c>
      <c r="C367" s="102">
        <v>46030</v>
      </c>
      <c r="D367" s="54">
        <v>23</v>
      </c>
      <c r="E367" s="65">
        <v>176</v>
      </c>
    </row>
    <row r="368" spans="1:6">
      <c r="A368" s="46">
        <v>2026</v>
      </c>
      <c r="B368" s="208" t="s">
        <v>567</v>
      </c>
      <c r="C368" s="102">
        <v>46031</v>
      </c>
      <c r="D368" s="54">
        <v>19</v>
      </c>
      <c r="E368" s="65">
        <v>215</v>
      </c>
    </row>
    <row r="369" spans="1:5">
      <c r="A369" s="46">
        <v>2026</v>
      </c>
      <c r="B369" s="208" t="s">
        <v>567</v>
      </c>
      <c r="C369" s="102">
        <v>46034</v>
      </c>
      <c r="D369" s="54">
        <v>3</v>
      </c>
      <c r="E369" s="65">
        <v>215</v>
      </c>
    </row>
    <row r="370" spans="1:5">
      <c r="A370" s="46">
        <v>2026</v>
      </c>
      <c r="B370" s="208" t="s">
        <v>567</v>
      </c>
      <c r="C370" s="102">
        <v>46036</v>
      </c>
      <c r="D370" s="54">
        <v>11</v>
      </c>
      <c r="E370" s="65">
        <v>289</v>
      </c>
    </row>
    <row r="371" spans="1:5">
      <c r="A371" s="46">
        <v>2026</v>
      </c>
      <c r="B371" s="208" t="s">
        <v>567</v>
      </c>
      <c r="C371" s="102">
        <v>46037</v>
      </c>
      <c r="D371" s="54">
        <v>13</v>
      </c>
      <c r="E371" s="65">
        <v>289</v>
      </c>
    </row>
    <row r="372" spans="1:5">
      <c r="A372" s="46">
        <v>2026</v>
      </c>
      <c r="B372" s="208" t="s">
        <v>567</v>
      </c>
      <c r="C372" s="102">
        <v>46038</v>
      </c>
      <c r="D372" s="54">
        <v>19</v>
      </c>
      <c r="E372" s="65">
        <v>603</v>
      </c>
    </row>
    <row r="373" spans="1:5">
      <c r="A373" s="46">
        <v>2026</v>
      </c>
      <c r="B373" s="208" t="s">
        <v>567</v>
      </c>
      <c r="C373" s="102">
        <v>46042</v>
      </c>
      <c r="D373" s="54">
        <v>4</v>
      </c>
      <c r="E373" s="65">
        <v>603</v>
      </c>
    </row>
    <row r="374" spans="1:5">
      <c r="A374" s="46">
        <v>2026</v>
      </c>
      <c r="B374" s="208" t="s">
        <v>567</v>
      </c>
      <c r="C374" s="102">
        <v>46043</v>
      </c>
      <c r="D374" s="54">
        <v>8</v>
      </c>
      <c r="E374" s="65">
        <v>474</v>
      </c>
    </row>
    <row r="375" spans="1:5">
      <c r="A375" s="46">
        <v>2026</v>
      </c>
      <c r="B375" s="208" t="s">
        <v>567</v>
      </c>
      <c r="C375" s="102">
        <v>46044</v>
      </c>
      <c r="D375" s="54">
        <v>10</v>
      </c>
      <c r="E375" s="65">
        <v>474</v>
      </c>
    </row>
    <row r="376" spans="1:5">
      <c r="A376" s="46">
        <v>2026</v>
      </c>
      <c r="B376" s="208" t="s">
        <v>567</v>
      </c>
      <c r="C376" s="102">
        <v>46048</v>
      </c>
      <c r="D376" s="54">
        <v>5</v>
      </c>
      <c r="E376" s="65">
        <v>497</v>
      </c>
    </row>
    <row r="377" spans="1:5">
      <c r="A377" s="46">
        <v>2026</v>
      </c>
      <c r="B377" s="208" t="s">
        <v>567</v>
      </c>
      <c r="C377" s="102">
        <v>46049</v>
      </c>
      <c r="D377" s="54">
        <v>9</v>
      </c>
      <c r="E377" s="65">
        <v>579</v>
      </c>
    </row>
    <row r="378" spans="1:5">
      <c r="A378" s="46">
        <v>2026</v>
      </c>
      <c r="B378" s="208" t="s">
        <v>567</v>
      </c>
      <c r="C378" s="102">
        <v>46050</v>
      </c>
      <c r="D378" s="54">
        <v>15</v>
      </c>
      <c r="E378" s="65">
        <v>589</v>
      </c>
    </row>
    <row r="379" spans="1:5">
      <c r="A379" s="46">
        <v>2026</v>
      </c>
      <c r="B379" s="208" t="s">
        <v>567</v>
      </c>
      <c r="C379" s="102">
        <v>46051</v>
      </c>
      <c r="D379" s="54">
        <v>17</v>
      </c>
      <c r="E379" s="65">
        <v>624</v>
      </c>
    </row>
    <row r="380" spans="1:5">
      <c r="A380" s="46">
        <v>2026</v>
      </c>
      <c r="B380" s="208" t="s">
        <v>567</v>
      </c>
      <c r="C380" s="102">
        <v>46052</v>
      </c>
      <c r="D380" s="54">
        <v>12</v>
      </c>
      <c r="E380" s="65">
        <v>710</v>
      </c>
    </row>
    <row r="381" spans="1:5">
      <c r="A381" s="46">
        <v>2026</v>
      </c>
      <c r="B381" s="208" t="s">
        <v>567</v>
      </c>
      <c r="C381" s="102">
        <v>46055</v>
      </c>
      <c r="D381" s="54">
        <v>6</v>
      </c>
      <c r="E381" s="65">
        <v>705</v>
      </c>
    </row>
    <row r="382" spans="1:5">
      <c r="A382" s="46">
        <v>2026</v>
      </c>
      <c r="B382" s="208" t="s">
        <v>567</v>
      </c>
      <c r="C382" s="102">
        <v>46056</v>
      </c>
      <c r="D382" s="54">
        <v>9</v>
      </c>
      <c r="E382" s="65">
        <v>705</v>
      </c>
    </row>
    <row r="383" spans="1:5">
      <c r="A383" s="46">
        <v>2026</v>
      </c>
      <c r="B383" s="208" t="s">
        <v>567</v>
      </c>
      <c r="C383" s="102">
        <v>46057</v>
      </c>
      <c r="D383" s="54">
        <v>10</v>
      </c>
      <c r="E383" s="65">
        <v>651</v>
      </c>
    </row>
    <row r="384" spans="1:5">
      <c r="A384" s="46">
        <v>2026</v>
      </c>
      <c r="B384" s="208" t="s">
        <v>567</v>
      </c>
      <c r="C384" s="102">
        <v>46058</v>
      </c>
      <c r="D384" s="54">
        <v>12</v>
      </c>
      <c r="E384" s="65">
        <v>686</v>
      </c>
    </row>
    <row r="385" spans="1:5">
      <c r="A385" s="46">
        <v>2026</v>
      </c>
      <c r="B385" s="208" t="s">
        <v>567</v>
      </c>
      <c r="C385" s="102">
        <v>46059</v>
      </c>
      <c r="D385" s="54">
        <v>9</v>
      </c>
      <c r="E385" s="65">
        <v>830</v>
      </c>
    </row>
    <row r="386" spans="1:5">
      <c r="A386" s="46">
        <v>2026</v>
      </c>
      <c r="B386" s="208" t="s">
        <v>567</v>
      </c>
      <c r="C386" s="102">
        <v>46062</v>
      </c>
      <c r="D386" s="54">
        <v>6</v>
      </c>
      <c r="E386" s="65">
        <v>828</v>
      </c>
    </row>
    <row r="387" spans="1:5">
      <c r="A387" s="46">
        <v>2026</v>
      </c>
      <c r="B387" s="208" t="s">
        <v>567</v>
      </c>
      <c r="C387" s="102">
        <v>46063</v>
      </c>
      <c r="D387" s="54">
        <v>10</v>
      </c>
      <c r="E387" s="65">
        <v>828</v>
      </c>
    </row>
    <row r="388" spans="1:5">
      <c r="A388" s="46">
        <v>2026</v>
      </c>
      <c r="B388" s="208" t="s">
        <v>567</v>
      </c>
      <c r="C388" s="102">
        <v>46064</v>
      </c>
      <c r="D388" s="54">
        <v>10</v>
      </c>
      <c r="E388" s="65">
        <v>828</v>
      </c>
    </row>
    <row r="389" spans="1:5">
      <c r="A389" s="46">
        <v>2026</v>
      </c>
      <c r="B389" s="208" t="s">
        <v>567</v>
      </c>
      <c r="C389" s="102">
        <v>46065</v>
      </c>
      <c r="D389" s="54">
        <v>8</v>
      </c>
      <c r="E389" s="65">
        <v>828</v>
      </c>
    </row>
    <row r="390" spans="1:5">
      <c r="A390" s="46">
        <v>2026</v>
      </c>
      <c r="B390" s="208" t="s">
        <v>567</v>
      </c>
      <c r="C390" s="102">
        <v>46066</v>
      </c>
      <c r="D390" s="54">
        <v>3</v>
      </c>
      <c r="E390" s="65">
        <v>923</v>
      </c>
    </row>
    <row r="391" spans="1:5">
      <c r="A391" s="46">
        <v>2026</v>
      </c>
      <c r="B391" s="208" t="s">
        <v>567</v>
      </c>
      <c r="C391" s="102">
        <v>46070</v>
      </c>
      <c r="D391" s="54">
        <v>4</v>
      </c>
      <c r="E391" s="65">
        <v>923</v>
      </c>
    </row>
    <row r="392" spans="1:5">
      <c r="A392" s="46">
        <v>2026</v>
      </c>
      <c r="B392" s="208" t="s">
        <v>567</v>
      </c>
      <c r="C392" s="102">
        <v>46071</v>
      </c>
      <c r="D392" s="54">
        <v>9</v>
      </c>
      <c r="E392" s="65">
        <v>923</v>
      </c>
    </row>
    <row r="393" spans="1:5">
      <c r="A393" s="46">
        <v>2026</v>
      </c>
      <c r="B393" s="208" t="s">
        <v>567</v>
      </c>
      <c r="C393" s="102">
        <v>46072</v>
      </c>
      <c r="D393" s="54">
        <v>11</v>
      </c>
      <c r="E393" s="65">
        <v>923</v>
      </c>
    </row>
    <row r="394" spans="1:5">
      <c r="A394" s="46">
        <v>2026</v>
      </c>
      <c r="B394" s="208" t="s">
        <v>567</v>
      </c>
      <c r="C394" s="102">
        <v>46073</v>
      </c>
      <c r="D394" s="54">
        <v>9</v>
      </c>
      <c r="E394" s="65">
        <v>744</v>
      </c>
    </row>
    <row r="395" spans="1:5">
      <c r="A395" s="46">
        <v>2026</v>
      </c>
      <c r="B395" s="208" t="s">
        <v>567</v>
      </c>
      <c r="C395" s="102">
        <v>46076</v>
      </c>
      <c r="D395" s="54">
        <v>2</v>
      </c>
      <c r="E395" s="65">
        <v>704</v>
      </c>
    </row>
    <row r="396" spans="1:5">
      <c r="A396" s="46">
        <v>2026</v>
      </c>
      <c r="B396" s="208" t="s">
        <v>567</v>
      </c>
      <c r="C396" s="102">
        <v>46077</v>
      </c>
      <c r="D396" s="54">
        <v>5</v>
      </c>
      <c r="E396" s="65">
        <v>704</v>
      </c>
    </row>
    <row r="397" spans="1:5">
      <c r="A397" s="46">
        <v>2026</v>
      </c>
      <c r="B397" s="208" t="s">
        <v>567</v>
      </c>
      <c r="C397" s="102">
        <v>46078</v>
      </c>
      <c r="D397" s="54">
        <v>3</v>
      </c>
      <c r="E397" s="65">
        <v>704</v>
      </c>
    </row>
    <row r="398" spans="1:5">
      <c r="A398" s="46">
        <v>2026</v>
      </c>
      <c r="B398" s="208" t="s">
        <v>567</v>
      </c>
      <c r="C398" s="102">
        <v>46079</v>
      </c>
      <c r="D398" s="54">
        <v>4</v>
      </c>
      <c r="E398" s="65">
        <v>704</v>
      </c>
    </row>
    <row r="399" spans="1:5">
      <c r="A399" s="46">
        <v>2026</v>
      </c>
      <c r="B399" s="208" t="s">
        <v>567</v>
      </c>
      <c r="C399" s="102">
        <v>46080</v>
      </c>
      <c r="D399" s="54">
        <v>3</v>
      </c>
      <c r="E399" s="65">
        <v>0</v>
      </c>
    </row>
    <row r="400" spans="1:5">
      <c r="A400" s="46">
        <v>2026</v>
      </c>
      <c r="B400" s="208" t="s">
        <v>567</v>
      </c>
      <c r="C400" s="102">
        <v>46083</v>
      </c>
      <c r="D400" s="54">
        <v>1</v>
      </c>
      <c r="E400" s="65">
        <v>0</v>
      </c>
    </row>
    <row r="401" spans="1:5">
      <c r="A401" s="46">
        <v>2026</v>
      </c>
      <c r="B401" s="208" t="s">
        <v>567</v>
      </c>
      <c r="C401" s="102">
        <v>46084</v>
      </c>
      <c r="D401" s="54">
        <v>2</v>
      </c>
      <c r="E401" s="65">
        <v>1</v>
      </c>
    </row>
    <row r="402" spans="1:5">
      <c r="A402" s="46">
        <v>2026</v>
      </c>
      <c r="B402" s="208" t="s">
        <v>567</v>
      </c>
      <c r="C402" s="102">
        <v>46085</v>
      </c>
      <c r="D402" s="54">
        <v>3</v>
      </c>
      <c r="E402" s="65">
        <v>1</v>
      </c>
    </row>
    <row r="403" spans="1:5">
      <c r="A403" s="46">
        <v>2026</v>
      </c>
      <c r="B403" s="208" t="s">
        <v>567</v>
      </c>
      <c r="C403" s="102">
        <v>46086</v>
      </c>
      <c r="D403" s="54">
        <v>4</v>
      </c>
      <c r="E403" s="65">
        <v>1</v>
      </c>
    </row>
    <row r="404" spans="1:5">
      <c r="A404" s="46">
        <v>2026</v>
      </c>
      <c r="B404" s="208" t="s">
        <v>567</v>
      </c>
      <c r="C404" s="102">
        <v>46087</v>
      </c>
      <c r="D404" s="54">
        <v>4</v>
      </c>
      <c r="E404" s="65">
        <v>1</v>
      </c>
    </row>
    <row r="405" spans="1:5">
      <c r="A405" s="46">
        <v>2026</v>
      </c>
      <c r="B405" s="208" t="s">
        <v>567</v>
      </c>
      <c r="C405" s="102">
        <v>46090</v>
      </c>
      <c r="D405" s="54">
        <v>1</v>
      </c>
      <c r="E405" s="65">
        <v>1</v>
      </c>
    </row>
    <row r="406" spans="1:5">
      <c r="A406" s="46">
        <v>2026</v>
      </c>
      <c r="B406" s="208" t="s">
        <v>567</v>
      </c>
      <c r="C406" s="102">
        <v>46091</v>
      </c>
      <c r="D406" s="54">
        <v>1</v>
      </c>
      <c r="E406" s="65">
        <v>1</v>
      </c>
    </row>
    <row r="407" spans="1:5">
      <c r="A407" s="46">
        <v>2026</v>
      </c>
      <c r="B407" s="208" t="s">
        <v>567</v>
      </c>
      <c r="C407" s="102">
        <v>46092</v>
      </c>
      <c r="D407" s="54">
        <v>1</v>
      </c>
      <c r="E407" s="65">
        <v>1</v>
      </c>
    </row>
    <row r="408" spans="1:5">
      <c r="A408" s="46">
        <v>2026</v>
      </c>
      <c r="B408" s="208" t="s">
        <v>567</v>
      </c>
      <c r="C408" s="102">
        <v>46093</v>
      </c>
      <c r="D408" s="54">
        <v>2</v>
      </c>
      <c r="E408" s="65">
        <v>1</v>
      </c>
    </row>
    <row r="409" spans="1:5">
      <c r="A409" s="46">
        <v>2026</v>
      </c>
      <c r="B409" s="208" t="s">
        <v>567</v>
      </c>
      <c r="C409" s="102">
        <v>46094</v>
      </c>
      <c r="D409" s="54">
        <v>1</v>
      </c>
      <c r="E409" s="65">
        <v>0</v>
      </c>
    </row>
    <row r="410" spans="1:5">
      <c r="A410" s="46">
        <v>2026</v>
      </c>
      <c r="B410" s="208" t="s">
        <v>567</v>
      </c>
      <c r="C410" s="102">
        <v>46097</v>
      </c>
      <c r="D410" s="54">
        <v>0</v>
      </c>
      <c r="E410" s="65">
        <v>0</v>
      </c>
    </row>
    <row r="411" spans="1:5">
      <c r="A411" s="46">
        <v>2026</v>
      </c>
      <c r="B411" s="208" t="s">
        <v>567</v>
      </c>
      <c r="C411" s="102">
        <v>46098</v>
      </c>
      <c r="D411" s="54">
        <v>6</v>
      </c>
      <c r="E411" s="65">
        <v>1.7</v>
      </c>
    </row>
    <row r="412" spans="1:5">
      <c r="A412" s="46">
        <v>2026</v>
      </c>
      <c r="B412" s="208" t="s">
        <v>567</v>
      </c>
      <c r="C412" s="102">
        <v>46099</v>
      </c>
      <c r="D412" s="54">
        <v>9</v>
      </c>
      <c r="E412" s="65">
        <v>18.5</v>
      </c>
    </row>
    <row r="413" spans="1:5">
      <c r="A413" s="46">
        <v>2026</v>
      </c>
      <c r="B413" s="208" t="s">
        <v>567</v>
      </c>
      <c r="C413" s="102">
        <v>46100</v>
      </c>
      <c r="D413" s="54">
        <v>11</v>
      </c>
      <c r="E413" s="65">
        <v>18.5</v>
      </c>
    </row>
    <row r="414" spans="1:5">
      <c r="A414" s="46">
        <v>2026</v>
      </c>
      <c r="B414" s="208" t="s">
        <v>567</v>
      </c>
      <c r="C414" s="102">
        <v>46101</v>
      </c>
      <c r="D414" s="54">
        <v>14</v>
      </c>
      <c r="E414" s="65">
        <v>126</v>
      </c>
    </row>
    <row r="415" spans="1:5">
      <c r="A415" s="46">
        <v>2026</v>
      </c>
      <c r="B415" s="208" t="s">
        <v>567</v>
      </c>
      <c r="C415" s="102">
        <v>46107</v>
      </c>
      <c r="D415" s="54">
        <v>13</v>
      </c>
      <c r="E415" s="65">
        <v>118.7</v>
      </c>
    </row>
    <row r="416" spans="1:5">
      <c r="A416" s="46">
        <v>2026</v>
      </c>
      <c r="B416" s="208" t="s">
        <v>567</v>
      </c>
      <c r="C416" s="102">
        <v>46108</v>
      </c>
      <c r="D416" s="54">
        <v>13</v>
      </c>
      <c r="E416" s="65">
        <v>141.9</v>
      </c>
    </row>
    <row r="417" spans="1:5">
      <c r="A417" s="46">
        <v>2026</v>
      </c>
      <c r="B417" s="208" t="s">
        <v>567</v>
      </c>
      <c r="C417" s="102">
        <v>46111</v>
      </c>
      <c r="D417" s="54">
        <v>8</v>
      </c>
      <c r="E417" s="65">
        <v>236.24</v>
      </c>
    </row>
    <row r="418" spans="1:5">
      <c r="A418" s="46">
        <v>2026</v>
      </c>
      <c r="B418" s="208" t="s">
        <v>567</v>
      </c>
      <c r="C418" s="102">
        <v>46112</v>
      </c>
      <c r="D418" s="54">
        <v>8</v>
      </c>
      <c r="E418" s="65">
        <v>246.14</v>
      </c>
    </row>
    <row r="419" spans="1:5">
      <c r="A419" s="46">
        <v>2026</v>
      </c>
      <c r="B419" s="208" t="s">
        <v>567</v>
      </c>
      <c r="C419" s="102">
        <v>46113</v>
      </c>
      <c r="D419" s="54">
        <v>9</v>
      </c>
      <c r="E419" s="65">
        <v>246.14</v>
      </c>
    </row>
    <row r="420" spans="1:5">
      <c r="A420" s="46">
        <v>2026</v>
      </c>
      <c r="B420" s="208" t="s">
        <v>567</v>
      </c>
      <c r="C420" s="102">
        <v>46114</v>
      </c>
      <c r="D420" s="54">
        <v>9</v>
      </c>
      <c r="E420" s="65">
        <v>234.5</v>
      </c>
    </row>
    <row r="421" spans="1:5">
      <c r="A421" s="46">
        <v>2026</v>
      </c>
      <c r="B421" s="208" t="s">
        <v>567</v>
      </c>
      <c r="C421" s="102">
        <v>46115</v>
      </c>
      <c r="D421" s="54">
        <v>6</v>
      </c>
      <c r="E421" s="65">
        <v>189.5</v>
      </c>
    </row>
    <row r="422" spans="1:5">
      <c r="A422" s="46">
        <v>2026</v>
      </c>
      <c r="B422" s="208" t="s">
        <v>567</v>
      </c>
      <c r="C422" s="102">
        <v>46118</v>
      </c>
      <c r="D422" s="54">
        <v>3</v>
      </c>
      <c r="E422" s="65">
        <v>31.5</v>
      </c>
    </row>
    <row r="423" spans="1:5">
      <c r="A423" s="46">
        <v>2026</v>
      </c>
      <c r="B423" s="208" t="s">
        <v>567</v>
      </c>
      <c r="C423" s="102">
        <v>46119</v>
      </c>
      <c r="D423" s="54">
        <v>8</v>
      </c>
      <c r="E423" s="65">
        <v>31.5</v>
      </c>
    </row>
    <row r="424" spans="1:5">
      <c r="A424" s="46">
        <v>2026</v>
      </c>
      <c r="B424" s="208" t="s">
        <v>567</v>
      </c>
      <c r="C424" s="102">
        <v>46120</v>
      </c>
      <c r="D424" s="54">
        <v>12</v>
      </c>
      <c r="E424" s="65">
        <v>21.51</v>
      </c>
    </row>
    <row r="425" spans="1:5">
      <c r="A425" s="46">
        <v>2026</v>
      </c>
      <c r="B425" s="208" t="s">
        <v>567</v>
      </c>
      <c r="C425" s="102">
        <v>46121</v>
      </c>
      <c r="D425" s="54">
        <v>17</v>
      </c>
      <c r="E425" s="65">
        <v>235.11</v>
      </c>
    </row>
    <row r="426" spans="1:5">
      <c r="A426" s="46">
        <v>2026</v>
      </c>
      <c r="B426" s="208" t="s">
        <v>567</v>
      </c>
      <c r="C426" s="102">
        <v>46122</v>
      </c>
      <c r="D426" s="54">
        <v>15</v>
      </c>
      <c r="E426" s="65">
        <v>245.2</v>
      </c>
    </row>
    <row r="427" spans="1:5">
      <c r="A427" s="46">
        <v>2026</v>
      </c>
      <c r="B427" s="208" t="s">
        <v>567</v>
      </c>
      <c r="C427" s="102">
        <v>46123</v>
      </c>
      <c r="D427" s="54">
        <v>15</v>
      </c>
      <c r="E427" s="65">
        <v>685.3</v>
      </c>
    </row>
    <row r="428" spans="1:5">
      <c r="A428" s="46">
        <v>2026</v>
      </c>
      <c r="B428" s="208" t="s">
        <v>567</v>
      </c>
      <c r="C428" s="102">
        <v>46124</v>
      </c>
      <c r="D428" s="54">
        <v>13</v>
      </c>
      <c r="E428" s="65">
        <v>684.7</v>
      </c>
    </row>
    <row r="429" spans="1:5">
      <c r="A429" s="46">
        <v>2026</v>
      </c>
      <c r="B429" s="208" t="s">
        <v>567</v>
      </c>
      <c r="C429" s="102">
        <v>46125</v>
      </c>
      <c r="D429" s="54">
        <v>10</v>
      </c>
      <c r="E429" s="65">
        <v>684.46</v>
      </c>
    </row>
    <row r="430" spans="1:5">
      <c r="A430" s="46">
        <v>2026</v>
      </c>
      <c r="B430" s="208" t="s">
        <v>567</v>
      </c>
      <c r="C430" s="102">
        <v>46126</v>
      </c>
      <c r="D430" s="54">
        <v>10</v>
      </c>
      <c r="E430" s="65">
        <v>684.46</v>
      </c>
    </row>
    <row r="431" spans="1:5">
      <c r="A431" s="46">
        <v>2026</v>
      </c>
      <c r="B431" s="208" t="s">
        <v>567</v>
      </c>
      <c r="C431" s="102">
        <v>46127</v>
      </c>
      <c r="D431" s="54">
        <v>15</v>
      </c>
      <c r="E431" s="65">
        <v>900.3</v>
      </c>
    </row>
    <row r="432" spans="1:5">
      <c r="A432" s="46">
        <v>2026</v>
      </c>
      <c r="B432" s="208" t="s">
        <v>567</v>
      </c>
      <c r="C432" s="102">
        <v>46128</v>
      </c>
      <c r="D432" s="54">
        <v>15</v>
      </c>
      <c r="E432" s="65">
        <v>957.3</v>
      </c>
    </row>
    <row r="433" spans="1:5">
      <c r="A433" s="46">
        <v>2026</v>
      </c>
      <c r="B433" s="208" t="s">
        <v>567</v>
      </c>
      <c r="C433" s="102">
        <v>46129</v>
      </c>
      <c r="D433" s="54">
        <v>16</v>
      </c>
      <c r="E433" s="65">
        <v>957.34500000000003</v>
      </c>
    </row>
    <row r="434" spans="1:5">
      <c r="A434" s="46">
        <v>2026</v>
      </c>
      <c r="B434" s="208" t="s">
        <v>567</v>
      </c>
      <c r="C434" s="102">
        <v>46132</v>
      </c>
      <c r="D434" s="54">
        <v>4</v>
      </c>
      <c r="E434" s="65">
        <v>606</v>
      </c>
    </row>
    <row r="435" spans="1:5">
      <c r="A435" s="46">
        <v>2026</v>
      </c>
      <c r="B435" s="208" t="s">
        <v>567</v>
      </c>
      <c r="C435" s="102">
        <v>46133</v>
      </c>
      <c r="D435" s="54">
        <v>7</v>
      </c>
      <c r="E435" s="65">
        <v>606.30999999999995</v>
      </c>
    </row>
    <row r="436" spans="1:5">
      <c r="A436" s="46">
        <v>2026</v>
      </c>
      <c r="B436" s="208" t="s">
        <v>567</v>
      </c>
      <c r="C436" s="102">
        <v>46134</v>
      </c>
      <c r="D436" s="54">
        <v>7</v>
      </c>
      <c r="E436" s="65">
        <v>372</v>
      </c>
    </row>
    <row r="437" spans="1:5">
      <c r="A437" s="46">
        <v>2026</v>
      </c>
      <c r="B437" s="208" t="s">
        <v>567</v>
      </c>
      <c r="C437" s="102">
        <v>46135</v>
      </c>
      <c r="D437" s="54">
        <v>8</v>
      </c>
      <c r="E437" s="65">
        <v>357</v>
      </c>
    </row>
    <row r="438" spans="1:5">
      <c r="A438" s="46">
        <v>2026</v>
      </c>
      <c r="B438" s="208" t="s">
        <v>567</v>
      </c>
      <c r="C438" s="102">
        <v>46136</v>
      </c>
      <c r="D438" s="54">
        <v>11</v>
      </c>
      <c r="E438" s="65">
        <v>357.01</v>
      </c>
    </row>
    <row r="439" spans="1:5">
      <c r="A439" s="46">
        <v>2026</v>
      </c>
      <c r="B439" s="208" t="s">
        <v>567</v>
      </c>
      <c r="C439" s="102">
        <v>46139</v>
      </c>
      <c r="D439" s="54">
        <v>5</v>
      </c>
      <c r="E439" s="65">
        <v>0.41</v>
      </c>
    </row>
    <row r="440" spans="1:5">
      <c r="A440" s="46">
        <v>2026</v>
      </c>
      <c r="B440" s="208" t="s">
        <v>567</v>
      </c>
      <c r="C440" s="102">
        <v>46140</v>
      </c>
      <c r="D440" s="54">
        <v>10</v>
      </c>
      <c r="E440" s="65">
        <v>0.4</v>
      </c>
    </row>
    <row r="441" spans="1:5">
      <c r="A441" s="46">
        <v>2026</v>
      </c>
      <c r="B441" s="208" t="s">
        <v>567</v>
      </c>
      <c r="C441" s="102">
        <v>46141</v>
      </c>
      <c r="D441" s="54">
        <v>15</v>
      </c>
      <c r="E441" s="65">
        <v>2.5499999999999998</v>
      </c>
    </row>
    <row r="442" spans="1:5">
      <c r="A442" s="46">
        <v>2026</v>
      </c>
      <c r="B442" s="208" t="s">
        <v>567</v>
      </c>
      <c r="C442" s="102">
        <v>46142</v>
      </c>
      <c r="D442" s="54">
        <v>19</v>
      </c>
      <c r="E442" s="65">
        <v>2.2000000000000002</v>
      </c>
    </row>
    <row r="443" spans="1:5">
      <c r="A443" s="46">
        <v>2026</v>
      </c>
      <c r="B443" s="208" t="s">
        <v>567</v>
      </c>
      <c r="C443" s="102">
        <v>46143</v>
      </c>
      <c r="D443" s="54">
        <v>18</v>
      </c>
      <c r="E443" s="65">
        <v>233.45</v>
      </c>
    </row>
    <row r="444" spans="1:5">
      <c r="A444" s="46">
        <v>2026</v>
      </c>
      <c r="B444" s="208" t="s">
        <v>567</v>
      </c>
      <c r="C444" s="102">
        <v>46146</v>
      </c>
      <c r="D444" s="54">
        <v>12</v>
      </c>
      <c r="E444" s="65">
        <v>96.15</v>
      </c>
    </row>
    <row r="445" spans="1:5">
      <c r="A445" s="46">
        <v>2026</v>
      </c>
      <c r="B445" s="208" t="s">
        <v>567</v>
      </c>
      <c r="C445" s="102">
        <v>46147</v>
      </c>
      <c r="D445" s="54">
        <v>16</v>
      </c>
      <c r="E445" s="65">
        <v>67.98</v>
      </c>
    </row>
    <row r="446" spans="1:5">
      <c r="A446" s="46">
        <v>2026</v>
      </c>
      <c r="B446" s="208" t="s">
        <v>567</v>
      </c>
      <c r="C446" s="102">
        <v>46148</v>
      </c>
      <c r="D446" s="54">
        <v>30</v>
      </c>
      <c r="E446" s="65">
        <v>89.45</v>
      </c>
    </row>
    <row r="447" spans="1:5">
      <c r="A447" s="46">
        <v>2026</v>
      </c>
      <c r="B447" s="208" t="s">
        <v>567</v>
      </c>
      <c r="C447" s="102">
        <v>46149</v>
      </c>
      <c r="D447" s="54">
        <v>31</v>
      </c>
      <c r="E447" s="65">
        <v>87.8</v>
      </c>
    </row>
    <row r="448" spans="1:5">
      <c r="A448" s="46">
        <v>2026</v>
      </c>
      <c r="B448" s="208" t="s">
        <v>567</v>
      </c>
      <c r="C448" s="102">
        <v>46150</v>
      </c>
      <c r="D448" s="54">
        <v>27</v>
      </c>
      <c r="E448" s="65">
        <v>1586.43</v>
      </c>
    </row>
    <row r="449" spans="1:5">
      <c r="A449" s="46">
        <v>2026</v>
      </c>
      <c r="B449" s="208" t="s">
        <v>567</v>
      </c>
      <c r="C449" s="102">
        <v>46153</v>
      </c>
      <c r="D449" s="54">
        <v>14</v>
      </c>
      <c r="E449" s="65">
        <v>2617.23</v>
      </c>
    </row>
    <row r="450" spans="1:5">
      <c r="A450" s="46">
        <v>2026</v>
      </c>
      <c r="B450" s="208" t="s">
        <v>567</v>
      </c>
      <c r="C450" s="102">
        <v>46154</v>
      </c>
      <c r="D450" s="54">
        <v>18</v>
      </c>
      <c r="E450" s="65">
        <v>55.5</v>
      </c>
    </row>
    <row r="451" spans="1:5">
      <c r="A451" s="46">
        <v>2026</v>
      </c>
      <c r="B451" s="208" t="s">
        <v>567</v>
      </c>
      <c r="C451" s="102">
        <v>46155</v>
      </c>
      <c r="D451" s="54">
        <v>13</v>
      </c>
      <c r="E451" s="65">
        <v>63.37</v>
      </c>
    </row>
    <row r="452" spans="1:5">
      <c r="A452" s="46">
        <v>2026</v>
      </c>
      <c r="B452" s="208" t="s">
        <v>567</v>
      </c>
      <c r="C452" s="102">
        <v>46156</v>
      </c>
      <c r="D452" s="54">
        <v>14</v>
      </c>
      <c r="E452" s="65">
        <v>87.51</v>
      </c>
    </row>
    <row r="453" spans="1:5">
      <c r="A453" s="46">
        <v>2026</v>
      </c>
      <c r="B453" s="208" t="s">
        <v>567</v>
      </c>
      <c r="C453" s="102">
        <v>46157</v>
      </c>
      <c r="D453" s="54">
        <v>14</v>
      </c>
      <c r="E453" s="65">
        <v>87.51</v>
      </c>
    </row>
    <row r="454" spans="1:5">
      <c r="A454" s="46">
        <v>2026</v>
      </c>
      <c r="B454" s="208" t="s">
        <v>567</v>
      </c>
      <c r="C454" s="102">
        <v>46160</v>
      </c>
      <c r="D454" s="54">
        <v>5</v>
      </c>
      <c r="E454" s="65">
        <v>10.6</v>
      </c>
    </row>
    <row r="455" spans="1:5">
      <c r="A455" s="46">
        <v>2026</v>
      </c>
      <c r="B455" s="208" t="s">
        <v>567</v>
      </c>
      <c r="C455" s="102">
        <v>46162</v>
      </c>
      <c r="D455" s="54">
        <v>14</v>
      </c>
      <c r="E455" s="65">
        <v>11</v>
      </c>
    </row>
    <row r="456" spans="1:5">
      <c r="A456" s="46">
        <v>2026</v>
      </c>
      <c r="B456" s="208" t="s">
        <v>567</v>
      </c>
      <c r="C456" s="102">
        <v>46163</v>
      </c>
      <c r="D456" s="54">
        <v>17</v>
      </c>
      <c r="E456" s="65">
        <v>10.15</v>
      </c>
    </row>
    <row r="457" spans="1:5">
      <c r="A457" s="46">
        <v>2026</v>
      </c>
      <c r="B457" s="208" t="s">
        <v>567</v>
      </c>
      <c r="C457" s="102">
        <v>46164</v>
      </c>
      <c r="D457" s="54">
        <v>18</v>
      </c>
      <c r="E457" s="65">
        <v>42.4</v>
      </c>
    </row>
    <row r="458" spans="1:5">
      <c r="A458" s="46">
        <v>2026</v>
      </c>
      <c r="B458" s="208" t="s">
        <v>567</v>
      </c>
      <c r="C458" s="102">
        <v>46167</v>
      </c>
      <c r="D458" s="54">
        <v>21</v>
      </c>
      <c r="E458" s="65">
        <v>50</v>
      </c>
    </row>
    <row r="459" spans="1:5">
      <c r="A459" s="46">
        <v>2026</v>
      </c>
      <c r="B459" s="208" t="s">
        <v>567</v>
      </c>
      <c r="C459" s="102">
        <v>46168</v>
      </c>
      <c r="D459" s="54">
        <v>17</v>
      </c>
      <c r="E459" s="65">
        <v>1050</v>
      </c>
    </row>
    <row r="460" spans="1:5">
      <c r="A460" s="46">
        <v>2026</v>
      </c>
      <c r="B460" s="208" t="s">
        <v>567</v>
      </c>
      <c r="C460" s="102">
        <v>46169</v>
      </c>
      <c r="D460" s="54">
        <v>19</v>
      </c>
      <c r="E460" s="65">
        <v>1545.33</v>
      </c>
    </row>
    <row r="461" spans="1:5">
      <c r="A461" s="46">
        <v>2026</v>
      </c>
      <c r="B461" s="208" t="s">
        <v>567</v>
      </c>
      <c r="C461" s="102">
        <v>46170</v>
      </c>
      <c r="D461" s="54">
        <v>17</v>
      </c>
      <c r="E461" s="65">
        <v>1680.01</v>
      </c>
    </row>
    <row r="462" spans="1:5">
      <c r="A462" s="46">
        <v>2026</v>
      </c>
      <c r="B462" s="208" t="s">
        <v>567</v>
      </c>
      <c r="C462" s="102">
        <v>46171</v>
      </c>
      <c r="D462" s="54">
        <v>21</v>
      </c>
      <c r="E462" s="65">
        <v>1728.74</v>
      </c>
    </row>
    <row r="463" spans="1:5">
      <c r="A463" s="46">
        <v>2026</v>
      </c>
      <c r="B463" s="208" t="s">
        <v>567</v>
      </c>
      <c r="C463" s="102">
        <v>46174</v>
      </c>
      <c r="D463" s="54">
        <v>15</v>
      </c>
      <c r="E463" s="65">
        <v>514.39</v>
      </c>
    </row>
    <row r="464" spans="1:5">
      <c r="A464" s="46">
        <v>2026</v>
      </c>
      <c r="B464" s="208" t="s">
        <v>567</v>
      </c>
      <c r="C464" s="102">
        <v>46175</v>
      </c>
      <c r="D464" s="54">
        <v>23</v>
      </c>
      <c r="E464" s="65">
        <v>548.66999999999996</v>
      </c>
    </row>
    <row r="465" spans="1:5">
      <c r="A465" s="46">
        <v>2026</v>
      </c>
      <c r="B465" s="208" t="s">
        <v>567</v>
      </c>
      <c r="C465" s="102">
        <v>46176</v>
      </c>
      <c r="D465" s="54">
        <v>36</v>
      </c>
      <c r="E465" s="65">
        <v>568.69000000000005</v>
      </c>
    </row>
    <row r="466" spans="1:5">
      <c r="A466" s="46">
        <v>2026</v>
      </c>
      <c r="B466" s="208" t="s">
        <v>567</v>
      </c>
      <c r="C466" s="102">
        <v>46177</v>
      </c>
      <c r="D466" s="54">
        <v>37</v>
      </c>
      <c r="E466" s="65">
        <v>554.29</v>
      </c>
    </row>
    <row r="467" spans="1:5">
      <c r="A467" s="46">
        <v>2026</v>
      </c>
      <c r="B467" s="208" t="s">
        <v>567</v>
      </c>
      <c r="C467" s="102">
        <v>46178</v>
      </c>
      <c r="D467" s="54">
        <v>31</v>
      </c>
      <c r="E467" s="65">
        <v>322.81</v>
      </c>
    </row>
    <row r="468" spans="1:5">
      <c r="A468" s="46">
        <v>2026</v>
      </c>
      <c r="B468" s="208" t="s">
        <v>567</v>
      </c>
      <c r="C468" s="102">
        <v>46181</v>
      </c>
      <c r="D468" s="54">
        <v>13</v>
      </c>
      <c r="E468" s="65">
        <v>14.28</v>
      </c>
    </row>
    <row r="469" spans="1:5">
      <c r="A469" s="46">
        <v>2026</v>
      </c>
      <c r="B469" s="208" t="s">
        <v>567</v>
      </c>
      <c r="C469" s="102">
        <v>46182</v>
      </c>
      <c r="D469" s="54">
        <v>23</v>
      </c>
      <c r="E469" s="65">
        <v>123.45</v>
      </c>
    </row>
    <row r="470" spans="1:5">
      <c r="A470" s="46">
        <v>2026</v>
      </c>
      <c r="B470" s="208" t="s">
        <v>567</v>
      </c>
      <c r="C470" s="102">
        <v>46183</v>
      </c>
      <c r="D470" s="54">
        <v>47</v>
      </c>
      <c r="E470" s="65">
        <v>158.215</v>
      </c>
    </row>
    <row r="471" spans="1:5">
      <c r="A471" s="46">
        <v>2026</v>
      </c>
      <c r="B471" s="208" t="s">
        <v>567</v>
      </c>
      <c r="C471" s="102">
        <v>46184</v>
      </c>
      <c r="D471" s="54">
        <v>47</v>
      </c>
      <c r="E471" s="65">
        <v>68.875</v>
      </c>
    </row>
    <row r="472" spans="1:5">
      <c r="A472" s="46">
        <v>2026</v>
      </c>
      <c r="B472" s="208" t="s">
        <v>567</v>
      </c>
      <c r="C472" s="102">
        <v>46185</v>
      </c>
      <c r="D472" s="54">
        <v>46</v>
      </c>
      <c r="E472" s="65">
        <v>67.805000000000007</v>
      </c>
    </row>
    <row r="473" spans="1:5">
      <c r="A473" s="46">
        <v>2026</v>
      </c>
      <c r="B473" s="208" t="s">
        <v>567</v>
      </c>
      <c r="C473" s="102">
        <v>46188</v>
      </c>
      <c r="D473" s="54">
        <v>32</v>
      </c>
      <c r="E473" s="65">
        <v>58.34</v>
      </c>
    </row>
    <row r="474" spans="1:5">
      <c r="A474" s="46">
        <v>2026</v>
      </c>
      <c r="B474" s="208" t="s">
        <v>567</v>
      </c>
      <c r="C474" s="102">
        <v>46189</v>
      </c>
      <c r="D474" s="54">
        <v>37</v>
      </c>
      <c r="E474" s="65">
        <v>68.94</v>
      </c>
    </row>
    <row r="475" spans="1:5">
      <c r="A475" s="46">
        <v>2026</v>
      </c>
      <c r="B475" s="208" t="s">
        <v>567</v>
      </c>
      <c r="C475" s="102">
        <v>46190</v>
      </c>
      <c r="D475" s="54">
        <v>45</v>
      </c>
      <c r="E475" s="65">
        <v>1200.18</v>
      </c>
    </row>
    <row r="476" spans="1:5">
      <c r="A476" s="46">
        <v>2026</v>
      </c>
      <c r="B476" s="208" t="s">
        <v>567</v>
      </c>
      <c r="C476" s="102">
        <v>46191</v>
      </c>
      <c r="D476" s="54">
        <v>48</v>
      </c>
      <c r="E476" s="65">
        <v>2379.1999999999998</v>
      </c>
    </row>
    <row r="477" spans="1:5">
      <c r="A477" s="46">
        <v>2026</v>
      </c>
      <c r="B477" s="208" t="s">
        <v>567</v>
      </c>
      <c r="C477" s="102">
        <v>46192</v>
      </c>
      <c r="D477" s="54">
        <v>48</v>
      </c>
      <c r="E477" s="65">
        <v>2320.8000000000002</v>
      </c>
    </row>
    <row r="478" spans="1:5">
      <c r="A478" s="46">
        <v>2026</v>
      </c>
      <c r="B478" s="208" t="s">
        <v>567</v>
      </c>
      <c r="C478" s="102">
        <v>46193</v>
      </c>
      <c r="D478" s="54">
        <v>23</v>
      </c>
      <c r="E478" s="65">
        <v>150.69999999999999</v>
      </c>
    </row>
    <row r="479" spans="1:5">
      <c r="A479" s="46">
        <v>2026</v>
      </c>
      <c r="B479" s="208" t="s">
        <v>567</v>
      </c>
      <c r="C479" s="102">
        <v>46194</v>
      </c>
      <c r="D479" s="54">
        <v>23</v>
      </c>
      <c r="E479" s="65">
        <v>168.9</v>
      </c>
    </row>
    <row r="480" spans="1:5">
      <c r="A480" s="46">
        <v>2026</v>
      </c>
      <c r="B480" s="208" t="s">
        <v>567</v>
      </c>
      <c r="C480" s="102">
        <v>46195</v>
      </c>
      <c r="D480" s="54">
        <v>28</v>
      </c>
      <c r="E480" s="65">
        <v>168.3</v>
      </c>
    </row>
    <row r="481" spans="1:5">
      <c r="A481" s="46">
        <v>2026</v>
      </c>
      <c r="B481" s="208" t="s">
        <v>567</v>
      </c>
      <c r="C481" s="102">
        <v>46196</v>
      </c>
      <c r="D481" s="54">
        <v>30</v>
      </c>
      <c r="E481" s="65">
        <v>6673.32</v>
      </c>
    </row>
    <row r="482" spans="1:5">
      <c r="A482" s="46">
        <v>2026</v>
      </c>
      <c r="B482" s="208" t="s">
        <v>567</v>
      </c>
      <c r="C482" s="102">
        <v>46197</v>
      </c>
      <c r="D482" s="54">
        <v>40</v>
      </c>
      <c r="E482" s="65">
        <v>6240.23</v>
      </c>
    </row>
    <row r="483" spans="1:5">
      <c r="A483" s="46">
        <v>2026</v>
      </c>
      <c r="B483" s="208" t="s">
        <v>567</v>
      </c>
      <c r="C483" s="102">
        <v>46198</v>
      </c>
      <c r="D483" s="54">
        <v>37</v>
      </c>
      <c r="E483" s="65">
        <v>6224.7</v>
      </c>
    </row>
    <row r="484" spans="1:5">
      <c r="A484" s="46">
        <v>2026</v>
      </c>
      <c r="B484" s="208" t="s">
        <v>567</v>
      </c>
      <c r="C484" s="102">
        <v>46199</v>
      </c>
      <c r="D484" s="54">
        <v>34</v>
      </c>
      <c r="E484" s="65">
        <v>241.1</v>
      </c>
    </row>
    <row r="485" spans="1:5">
      <c r="A485" s="46">
        <v>2026</v>
      </c>
      <c r="B485" s="208" t="s">
        <v>567</v>
      </c>
      <c r="C485" s="102">
        <v>46200</v>
      </c>
      <c r="D485" s="54">
        <v>36</v>
      </c>
      <c r="E485" s="65">
        <v>264.89999999999998</v>
      </c>
    </row>
    <row r="486" spans="1:5">
      <c r="A486" s="46">
        <v>2026</v>
      </c>
      <c r="B486" s="208" t="s">
        <v>567</v>
      </c>
      <c r="C486" s="102">
        <v>46201</v>
      </c>
      <c r="D486" s="54">
        <v>36</v>
      </c>
      <c r="E486" s="65">
        <v>264.89999999999998</v>
      </c>
    </row>
    <row r="487" spans="1:5">
      <c r="A487" s="46">
        <v>2026</v>
      </c>
      <c r="B487" s="208" t="s">
        <v>567</v>
      </c>
      <c r="C487" s="102">
        <v>46202</v>
      </c>
      <c r="D487" s="54">
        <v>27</v>
      </c>
      <c r="E487" s="65">
        <v>264.02499999999998</v>
      </c>
    </row>
    <row r="488" spans="1:5">
      <c r="A488" s="46">
        <v>2026</v>
      </c>
      <c r="B488" s="208" t="s">
        <v>567</v>
      </c>
      <c r="C488" s="102">
        <v>46203</v>
      </c>
      <c r="D488" s="54">
        <v>15</v>
      </c>
      <c r="E488" s="65">
        <v>254.9</v>
      </c>
    </row>
    <row r="489" spans="1:5">
      <c r="A489" s="46">
        <v>2026</v>
      </c>
      <c r="B489" s="208" t="s">
        <v>567</v>
      </c>
      <c r="C489" s="102">
        <v>46204</v>
      </c>
      <c r="D489" s="54">
        <v>22</v>
      </c>
      <c r="E489" s="65">
        <v>569.97</v>
      </c>
    </row>
    <row r="490" spans="1:5">
      <c r="A490" s="46">
        <v>2026</v>
      </c>
      <c r="B490" s="208" t="s">
        <v>567</v>
      </c>
      <c r="C490" s="102">
        <v>46205</v>
      </c>
      <c r="D490" s="54">
        <v>22</v>
      </c>
      <c r="E490" s="65">
        <v>129.68</v>
      </c>
    </row>
    <row r="491" spans="1:5">
      <c r="A491" s="46">
        <v>2026</v>
      </c>
      <c r="B491" s="208" t="s">
        <v>567</v>
      </c>
      <c r="C491" s="102">
        <v>46206</v>
      </c>
      <c r="D491" s="54">
        <v>32</v>
      </c>
      <c r="E491" s="65">
        <v>134</v>
      </c>
    </row>
    <row r="492" spans="1:5">
      <c r="A492" s="46">
        <v>2026</v>
      </c>
      <c r="B492" s="208" t="s">
        <v>567</v>
      </c>
      <c r="C492" s="102">
        <v>46207</v>
      </c>
      <c r="D492" s="54">
        <v>29</v>
      </c>
      <c r="E492" s="65">
        <v>1304</v>
      </c>
    </row>
    <row r="493" spans="1:5">
      <c r="A493" s="46">
        <v>2026</v>
      </c>
      <c r="B493" s="208" t="s">
        <v>567</v>
      </c>
      <c r="C493" s="102">
        <v>46208</v>
      </c>
      <c r="D493" s="54">
        <v>42</v>
      </c>
      <c r="E493" s="65">
        <v>1909</v>
      </c>
    </row>
    <row r="494" spans="1:5">
      <c r="A494" s="46">
        <v>2026</v>
      </c>
      <c r="B494" s="208" t="s">
        <v>567</v>
      </c>
      <c r="C494" s="102">
        <v>46209</v>
      </c>
      <c r="D494" s="54">
        <v>43</v>
      </c>
      <c r="E494" s="65">
        <v>5381.72</v>
      </c>
    </row>
    <row r="495" spans="1:5">
      <c r="A495" s="46">
        <v>2026</v>
      </c>
      <c r="B495" s="208" t="s">
        <v>567</v>
      </c>
      <c r="C495" s="102">
        <v>46210</v>
      </c>
      <c r="D495" s="54">
        <v>55</v>
      </c>
      <c r="E495" s="65">
        <v>4704.92</v>
      </c>
    </row>
    <row r="496" spans="1:5">
      <c r="A496" s="46">
        <v>2026</v>
      </c>
      <c r="B496" s="208" t="s">
        <v>567</v>
      </c>
      <c r="C496" s="102">
        <v>46211</v>
      </c>
      <c r="D496" s="54">
        <v>59</v>
      </c>
      <c r="E496" s="65">
        <v>6164.11</v>
      </c>
    </row>
    <row r="497" spans="1:5">
      <c r="A497" s="46">
        <v>2026</v>
      </c>
      <c r="B497" s="208" t="s">
        <v>567</v>
      </c>
      <c r="C497" s="102">
        <v>46212</v>
      </c>
      <c r="D497" s="54">
        <v>69</v>
      </c>
      <c r="E497" s="65">
        <v>8486.27</v>
      </c>
    </row>
    <row r="498" spans="1:5">
      <c r="A498" s="46">
        <v>2026</v>
      </c>
      <c r="B498" s="208" t="s">
        <v>567</v>
      </c>
      <c r="C498" s="102">
        <v>46216</v>
      </c>
      <c r="D498" s="54">
        <v>42</v>
      </c>
      <c r="E498" s="65">
        <v>13778.47</v>
      </c>
    </row>
    <row r="499" spans="1:5">
      <c r="A499" s="46">
        <v>2026</v>
      </c>
      <c r="B499" s="208" t="s">
        <v>567</v>
      </c>
      <c r="C499" s="102">
        <v>46217</v>
      </c>
      <c r="D499" s="54">
        <v>45</v>
      </c>
      <c r="E499" s="65">
        <v>13683.68</v>
      </c>
    </row>
    <row r="500" spans="1:5">
      <c r="A500" s="46">
        <v>2026</v>
      </c>
      <c r="B500" s="208" t="s">
        <v>567</v>
      </c>
      <c r="C500" s="102">
        <v>46218</v>
      </c>
      <c r="D500" s="54">
        <v>49</v>
      </c>
      <c r="E500" s="65">
        <v>16455.25</v>
      </c>
    </row>
    <row r="501" spans="1:5">
      <c r="A501" s="46">
        <v>2026</v>
      </c>
      <c r="B501" s="208" t="s">
        <v>567</v>
      </c>
      <c r="C501" s="102">
        <v>46219</v>
      </c>
      <c r="D501" s="54">
        <v>95</v>
      </c>
      <c r="E501" s="65">
        <v>30642.51</v>
      </c>
    </row>
    <row r="502" spans="1:5">
      <c r="A502" s="46">
        <v>2026</v>
      </c>
      <c r="B502" s="208" t="s">
        <v>567</v>
      </c>
      <c r="C502" s="102">
        <v>46220</v>
      </c>
      <c r="D502" s="54">
        <v>139</v>
      </c>
      <c r="E502" s="65">
        <v>74119.41</v>
      </c>
    </row>
    <row r="503" spans="1:5">
      <c r="A503" s="46">
        <v>2026</v>
      </c>
      <c r="B503" s="208" t="s">
        <v>567</v>
      </c>
      <c r="C503" s="102">
        <v>46221</v>
      </c>
      <c r="D503" s="54">
        <v>121</v>
      </c>
      <c r="E503" s="65">
        <v>157875</v>
      </c>
    </row>
    <row r="504" spans="1:5">
      <c r="A504" s="46">
        <v>2026</v>
      </c>
      <c r="B504" s="208" t="s">
        <v>567</v>
      </c>
      <c r="C504" s="102">
        <v>46222</v>
      </c>
      <c r="D504" s="54">
        <v>101</v>
      </c>
      <c r="E504" s="65">
        <v>206884</v>
      </c>
    </row>
    <row r="505" spans="1:5">
      <c r="A505" s="46">
        <v>2026</v>
      </c>
      <c r="B505" s="208" t="s">
        <v>567</v>
      </c>
      <c r="C505" s="102">
        <v>46223</v>
      </c>
      <c r="D505" s="54">
        <v>89</v>
      </c>
      <c r="E505" s="65">
        <v>330324</v>
      </c>
    </row>
    <row r="506" spans="1:5">
      <c r="A506" s="46">
        <v>2026</v>
      </c>
      <c r="B506" s="208" t="s">
        <v>567</v>
      </c>
      <c r="C506" s="102">
        <v>46224</v>
      </c>
      <c r="D506" s="54">
        <v>72</v>
      </c>
      <c r="E506" s="65">
        <v>362567.73</v>
      </c>
    </row>
    <row r="507" spans="1:5">
      <c r="A507" s="46">
        <v>2026</v>
      </c>
      <c r="B507" s="208" t="s">
        <v>567</v>
      </c>
      <c r="C507" s="102">
        <v>46225</v>
      </c>
      <c r="D507" s="54">
        <v>77</v>
      </c>
      <c r="E507" s="65">
        <v>410182</v>
      </c>
    </row>
    <row r="508" spans="1:5">
      <c r="A508" s="46">
        <v>2026</v>
      </c>
      <c r="B508" s="208" t="s">
        <v>567</v>
      </c>
      <c r="C508" s="102">
        <v>46226</v>
      </c>
      <c r="D508" s="54">
        <v>101</v>
      </c>
      <c r="E508" s="65">
        <v>444235</v>
      </c>
    </row>
    <row r="509" spans="1:5">
      <c r="A509" s="46">
        <v>2026</v>
      </c>
      <c r="B509" s="208" t="s">
        <v>567</v>
      </c>
      <c r="C509" s="102">
        <v>46227</v>
      </c>
      <c r="D509" s="54">
        <v>144</v>
      </c>
      <c r="E509" s="222">
        <v>494693</v>
      </c>
    </row>
    <row r="510" spans="1:5">
      <c r="A510" s="46">
        <v>2026</v>
      </c>
      <c r="B510" s="208" t="s">
        <v>567</v>
      </c>
      <c r="C510" s="102">
        <v>46230</v>
      </c>
      <c r="D510" s="54">
        <v>92</v>
      </c>
      <c r="E510" s="221">
        <v>1145733</v>
      </c>
    </row>
    <row r="511" spans="1:5">
      <c r="A511" s="46">
        <v>2026</v>
      </c>
      <c r="B511" s="208" t="s">
        <v>567</v>
      </c>
      <c r="E511" s="221"/>
    </row>
    <row r="512" spans="1:5">
      <c r="A512" s="46">
        <v>2026</v>
      </c>
      <c r="B512" s="208" t="s">
        <v>567</v>
      </c>
      <c r="E512" s="221"/>
    </row>
    <row r="513" spans="1:5">
      <c r="A513" s="46">
        <v>2026</v>
      </c>
      <c r="B513" s="208" t="s">
        <v>567</v>
      </c>
      <c r="E513" s="221"/>
    </row>
    <row r="514" spans="1:5">
      <c r="A514" s="46">
        <v>2026</v>
      </c>
      <c r="B514" s="208" t="s">
        <v>567</v>
      </c>
      <c r="E514" s="221"/>
    </row>
    <row r="515" spans="1:5">
      <c r="A515" s="46">
        <v>2026</v>
      </c>
      <c r="B515" s="208" t="s">
        <v>567</v>
      </c>
      <c r="E515" s="221"/>
    </row>
  </sheetData>
  <autoFilter ref="A1:E259" xr:uid="{DE34BC32-AF1C-46DA-BA41-BE4DCE8ABD2D}">
    <sortState xmlns:xlrd2="http://schemas.microsoft.com/office/spreadsheetml/2017/richdata2" ref="A2:E6">
      <sortCondition ref="A1"/>
    </sortState>
  </autoFilter>
  <sortState xmlns:xlrd2="http://schemas.microsoft.com/office/spreadsheetml/2017/richdata2" ref="A2:E84">
    <sortCondition descending="1" ref="B2:B84"/>
    <sortCondition ref="A2:A84"/>
    <sortCondition ref="C2:C84"/>
  </sortState>
  <dataValidations disablePrompts="1" count="1">
    <dataValidation type="list" allowBlank="1" showInputMessage="1" showErrorMessage="1" sqref="B2:B109" xr:uid="{16B8E46C-0A6C-4DC8-9E29-430DCE16AED7}">
      <formula1>"ODF, ODEM"</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66719-A4A2-4335-8FC1-4E7EEB36A7CC}">
  <sheetPr codeName="Sheet2" filterMode="1">
    <tabColor theme="7" tint="0.39997558519241921"/>
  </sheetPr>
  <dimension ref="A1:U447"/>
  <sheetViews>
    <sheetView zoomScale="90" zoomScaleNormal="90" workbookViewId="0">
      <pane xSplit="2" ySplit="1" topLeftCell="C296" activePane="bottomRight" state="frozen"/>
      <selection pane="topRight" activeCell="B1" sqref="B1"/>
      <selection pane="bottomLeft" activeCell="A2" sqref="A2"/>
      <selection pane="bottomRight" activeCell="M314" sqref="M314"/>
    </sheetView>
  </sheetViews>
  <sheetFormatPr baseColWidth="10" defaultColWidth="8.83203125" defaultRowHeight="15"/>
  <cols>
    <col min="1" max="1" width="8.33203125" customWidth="1"/>
    <col min="2" max="2" width="31.1640625" customWidth="1"/>
    <col min="3" max="3" width="13.33203125" bestFit="1" customWidth="1"/>
    <col min="4" max="4" width="11.83203125" bestFit="1" customWidth="1"/>
    <col min="5" max="5" width="14" bestFit="1" customWidth="1"/>
    <col min="6" max="6" width="43.5" customWidth="1"/>
    <col min="7" max="9" width="7.83203125" bestFit="1" customWidth="1"/>
    <col min="10" max="10" width="6.6640625" bestFit="1" customWidth="1"/>
    <col min="11" max="11" width="5.5" bestFit="1" customWidth="1"/>
    <col min="12" max="13" width="6.6640625" bestFit="1" customWidth="1"/>
    <col min="14" max="14" width="4.6640625" bestFit="1" customWidth="1"/>
    <col min="15" max="15" width="5.5" bestFit="1" customWidth="1"/>
    <col min="16" max="18" width="5.5" customWidth="1"/>
    <col min="19" max="19" width="8.83203125" style="46"/>
    <col min="20" max="20" width="7.33203125" bestFit="1" customWidth="1"/>
    <col min="21" max="21" width="106.33203125" style="96" customWidth="1"/>
  </cols>
  <sheetData>
    <row r="1" spans="1:21" ht="75">
      <c r="A1" s="219" t="s">
        <v>317</v>
      </c>
      <c r="B1" s="219" t="s">
        <v>2</v>
      </c>
      <c r="C1" s="1" t="s">
        <v>1</v>
      </c>
      <c r="D1" s="20" t="s">
        <v>3</v>
      </c>
      <c r="E1" s="2" t="s">
        <v>4</v>
      </c>
      <c r="F1" s="1" t="s">
        <v>5</v>
      </c>
      <c r="G1" s="3" t="s">
        <v>6</v>
      </c>
      <c r="H1" s="4" t="s">
        <v>7</v>
      </c>
      <c r="I1" s="5" t="s">
        <v>8</v>
      </c>
      <c r="J1" s="9" t="s">
        <v>173</v>
      </c>
      <c r="K1" s="6" t="s">
        <v>171</v>
      </c>
      <c r="L1" s="6" t="s">
        <v>172</v>
      </c>
      <c r="M1" s="10" t="s">
        <v>174</v>
      </c>
      <c r="N1" s="7" t="s">
        <v>175</v>
      </c>
      <c r="O1" s="7" t="s">
        <v>176</v>
      </c>
      <c r="P1" s="7" t="s">
        <v>675</v>
      </c>
      <c r="Q1" s="154" t="s">
        <v>638</v>
      </c>
      <c r="R1" s="155" t="s">
        <v>643</v>
      </c>
      <c r="S1" s="174" t="s">
        <v>664</v>
      </c>
      <c r="T1" s="8" t="s">
        <v>167</v>
      </c>
      <c r="U1" s="170" t="s">
        <v>147</v>
      </c>
    </row>
    <row r="2" spans="1:21" ht="18" hidden="1">
      <c r="A2" s="21">
        <v>2020</v>
      </c>
      <c r="B2" s="21" t="s">
        <v>443</v>
      </c>
      <c r="C2" s="21" t="s">
        <v>104</v>
      </c>
      <c r="D2" s="22">
        <v>204469</v>
      </c>
      <c r="E2" s="23">
        <v>1</v>
      </c>
      <c r="F2" s="24" t="s">
        <v>466</v>
      </c>
      <c r="G2" s="25"/>
      <c r="H2" s="25"/>
      <c r="I2" s="25"/>
      <c r="J2" s="25"/>
      <c r="K2" s="25"/>
      <c r="L2" s="25"/>
      <c r="M2" s="25">
        <v>264</v>
      </c>
      <c r="N2" s="25"/>
      <c r="O2" s="25"/>
      <c r="P2" s="25"/>
      <c r="Q2" s="25"/>
      <c r="R2" s="169"/>
      <c r="S2" s="46" t="s">
        <v>665</v>
      </c>
      <c r="T2" s="25" t="s">
        <v>169</v>
      </c>
      <c r="U2" s="171" t="s">
        <v>596</v>
      </c>
    </row>
    <row r="3" spans="1:21" ht="18" hidden="1">
      <c r="A3" s="21">
        <v>2020</v>
      </c>
      <c r="B3" s="21" t="s">
        <v>402</v>
      </c>
      <c r="C3" s="21" t="s">
        <v>104</v>
      </c>
      <c r="D3" s="22">
        <v>193566</v>
      </c>
      <c r="E3" s="23">
        <v>1</v>
      </c>
      <c r="F3" s="24" t="s">
        <v>403</v>
      </c>
      <c r="G3" s="25"/>
      <c r="H3" s="25"/>
      <c r="I3" s="25"/>
      <c r="J3" s="25"/>
      <c r="K3" s="25"/>
      <c r="L3" s="25"/>
      <c r="M3" s="25">
        <v>436</v>
      </c>
      <c r="N3" s="25"/>
      <c r="O3" s="25"/>
      <c r="P3" s="25"/>
      <c r="Q3" s="25"/>
      <c r="R3" s="169"/>
      <c r="S3" s="46" t="s">
        <v>666</v>
      </c>
      <c r="T3" s="25" t="s">
        <v>169</v>
      </c>
      <c r="U3" s="171" t="s">
        <v>598</v>
      </c>
    </row>
    <row r="4" spans="1:21" ht="18" hidden="1">
      <c r="A4" s="21">
        <v>2020</v>
      </c>
      <c r="B4" s="21" t="s">
        <v>389</v>
      </c>
      <c r="C4" s="21" t="s">
        <v>100</v>
      </c>
      <c r="D4" s="22">
        <v>173393</v>
      </c>
      <c r="E4" s="23">
        <v>1</v>
      </c>
      <c r="F4" s="24" t="s">
        <v>390</v>
      </c>
      <c r="G4" s="25"/>
      <c r="H4" s="25"/>
      <c r="I4" s="25"/>
      <c r="J4" s="25"/>
      <c r="K4" s="25"/>
      <c r="L4" s="25"/>
      <c r="M4" s="25">
        <v>431</v>
      </c>
      <c r="N4" s="25"/>
      <c r="O4" s="25">
        <v>24</v>
      </c>
      <c r="P4" s="25"/>
      <c r="Q4" s="25"/>
      <c r="R4" s="169"/>
      <c r="T4" s="25" t="s">
        <v>169</v>
      </c>
      <c r="U4" s="171"/>
    </row>
    <row r="5" spans="1:21" ht="18" hidden="1">
      <c r="A5" s="21">
        <v>2020</v>
      </c>
      <c r="B5" s="21" t="s">
        <v>396</v>
      </c>
      <c r="C5" s="21" t="s">
        <v>115</v>
      </c>
      <c r="D5" s="22">
        <v>152270</v>
      </c>
      <c r="E5" s="23">
        <v>1</v>
      </c>
      <c r="F5" s="24" t="s">
        <v>397</v>
      </c>
      <c r="G5" s="25"/>
      <c r="H5" s="25"/>
      <c r="I5" s="25"/>
      <c r="J5" s="25"/>
      <c r="K5" s="25"/>
      <c r="L5" s="25"/>
      <c r="M5" s="25"/>
      <c r="N5" s="25"/>
      <c r="O5" s="25"/>
      <c r="P5" s="25"/>
      <c r="Q5" s="25"/>
      <c r="R5" s="169"/>
      <c r="T5" s="25" t="s">
        <v>169</v>
      </c>
      <c r="U5" s="171"/>
    </row>
    <row r="6" spans="1:21" ht="18" hidden="1">
      <c r="A6" s="21">
        <v>2020</v>
      </c>
      <c r="B6" s="21" t="s">
        <v>394</v>
      </c>
      <c r="C6" s="21" t="s">
        <v>84</v>
      </c>
      <c r="D6" s="22">
        <v>138054</v>
      </c>
      <c r="E6" s="23">
        <v>1</v>
      </c>
      <c r="F6" s="24" t="s">
        <v>395</v>
      </c>
      <c r="G6" s="25"/>
      <c r="H6" s="25"/>
      <c r="I6" s="25"/>
      <c r="J6" s="25"/>
      <c r="K6" s="25"/>
      <c r="L6" s="25"/>
      <c r="M6" s="25">
        <v>57</v>
      </c>
      <c r="N6" s="25"/>
      <c r="O6" s="25">
        <v>81</v>
      </c>
      <c r="P6" s="25"/>
      <c r="Q6" s="25"/>
      <c r="R6" s="169"/>
      <c r="S6" s="46" t="s">
        <v>665</v>
      </c>
      <c r="T6" s="25" t="s">
        <v>169</v>
      </c>
      <c r="U6" s="171"/>
    </row>
    <row r="7" spans="1:21" ht="18" hidden="1">
      <c r="A7" s="21">
        <v>2020</v>
      </c>
      <c r="B7" s="21" t="s">
        <v>384</v>
      </c>
      <c r="C7" s="21" t="s">
        <v>91</v>
      </c>
      <c r="D7" s="22">
        <v>130000</v>
      </c>
      <c r="E7" s="23">
        <v>1</v>
      </c>
      <c r="F7" s="24" t="s">
        <v>466</v>
      </c>
      <c r="G7" s="25"/>
      <c r="H7" s="25"/>
      <c r="I7" s="25"/>
      <c r="J7" s="25"/>
      <c r="K7" s="25"/>
      <c r="L7" s="25"/>
      <c r="M7" s="25">
        <v>109</v>
      </c>
      <c r="N7" s="25"/>
      <c r="O7" s="25"/>
      <c r="P7" s="25"/>
      <c r="Q7" s="25"/>
      <c r="R7" s="169"/>
      <c r="T7" s="25" t="s">
        <v>169</v>
      </c>
      <c r="U7" s="171"/>
    </row>
    <row r="8" spans="1:21" ht="18" hidden="1">
      <c r="A8" s="21">
        <v>2020</v>
      </c>
      <c r="B8" s="21" t="s">
        <v>379</v>
      </c>
      <c r="C8" s="21" t="s">
        <v>99</v>
      </c>
      <c r="D8" s="22">
        <v>50951</v>
      </c>
      <c r="E8" s="23">
        <v>1</v>
      </c>
      <c r="F8" s="24" t="s">
        <v>338</v>
      </c>
      <c r="G8" s="25"/>
      <c r="H8" s="25"/>
      <c r="I8" s="25"/>
      <c r="J8" s="25"/>
      <c r="K8" s="25"/>
      <c r="L8" s="25"/>
      <c r="M8" s="25"/>
      <c r="N8" s="25"/>
      <c r="O8" s="25"/>
      <c r="P8" s="25"/>
      <c r="Q8" s="25"/>
      <c r="R8" s="169"/>
      <c r="T8" s="25" t="s">
        <v>169</v>
      </c>
      <c r="U8" s="171"/>
    </row>
    <row r="9" spans="1:21" ht="18" hidden="1">
      <c r="A9" s="21">
        <v>2020</v>
      </c>
      <c r="B9" s="21" t="s">
        <v>325</v>
      </c>
      <c r="C9" s="21" t="s">
        <v>95</v>
      </c>
      <c r="D9" s="22">
        <v>32589</v>
      </c>
      <c r="E9" s="23">
        <v>1</v>
      </c>
      <c r="F9" s="24" t="s">
        <v>385</v>
      </c>
      <c r="G9" s="25"/>
      <c r="H9" s="25"/>
      <c r="I9" s="25"/>
      <c r="J9" s="25"/>
      <c r="K9" s="25"/>
      <c r="L9" s="25"/>
      <c r="M9" s="25">
        <v>153</v>
      </c>
      <c r="N9" s="25"/>
      <c r="O9" s="25"/>
      <c r="P9" s="25"/>
      <c r="Q9" s="25"/>
      <c r="R9" s="169"/>
      <c r="T9" s="25" t="s">
        <v>169</v>
      </c>
      <c r="U9" s="172" t="s">
        <v>600</v>
      </c>
    </row>
    <row r="10" spans="1:21" ht="18" hidden="1">
      <c r="A10" s="21">
        <v>2020</v>
      </c>
      <c r="B10" s="21" t="s">
        <v>320</v>
      </c>
      <c r="C10" s="21" t="s">
        <v>112</v>
      </c>
      <c r="D10" s="22">
        <v>17404.900000000001</v>
      </c>
      <c r="E10" s="23">
        <v>1</v>
      </c>
      <c r="F10" s="24" t="s">
        <v>369</v>
      </c>
      <c r="G10" s="25"/>
      <c r="H10" s="25"/>
      <c r="I10" s="25"/>
      <c r="J10" s="25"/>
      <c r="K10" s="25"/>
      <c r="L10" s="25"/>
      <c r="M10" s="25"/>
      <c r="N10" s="25"/>
      <c r="O10" s="25"/>
      <c r="P10" s="25"/>
      <c r="Q10" s="25"/>
      <c r="R10" s="169"/>
      <c r="T10" s="25" t="s">
        <v>169</v>
      </c>
      <c r="U10" s="171"/>
    </row>
    <row r="11" spans="1:21" ht="18" hidden="1">
      <c r="A11" s="21">
        <v>2020</v>
      </c>
      <c r="B11" s="21" t="s">
        <v>378</v>
      </c>
      <c r="C11" s="21" t="s">
        <v>98</v>
      </c>
      <c r="D11" s="22">
        <v>14473</v>
      </c>
      <c r="E11" s="23">
        <v>1</v>
      </c>
      <c r="F11" s="24" t="s">
        <v>350</v>
      </c>
      <c r="G11" s="25"/>
      <c r="H11" s="25"/>
      <c r="I11" s="25"/>
      <c r="J11" s="25"/>
      <c r="K11" s="25"/>
      <c r="L11" s="25"/>
      <c r="M11" s="25"/>
      <c r="N11" s="25"/>
      <c r="O11" s="25"/>
      <c r="P11" s="25"/>
      <c r="Q11" s="25"/>
      <c r="R11" s="169"/>
      <c r="S11" s="46" t="s">
        <v>665</v>
      </c>
      <c r="T11" s="25" t="s">
        <v>169</v>
      </c>
      <c r="U11" s="171"/>
    </row>
    <row r="12" spans="1:21" ht="18" hidden="1">
      <c r="A12" s="21">
        <v>2020</v>
      </c>
      <c r="B12" s="21" t="s">
        <v>381</v>
      </c>
      <c r="C12" s="21" t="s">
        <v>109</v>
      </c>
      <c r="D12" s="22">
        <v>12756</v>
      </c>
      <c r="E12" s="23">
        <v>1</v>
      </c>
      <c r="F12" s="24" t="s">
        <v>382</v>
      </c>
      <c r="G12" s="25"/>
      <c r="H12" s="25"/>
      <c r="I12" s="25"/>
      <c r="J12" s="25"/>
      <c r="K12" s="25"/>
      <c r="L12" s="25"/>
      <c r="M12" s="25"/>
      <c r="N12" s="25"/>
      <c r="O12" s="25"/>
      <c r="P12" s="25"/>
      <c r="Q12" s="25"/>
      <c r="R12" s="169"/>
      <c r="T12" s="25" t="s">
        <v>169</v>
      </c>
      <c r="U12" s="171"/>
    </row>
    <row r="13" spans="1:21" ht="18" hidden="1">
      <c r="A13" s="21">
        <v>2020</v>
      </c>
      <c r="B13" s="21" t="s">
        <v>359</v>
      </c>
      <c r="C13" s="21" t="s">
        <v>96</v>
      </c>
      <c r="D13" s="22">
        <v>4338</v>
      </c>
      <c r="E13" s="23">
        <v>1</v>
      </c>
      <c r="F13" s="24" t="s">
        <v>360</v>
      </c>
      <c r="G13" s="25"/>
      <c r="H13" s="25"/>
      <c r="I13" s="25"/>
      <c r="J13" s="25"/>
      <c r="K13" s="25"/>
      <c r="L13" s="25"/>
      <c r="M13" s="25"/>
      <c r="N13" s="25"/>
      <c r="O13" s="25"/>
      <c r="P13" s="25"/>
      <c r="Q13" s="25"/>
      <c r="R13" s="169"/>
      <c r="T13" s="25" t="s">
        <v>169</v>
      </c>
      <c r="U13" s="171"/>
    </row>
    <row r="14" spans="1:21" ht="18" hidden="1">
      <c r="A14" s="21">
        <v>2020</v>
      </c>
      <c r="B14" s="21" t="s">
        <v>319</v>
      </c>
      <c r="C14" s="21" t="s">
        <v>103</v>
      </c>
      <c r="D14" s="22">
        <v>3703</v>
      </c>
      <c r="E14" s="23">
        <v>1</v>
      </c>
      <c r="F14" s="24" t="s">
        <v>466</v>
      </c>
      <c r="G14" s="25"/>
      <c r="H14" s="25"/>
      <c r="I14" s="25"/>
      <c r="J14" s="25"/>
      <c r="K14" s="25"/>
      <c r="L14" s="25"/>
      <c r="M14" s="25"/>
      <c r="N14" s="25"/>
      <c r="O14" s="25"/>
      <c r="P14" s="25"/>
      <c r="Q14" s="25"/>
      <c r="R14" s="169"/>
      <c r="T14" s="25" t="s">
        <v>169</v>
      </c>
      <c r="U14" s="171"/>
    </row>
    <row r="15" spans="1:21" ht="18" hidden="1">
      <c r="A15" s="21">
        <v>2020</v>
      </c>
      <c r="B15" s="21" t="s">
        <v>400</v>
      </c>
      <c r="C15" s="21" t="s">
        <v>95</v>
      </c>
      <c r="D15" s="22">
        <v>3200</v>
      </c>
      <c r="E15" s="23">
        <v>1</v>
      </c>
      <c r="F15" s="24" t="s">
        <v>401</v>
      </c>
      <c r="G15" s="25"/>
      <c r="H15" s="25"/>
      <c r="I15" s="25"/>
      <c r="J15" s="25"/>
      <c r="K15" s="25"/>
      <c r="L15" s="25"/>
      <c r="M15" s="25">
        <v>2194</v>
      </c>
      <c r="N15" s="25"/>
      <c r="O15" s="25">
        <v>443</v>
      </c>
      <c r="P15" s="25"/>
      <c r="Q15" s="25"/>
      <c r="R15" s="169"/>
      <c r="S15" s="46" t="s">
        <v>665</v>
      </c>
      <c r="T15" s="25" t="s">
        <v>169</v>
      </c>
      <c r="U15" s="172" t="s">
        <v>600</v>
      </c>
    </row>
    <row r="16" spans="1:21" ht="18" hidden="1">
      <c r="A16" s="21">
        <v>2020</v>
      </c>
      <c r="B16" s="21" t="s">
        <v>361</v>
      </c>
      <c r="C16" s="21" t="s">
        <v>99</v>
      </c>
      <c r="D16" s="22">
        <v>2993</v>
      </c>
      <c r="E16" s="23">
        <v>1</v>
      </c>
      <c r="F16" s="24" t="s">
        <v>362</v>
      </c>
      <c r="G16" s="25"/>
      <c r="H16" s="25"/>
      <c r="I16" s="25"/>
      <c r="J16" s="25"/>
      <c r="K16" s="25"/>
      <c r="L16" s="25"/>
      <c r="M16" s="25"/>
      <c r="N16" s="25"/>
      <c r="O16" s="25"/>
      <c r="P16" s="25"/>
      <c r="Q16" s="25"/>
      <c r="R16" s="169"/>
      <c r="T16" s="25" t="s">
        <v>169</v>
      </c>
      <c r="U16" s="171"/>
    </row>
    <row r="17" spans="1:21" ht="18" hidden="1">
      <c r="A17" s="21">
        <v>2020</v>
      </c>
      <c r="B17" s="21" t="s">
        <v>374</v>
      </c>
      <c r="C17" s="21" t="s">
        <v>101</v>
      </c>
      <c r="D17" s="22">
        <v>1879.01</v>
      </c>
      <c r="E17" s="23">
        <v>1</v>
      </c>
      <c r="F17" s="24" t="s">
        <v>375</v>
      </c>
      <c r="G17" s="25"/>
      <c r="H17" s="25"/>
      <c r="I17" s="25"/>
      <c r="J17" s="25"/>
      <c r="K17" s="25"/>
      <c r="L17" s="25"/>
      <c r="M17" s="25">
        <v>300</v>
      </c>
      <c r="N17" s="25"/>
      <c r="O17" s="25"/>
      <c r="P17" s="25"/>
      <c r="Q17" s="25"/>
      <c r="R17" s="169"/>
      <c r="T17" s="25" t="s">
        <v>169</v>
      </c>
      <c r="U17" s="172" t="s">
        <v>601</v>
      </c>
    </row>
    <row r="18" spans="1:21" ht="18" hidden="1">
      <c r="A18" s="21">
        <v>2020</v>
      </c>
      <c r="B18" s="21" t="s">
        <v>399</v>
      </c>
      <c r="C18" s="21" t="s">
        <v>84</v>
      </c>
      <c r="D18" s="22">
        <v>1509</v>
      </c>
      <c r="E18" s="23">
        <v>1</v>
      </c>
      <c r="F18" s="24" t="s">
        <v>576</v>
      </c>
      <c r="G18" s="25"/>
      <c r="H18" s="25"/>
      <c r="I18" s="25"/>
      <c r="J18" s="25"/>
      <c r="K18" s="25"/>
      <c r="L18" s="25"/>
      <c r="M18" s="25"/>
      <c r="N18" s="25"/>
      <c r="O18" s="25"/>
      <c r="P18" s="25"/>
      <c r="Q18" s="25"/>
      <c r="R18" s="169"/>
      <c r="T18" s="25" t="s">
        <v>169</v>
      </c>
      <c r="U18" s="171"/>
    </row>
    <row r="19" spans="1:21" ht="18" hidden="1">
      <c r="A19" s="21">
        <v>2020</v>
      </c>
      <c r="B19" s="21" t="s">
        <v>364</v>
      </c>
      <c r="C19" s="21" t="s">
        <v>114</v>
      </c>
      <c r="D19" s="22">
        <v>1280</v>
      </c>
      <c r="E19" s="23">
        <v>1</v>
      </c>
      <c r="F19" s="24" t="s">
        <v>466</v>
      </c>
      <c r="G19" s="25"/>
      <c r="H19" s="25"/>
      <c r="I19" s="25"/>
      <c r="J19" s="25"/>
      <c r="K19" s="25"/>
      <c r="L19" s="25"/>
      <c r="M19" s="25"/>
      <c r="N19" s="25"/>
      <c r="O19" s="25"/>
      <c r="P19" s="25"/>
      <c r="Q19" s="25"/>
      <c r="R19" s="169"/>
      <c r="T19" s="25" t="s">
        <v>169</v>
      </c>
      <c r="U19" s="171"/>
    </row>
    <row r="20" spans="1:21" ht="18" hidden="1">
      <c r="A20" s="21">
        <v>2020</v>
      </c>
      <c r="B20" s="21" t="s">
        <v>353</v>
      </c>
      <c r="C20" s="21" t="s">
        <v>99</v>
      </c>
      <c r="D20" s="22">
        <v>1249</v>
      </c>
      <c r="E20" s="23">
        <v>1</v>
      </c>
      <c r="F20" s="24" t="s">
        <v>339</v>
      </c>
      <c r="G20" s="25"/>
      <c r="H20" s="25"/>
      <c r="I20" s="25"/>
      <c r="J20" s="25"/>
      <c r="K20" s="25"/>
      <c r="L20" s="25"/>
      <c r="M20" s="25"/>
      <c r="N20" s="25"/>
      <c r="O20" s="25"/>
      <c r="P20" s="25"/>
      <c r="Q20" s="25"/>
      <c r="R20" s="169"/>
      <c r="T20" s="25" t="s">
        <v>169</v>
      </c>
      <c r="U20" s="171"/>
    </row>
    <row r="21" spans="1:21" ht="18" hidden="1">
      <c r="A21" s="21">
        <v>2020</v>
      </c>
      <c r="B21" s="21" t="s">
        <v>342</v>
      </c>
      <c r="C21" s="21" t="s">
        <v>112</v>
      </c>
      <c r="D21" s="22">
        <v>985</v>
      </c>
      <c r="E21" s="23">
        <v>1</v>
      </c>
      <c r="F21" s="24" t="s">
        <v>344</v>
      </c>
      <c r="G21" s="25"/>
      <c r="H21" s="25"/>
      <c r="I21" s="25"/>
      <c r="J21" s="25"/>
      <c r="K21" s="25"/>
      <c r="L21" s="25"/>
      <c r="M21" s="25"/>
      <c r="N21" s="25"/>
      <c r="O21" s="25"/>
      <c r="P21" s="25"/>
      <c r="Q21" s="25"/>
      <c r="R21" s="169"/>
      <c r="T21" s="25" t="s">
        <v>169</v>
      </c>
      <c r="U21" s="171"/>
    </row>
    <row r="22" spans="1:21" ht="18" hidden="1">
      <c r="A22" s="21">
        <v>2020</v>
      </c>
      <c r="B22" s="21" t="s">
        <v>351</v>
      </c>
      <c r="C22" s="21" t="s">
        <v>88</v>
      </c>
      <c r="D22" s="22">
        <v>946</v>
      </c>
      <c r="E22" s="23">
        <v>1</v>
      </c>
      <c r="F22" s="24" t="s">
        <v>352</v>
      </c>
      <c r="G22" s="25"/>
      <c r="H22" s="25"/>
      <c r="I22" s="25"/>
      <c r="J22" s="25"/>
      <c r="K22" s="25"/>
      <c r="L22" s="25"/>
      <c r="M22" s="25"/>
      <c r="N22" s="25"/>
      <c r="O22" s="25"/>
      <c r="P22" s="25"/>
      <c r="Q22" s="25"/>
      <c r="R22" s="169"/>
      <c r="T22" s="25" t="s">
        <v>169</v>
      </c>
      <c r="U22" s="171"/>
    </row>
    <row r="23" spans="1:21" ht="18" hidden="1">
      <c r="A23" s="21">
        <v>2020</v>
      </c>
      <c r="B23" s="21" t="s">
        <v>333</v>
      </c>
      <c r="C23" s="21" t="s">
        <v>95</v>
      </c>
      <c r="D23" s="22">
        <v>761</v>
      </c>
      <c r="E23" s="23">
        <v>1</v>
      </c>
      <c r="F23" s="24" t="s">
        <v>356</v>
      </c>
      <c r="G23" s="25"/>
      <c r="H23" s="25"/>
      <c r="I23" s="25"/>
      <c r="J23" s="25"/>
      <c r="K23" s="25"/>
      <c r="L23" s="25"/>
      <c r="M23" s="25"/>
      <c r="N23" s="25"/>
      <c r="O23" s="25"/>
      <c r="P23" s="25"/>
      <c r="Q23" s="25"/>
      <c r="R23" s="169"/>
      <c r="T23" s="25" t="s">
        <v>169</v>
      </c>
      <c r="U23" s="172"/>
    </row>
    <row r="24" spans="1:21" ht="18" hidden="1">
      <c r="A24" s="21">
        <v>2020</v>
      </c>
      <c r="B24" s="21" t="s">
        <v>365</v>
      </c>
      <c r="C24" s="21" t="s">
        <v>93</v>
      </c>
      <c r="D24" s="22">
        <v>680</v>
      </c>
      <c r="E24" s="23">
        <v>1</v>
      </c>
      <c r="F24" s="24" t="s">
        <v>366</v>
      </c>
      <c r="G24" s="25"/>
      <c r="H24" s="25"/>
      <c r="I24" s="25"/>
      <c r="J24" s="25"/>
      <c r="K24" s="25"/>
      <c r="L24" s="25"/>
      <c r="M24" s="25"/>
      <c r="N24" s="25"/>
      <c r="O24" s="25"/>
      <c r="P24" s="25"/>
      <c r="Q24" s="25"/>
      <c r="R24" s="169"/>
      <c r="T24" s="25" t="s">
        <v>169</v>
      </c>
      <c r="U24" s="171"/>
    </row>
    <row r="25" spans="1:21" ht="18" hidden="1">
      <c r="A25" s="21">
        <v>2020</v>
      </c>
      <c r="B25" s="21" t="s">
        <v>341</v>
      </c>
      <c r="C25" s="21" t="s">
        <v>93</v>
      </c>
      <c r="D25" s="22">
        <v>676</v>
      </c>
      <c r="E25" s="23">
        <v>1</v>
      </c>
      <c r="F25" s="24" t="s">
        <v>388</v>
      </c>
      <c r="G25" s="25"/>
      <c r="H25" s="25"/>
      <c r="I25" s="25"/>
      <c r="J25" s="25"/>
      <c r="K25" s="25"/>
      <c r="L25" s="25"/>
      <c r="M25" s="25"/>
      <c r="N25" s="25"/>
      <c r="O25" s="25"/>
      <c r="P25" s="25"/>
      <c r="Q25" s="25"/>
      <c r="R25" s="169"/>
      <c r="T25" s="25" t="s">
        <v>169</v>
      </c>
      <c r="U25" s="171"/>
    </row>
    <row r="26" spans="1:21" ht="18" hidden="1">
      <c r="A26" s="21">
        <v>2020</v>
      </c>
      <c r="B26" s="21" t="s">
        <v>343</v>
      </c>
      <c r="C26" s="21" t="s">
        <v>84</v>
      </c>
      <c r="D26" s="22">
        <v>532</v>
      </c>
      <c r="E26" s="23">
        <v>1</v>
      </c>
      <c r="F26" s="24" t="s">
        <v>393</v>
      </c>
      <c r="G26" s="25"/>
      <c r="H26" s="25"/>
      <c r="I26" s="25"/>
      <c r="J26" s="25"/>
      <c r="K26" s="25"/>
      <c r="L26" s="25"/>
      <c r="M26" s="25"/>
      <c r="N26" s="25"/>
      <c r="O26" s="25"/>
      <c r="P26" s="25"/>
      <c r="Q26" s="25"/>
      <c r="R26" s="169"/>
      <c r="T26" s="25" t="s">
        <v>169</v>
      </c>
      <c r="U26" s="171"/>
    </row>
    <row r="27" spans="1:21" ht="18" hidden="1">
      <c r="A27" s="21">
        <v>2020</v>
      </c>
      <c r="B27" s="21" t="s">
        <v>391</v>
      </c>
      <c r="C27" s="21" t="s">
        <v>84</v>
      </c>
      <c r="D27" s="22">
        <v>497</v>
      </c>
      <c r="E27" s="23">
        <v>1</v>
      </c>
      <c r="F27" s="24" t="s">
        <v>392</v>
      </c>
      <c r="G27" s="25"/>
      <c r="H27" s="25"/>
      <c r="I27" s="25"/>
      <c r="J27" s="25"/>
      <c r="K27" s="25"/>
      <c r="L27" s="25"/>
      <c r="M27" s="25"/>
      <c r="N27" s="25"/>
      <c r="O27" s="25"/>
      <c r="P27" s="25"/>
      <c r="Q27" s="25"/>
      <c r="R27" s="169"/>
      <c r="T27" s="25" t="s">
        <v>169</v>
      </c>
      <c r="U27" s="171"/>
    </row>
    <row r="28" spans="1:21" ht="18" hidden="1">
      <c r="A28" s="21">
        <v>2020</v>
      </c>
      <c r="B28" s="21" t="s">
        <v>332</v>
      </c>
      <c r="C28" s="21" t="s">
        <v>91</v>
      </c>
      <c r="D28" s="22">
        <v>495</v>
      </c>
      <c r="E28" s="23">
        <v>1</v>
      </c>
      <c r="F28" s="24" t="s">
        <v>466</v>
      </c>
      <c r="G28" s="25"/>
      <c r="H28" s="25"/>
      <c r="I28" s="25"/>
      <c r="J28" s="25"/>
      <c r="K28" s="25"/>
      <c r="L28" s="25"/>
      <c r="M28" s="25"/>
      <c r="N28" s="25"/>
      <c r="O28" s="25"/>
      <c r="P28" s="25"/>
      <c r="Q28" s="25"/>
      <c r="R28" s="169"/>
      <c r="T28" s="25" t="s">
        <v>169</v>
      </c>
      <c r="U28" s="171"/>
    </row>
    <row r="29" spans="1:21" ht="18" hidden="1">
      <c r="A29" s="21">
        <v>2020</v>
      </c>
      <c r="B29" s="21" t="s">
        <v>372</v>
      </c>
      <c r="C29" s="21" t="s">
        <v>95</v>
      </c>
      <c r="D29" s="22">
        <v>323</v>
      </c>
      <c r="E29" s="23">
        <v>1</v>
      </c>
      <c r="F29" s="24" t="s">
        <v>373</v>
      </c>
      <c r="G29" s="25"/>
      <c r="H29" s="25"/>
      <c r="I29" s="25"/>
      <c r="J29" s="25"/>
      <c r="K29" s="25"/>
      <c r="L29" s="25"/>
      <c r="M29" s="25"/>
      <c r="N29" s="25"/>
      <c r="O29" s="25"/>
      <c r="P29" s="25"/>
      <c r="Q29" s="25"/>
      <c r="R29" s="169"/>
      <c r="T29" s="25" t="s">
        <v>169</v>
      </c>
      <c r="U29" s="172"/>
    </row>
    <row r="30" spans="1:21" ht="18" hidden="1">
      <c r="A30" s="21">
        <v>2020</v>
      </c>
      <c r="B30" s="21" t="s">
        <v>380</v>
      </c>
      <c r="C30" s="21" t="s">
        <v>87</v>
      </c>
      <c r="D30" s="22">
        <v>319</v>
      </c>
      <c r="E30" s="23">
        <v>1</v>
      </c>
      <c r="F30" s="24" t="s">
        <v>334</v>
      </c>
      <c r="G30" s="25"/>
      <c r="H30" s="25"/>
      <c r="I30" s="25"/>
      <c r="J30" s="25"/>
      <c r="K30" s="25"/>
      <c r="L30" s="25"/>
      <c r="M30" s="25"/>
      <c r="N30" s="25"/>
      <c r="O30" s="25"/>
      <c r="P30" s="25"/>
      <c r="Q30" s="25"/>
      <c r="R30" s="169"/>
      <c r="T30" s="25" t="s">
        <v>169</v>
      </c>
      <c r="U30" s="171"/>
    </row>
    <row r="31" spans="1:21" ht="18" hidden="1">
      <c r="A31" s="21">
        <v>2020</v>
      </c>
      <c r="B31" s="21" t="s">
        <v>354</v>
      </c>
      <c r="C31" s="21" t="s">
        <v>35</v>
      </c>
      <c r="D31" s="22">
        <v>313</v>
      </c>
      <c r="E31" s="23">
        <v>1</v>
      </c>
      <c r="F31" s="24" t="s">
        <v>355</v>
      </c>
      <c r="G31" s="25"/>
      <c r="H31" s="25"/>
      <c r="I31" s="25"/>
      <c r="J31" s="25"/>
      <c r="K31" s="25"/>
      <c r="L31" s="25"/>
      <c r="M31" s="25"/>
      <c r="N31" s="25"/>
      <c r="O31" s="25"/>
      <c r="P31" s="25"/>
      <c r="Q31" s="25"/>
      <c r="R31" s="169"/>
      <c r="T31" s="25" t="s">
        <v>169</v>
      </c>
      <c r="U31" s="171"/>
    </row>
    <row r="32" spans="1:21" ht="18" hidden="1">
      <c r="A32" s="21">
        <v>2020</v>
      </c>
      <c r="B32" s="21" t="s">
        <v>370</v>
      </c>
      <c r="C32" s="21" t="s">
        <v>100</v>
      </c>
      <c r="D32" s="22">
        <v>307</v>
      </c>
      <c r="E32" s="23">
        <v>1</v>
      </c>
      <c r="F32" s="24" t="s">
        <v>371</v>
      </c>
      <c r="G32" s="25"/>
      <c r="H32" s="25"/>
      <c r="I32" s="25"/>
      <c r="J32" s="25"/>
      <c r="K32" s="25"/>
      <c r="L32" s="25"/>
      <c r="M32" s="25"/>
      <c r="N32" s="25"/>
      <c r="O32" s="25"/>
      <c r="P32" s="25"/>
      <c r="Q32" s="25"/>
      <c r="R32" s="169"/>
      <c r="T32" s="25" t="s">
        <v>169</v>
      </c>
      <c r="U32" s="171"/>
    </row>
    <row r="33" spans="1:21" ht="18" hidden="1">
      <c r="A33" s="21">
        <v>2020</v>
      </c>
      <c r="B33" s="21" t="s">
        <v>376</v>
      </c>
      <c r="C33" s="21" t="s">
        <v>65</v>
      </c>
      <c r="D33" s="22">
        <v>301</v>
      </c>
      <c r="E33" s="23">
        <v>1</v>
      </c>
      <c r="F33" s="24" t="s">
        <v>377</v>
      </c>
      <c r="G33" s="25"/>
      <c r="H33" s="25"/>
      <c r="I33" s="25"/>
      <c r="J33" s="25"/>
      <c r="K33" s="25"/>
      <c r="L33" s="25"/>
      <c r="M33" s="25"/>
      <c r="N33" s="25"/>
      <c r="O33" s="25"/>
      <c r="P33" s="25"/>
      <c r="Q33" s="25"/>
      <c r="R33" s="169"/>
      <c r="T33" s="25" t="s">
        <v>169</v>
      </c>
      <c r="U33" s="171"/>
    </row>
    <row r="34" spans="1:21" ht="18" hidden="1">
      <c r="A34" s="21">
        <v>2020</v>
      </c>
      <c r="B34" s="21" t="s">
        <v>323</v>
      </c>
      <c r="C34" s="21" t="s">
        <v>82</v>
      </c>
      <c r="D34" s="22">
        <v>297</v>
      </c>
      <c r="E34" s="23">
        <v>1</v>
      </c>
      <c r="F34" s="24" t="s">
        <v>466</v>
      </c>
      <c r="G34" s="25"/>
      <c r="H34" s="25"/>
      <c r="I34" s="25"/>
      <c r="J34" s="25"/>
      <c r="K34" s="25"/>
      <c r="L34" s="25"/>
      <c r="M34" s="25"/>
      <c r="N34" s="25"/>
      <c r="O34" s="25"/>
      <c r="P34" s="25"/>
      <c r="Q34" s="25"/>
      <c r="R34" s="169"/>
      <c r="T34" s="25" t="s">
        <v>169</v>
      </c>
      <c r="U34" s="171"/>
    </row>
    <row r="35" spans="1:21" ht="18" hidden="1">
      <c r="A35" s="21">
        <v>2020</v>
      </c>
      <c r="B35" s="21" t="s">
        <v>386</v>
      </c>
      <c r="C35" s="21" t="s">
        <v>101</v>
      </c>
      <c r="D35" s="22">
        <v>281.75</v>
      </c>
      <c r="E35" s="23">
        <v>1</v>
      </c>
      <c r="F35" s="24" t="s">
        <v>387</v>
      </c>
      <c r="G35" s="25"/>
      <c r="H35" s="25"/>
      <c r="I35" s="25"/>
      <c r="J35" s="25"/>
      <c r="K35" s="25"/>
      <c r="L35" s="25"/>
      <c r="M35" s="25"/>
      <c r="N35" s="25"/>
      <c r="O35" s="25"/>
      <c r="P35" s="25"/>
      <c r="Q35" s="25"/>
      <c r="R35" s="169"/>
      <c r="T35" s="25" t="s">
        <v>169</v>
      </c>
      <c r="U35" s="172"/>
    </row>
    <row r="36" spans="1:21" ht="18" hidden="1">
      <c r="A36" s="21">
        <v>2020</v>
      </c>
      <c r="B36" s="21" t="s">
        <v>327</v>
      </c>
      <c r="C36" s="21" t="s">
        <v>114</v>
      </c>
      <c r="D36" s="22">
        <v>233</v>
      </c>
      <c r="E36" s="23">
        <v>1</v>
      </c>
      <c r="F36" s="24" t="s">
        <v>357</v>
      </c>
      <c r="G36" s="25"/>
      <c r="H36" s="25"/>
      <c r="I36" s="25"/>
      <c r="J36" s="25"/>
      <c r="K36" s="25"/>
      <c r="L36" s="25"/>
      <c r="M36" s="25"/>
      <c r="N36" s="25"/>
      <c r="O36" s="25"/>
      <c r="P36" s="25"/>
      <c r="Q36" s="25"/>
      <c r="R36" s="169"/>
      <c r="T36" s="25" t="s">
        <v>169</v>
      </c>
      <c r="U36" s="171"/>
    </row>
    <row r="37" spans="1:21" ht="18" hidden="1">
      <c r="A37" s="21">
        <v>2020</v>
      </c>
      <c r="B37" s="21" t="s">
        <v>367</v>
      </c>
      <c r="C37" s="21" t="s">
        <v>109</v>
      </c>
      <c r="D37" s="22">
        <v>169.5</v>
      </c>
      <c r="E37" s="23">
        <v>1</v>
      </c>
      <c r="F37" s="24" t="s">
        <v>368</v>
      </c>
      <c r="G37" s="25"/>
      <c r="H37" s="25"/>
      <c r="I37" s="25"/>
      <c r="J37" s="25"/>
      <c r="K37" s="25"/>
      <c r="L37" s="25"/>
      <c r="M37" s="25"/>
      <c r="N37" s="25"/>
      <c r="O37" s="25"/>
      <c r="P37" s="25"/>
      <c r="Q37" s="25"/>
      <c r="R37" s="169"/>
      <c r="T37" s="25" t="s">
        <v>169</v>
      </c>
      <c r="U37" s="171"/>
    </row>
    <row r="38" spans="1:21" ht="18" hidden="1">
      <c r="A38" s="21">
        <v>2020</v>
      </c>
      <c r="B38" s="21" t="s">
        <v>324</v>
      </c>
      <c r="C38" s="21" t="s">
        <v>114</v>
      </c>
      <c r="D38" s="22">
        <v>117</v>
      </c>
      <c r="E38" s="23">
        <v>1</v>
      </c>
      <c r="F38" s="24" t="s">
        <v>398</v>
      </c>
      <c r="G38" s="25"/>
      <c r="H38" s="25"/>
      <c r="I38" s="25"/>
      <c r="J38" s="25"/>
      <c r="K38" s="25"/>
      <c r="L38" s="25"/>
      <c r="M38" s="25"/>
      <c r="N38" s="25"/>
      <c r="O38" s="25"/>
      <c r="P38" s="25"/>
      <c r="Q38" s="25"/>
      <c r="R38" s="169"/>
      <c r="T38" s="25" t="s">
        <v>169</v>
      </c>
      <c r="U38" s="171"/>
    </row>
    <row r="39" spans="1:21" ht="18" hidden="1">
      <c r="A39" s="21">
        <v>2020</v>
      </c>
      <c r="B39" s="21" t="s">
        <v>321</v>
      </c>
      <c r="C39" s="21" t="s">
        <v>93</v>
      </c>
      <c r="D39" s="22">
        <v>112.3</v>
      </c>
      <c r="E39" s="23">
        <v>1</v>
      </c>
      <c r="F39" s="24" t="s">
        <v>358</v>
      </c>
      <c r="G39" s="25"/>
      <c r="H39" s="25"/>
      <c r="I39" s="25"/>
      <c r="J39" s="25"/>
      <c r="K39" s="25"/>
      <c r="L39" s="25"/>
      <c r="M39" s="25"/>
      <c r="N39" s="25"/>
      <c r="O39" s="25"/>
      <c r="P39" s="25"/>
      <c r="Q39" s="25"/>
      <c r="R39" s="169"/>
      <c r="T39" s="25" t="s">
        <v>169</v>
      </c>
      <c r="U39" s="171"/>
    </row>
    <row r="40" spans="1:21" ht="18" hidden="1">
      <c r="A40" s="21">
        <v>2020</v>
      </c>
      <c r="B40" s="21" t="s">
        <v>383</v>
      </c>
      <c r="C40" s="21" t="s">
        <v>95</v>
      </c>
      <c r="D40" s="22">
        <v>105</v>
      </c>
      <c r="E40" s="23">
        <v>1</v>
      </c>
      <c r="F40" s="24" t="s">
        <v>326</v>
      </c>
      <c r="G40" s="25"/>
      <c r="H40" s="25"/>
      <c r="I40" s="25"/>
      <c r="J40" s="25"/>
      <c r="K40" s="25"/>
      <c r="L40" s="25"/>
      <c r="M40" s="25"/>
      <c r="N40" s="25"/>
      <c r="O40" s="25"/>
      <c r="P40" s="25"/>
      <c r="Q40" s="25"/>
      <c r="R40" s="169"/>
      <c r="T40" s="25" t="s">
        <v>169</v>
      </c>
      <c r="U40" s="172"/>
    </row>
    <row r="41" spans="1:21" ht="18" hidden="1">
      <c r="A41" s="21">
        <v>2020</v>
      </c>
      <c r="B41" s="21" t="s">
        <v>363</v>
      </c>
      <c r="C41" s="21" t="s">
        <v>112</v>
      </c>
      <c r="D41" s="22">
        <v>100</v>
      </c>
      <c r="E41" s="23">
        <v>1</v>
      </c>
      <c r="F41" s="24" t="s">
        <v>347</v>
      </c>
      <c r="G41" s="25"/>
      <c r="H41" s="25"/>
      <c r="I41" s="25"/>
      <c r="J41" s="25"/>
      <c r="K41" s="25"/>
      <c r="L41" s="25"/>
      <c r="M41" s="25"/>
      <c r="N41" s="25"/>
      <c r="O41" s="25"/>
      <c r="P41" s="25"/>
      <c r="Q41" s="25"/>
      <c r="R41" s="169"/>
      <c r="T41" s="25" t="s">
        <v>169</v>
      </c>
      <c r="U41" s="171"/>
    </row>
    <row r="42" spans="1:21" ht="18" hidden="1">
      <c r="A42" s="21">
        <v>2021</v>
      </c>
      <c r="B42" s="21" t="s">
        <v>446</v>
      </c>
      <c r="C42" s="21" t="s">
        <v>94</v>
      </c>
      <c r="D42" s="22">
        <v>2630</v>
      </c>
      <c r="E42" s="23">
        <v>1</v>
      </c>
      <c r="F42" s="24" t="s">
        <v>447</v>
      </c>
      <c r="G42" s="25"/>
      <c r="H42" s="25"/>
      <c r="I42" s="25"/>
      <c r="J42" s="25"/>
      <c r="K42" s="25"/>
      <c r="L42" s="25"/>
      <c r="M42" s="25"/>
      <c r="N42" s="25"/>
      <c r="O42" s="25"/>
      <c r="P42" s="25"/>
      <c r="Q42" s="25"/>
      <c r="R42" s="169"/>
      <c r="T42" s="25" t="s">
        <v>169</v>
      </c>
      <c r="U42" s="171"/>
    </row>
    <row r="43" spans="1:21" ht="18" hidden="1">
      <c r="A43" s="21">
        <v>2021</v>
      </c>
      <c r="B43" s="21" t="s">
        <v>434</v>
      </c>
      <c r="C43" s="21" t="s">
        <v>93</v>
      </c>
      <c r="D43" s="22">
        <v>22348</v>
      </c>
      <c r="E43" s="23">
        <v>1</v>
      </c>
      <c r="F43" s="24" t="s">
        <v>466</v>
      </c>
      <c r="G43" s="25"/>
      <c r="H43" s="25"/>
      <c r="I43" s="25"/>
      <c r="J43" s="25"/>
      <c r="K43" s="25"/>
      <c r="L43" s="25"/>
      <c r="M43" s="25"/>
      <c r="N43" s="25"/>
      <c r="O43" s="25"/>
      <c r="P43" s="25"/>
      <c r="Q43" s="25"/>
      <c r="R43" s="169"/>
      <c r="T43" s="25" t="s">
        <v>169</v>
      </c>
      <c r="U43" s="171"/>
    </row>
    <row r="44" spans="1:21" ht="18" hidden="1">
      <c r="A44" s="21">
        <v>2021</v>
      </c>
      <c r="B44" s="21" t="s">
        <v>417</v>
      </c>
      <c r="C44" s="21" t="s">
        <v>93</v>
      </c>
      <c r="D44" s="22">
        <v>164</v>
      </c>
      <c r="E44" s="23">
        <v>1</v>
      </c>
      <c r="F44" s="24" t="s">
        <v>418</v>
      </c>
      <c r="G44" s="25"/>
      <c r="H44" s="25"/>
      <c r="I44" s="25"/>
      <c r="J44" s="25"/>
      <c r="K44" s="25"/>
      <c r="L44" s="25"/>
      <c r="M44" s="25"/>
      <c r="N44" s="25"/>
      <c r="O44" s="25"/>
      <c r="P44" s="25"/>
      <c r="Q44" s="25"/>
      <c r="R44" s="169"/>
      <c r="T44" s="25" t="s">
        <v>169</v>
      </c>
      <c r="U44" s="171"/>
    </row>
    <row r="45" spans="1:21" ht="18" hidden="1">
      <c r="A45" s="21">
        <v>2021</v>
      </c>
      <c r="B45" s="21" t="s">
        <v>422</v>
      </c>
      <c r="C45" s="21" t="s">
        <v>98</v>
      </c>
      <c r="D45" s="22">
        <v>413765</v>
      </c>
      <c r="E45" s="23">
        <v>1</v>
      </c>
      <c r="F45" s="24" t="s">
        <v>423</v>
      </c>
      <c r="G45" s="25"/>
      <c r="H45" s="25"/>
      <c r="I45" s="25"/>
      <c r="J45" s="25"/>
      <c r="K45" s="25"/>
      <c r="L45" s="25"/>
      <c r="M45" s="25">
        <v>161</v>
      </c>
      <c r="N45" s="25"/>
      <c r="O45" s="25">
        <v>247</v>
      </c>
      <c r="P45" s="25"/>
      <c r="Q45" s="25"/>
      <c r="R45" s="169"/>
      <c r="S45" s="46" t="s">
        <v>666</v>
      </c>
      <c r="T45" s="25" t="s">
        <v>169</v>
      </c>
      <c r="U45" s="171"/>
    </row>
    <row r="46" spans="1:21" ht="18" hidden="1">
      <c r="A46" s="21">
        <v>2021</v>
      </c>
      <c r="B46" s="21" t="s">
        <v>404</v>
      </c>
      <c r="C46" s="21" t="s">
        <v>90</v>
      </c>
      <c r="D46" s="22">
        <v>211</v>
      </c>
      <c r="E46" s="23">
        <v>1</v>
      </c>
      <c r="F46" s="24" t="s">
        <v>405</v>
      </c>
      <c r="G46" s="25"/>
      <c r="H46" s="25"/>
      <c r="I46" s="25"/>
      <c r="J46" s="25"/>
      <c r="K46" s="25"/>
      <c r="L46" s="25"/>
      <c r="M46" s="25"/>
      <c r="N46" s="25"/>
      <c r="O46" s="25"/>
      <c r="P46" s="25"/>
      <c r="Q46" s="25"/>
      <c r="R46" s="169"/>
      <c r="T46" s="25" t="s">
        <v>169</v>
      </c>
      <c r="U46" s="171"/>
    </row>
    <row r="47" spans="1:21" ht="18" hidden="1">
      <c r="A47" s="21">
        <v>2021</v>
      </c>
      <c r="B47" s="21" t="s">
        <v>449</v>
      </c>
      <c r="C47" s="21" t="s">
        <v>100</v>
      </c>
      <c r="D47" s="22">
        <v>50409</v>
      </c>
      <c r="E47" s="23">
        <v>1</v>
      </c>
      <c r="F47" s="24" t="s">
        <v>450</v>
      </c>
      <c r="G47" s="25"/>
      <c r="H47" s="25"/>
      <c r="I47" s="25"/>
      <c r="J47" s="25"/>
      <c r="K47" s="25"/>
      <c r="L47" s="25"/>
      <c r="M47" s="25"/>
      <c r="N47" s="25"/>
      <c r="O47" s="25"/>
      <c r="P47" s="25"/>
      <c r="Q47" s="25"/>
      <c r="R47" s="169"/>
      <c r="T47" s="25" t="s">
        <v>169</v>
      </c>
      <c r="U47" s="171"/>
    </row>
    <row r="48" spans="1:21" ht="18" hidden="1">
      <c r="A48" s="21">
        <v>2021</v>
      </c>
      <c r="B48" s="21" t="s">
        <v>435</v>
      </c>
      <c r="C48" s="21" t="s">
        <v>93</v>
      </c>
      <c r="D48" s="22">
        <v>151.9</v>
      </c>
      <c r="E48" s="23">
        <v>1</v>
      </c>
      <c r="F48" s="24" t="s">
        <v>436</v>
      </c>
      <c r="G48" s="25"/>
      <c r="H48" s="25"/>
      <c r="I48" s="25"/>
      <c r="J48" s="25"/>
      <c r="K48" s="25"/>
      <c r="L48" s="25"/>
      <c r="M48" s="25"/>
      <c r="N48" s="25"/>
      <c r="O48" s="25"/>
      <c r="P48" s="25"/>
      <c r="Q48" s="25"/>
      <c r="R48" s="169"/>
      <c r="T48" s="25" t="s">
        <v>169</v>
      </c>
      <c r="U48" s="171"/>
    </row>
    <row r="49" spans="1:21" ht="18" hidden="1">
      <c r="A49" s="21">
        <v>2021</v>
      </c>
      <c r="B49" s="21" t="s">
        <v>432</v>
      </c>
      <c r="C49" s="21" t="s">
        <v>114</v>
      </c>
      <c r="D49" s="22">
        <v>159</v>
      </c>
      <c r="E49" s="23">
        <v>1</v>
      </c>
      <c r="F49" s="24" t="s">
        <v>433</v>
      </c>
      <c r="G49" s="25"/>
      <c r="H49" s="25"/>
      <c r="I49" s="25"/>
      <c r="J49" s="25"/>
      <c r="K49" s="25"/>
      <c r="L49" s="25"/>
      <c r="M49" s="25"/>
      <c r="N49" s="25"/>
      <c r="O49" s="25"/>
      <c r="P49" s="25"/>
      <c r="Q49" s="25"/>
      <c r="R49" s="169"/>
      <c r="T49" s="25" t="s">
        <v>169</v>
      </c>
      <c r="U49" s="171"/>
    </row>
    <row r="50" spans="1:21" ht="18" hidden="1">
      <c r="A50" s="21">
        <v>2021</v>
      </c>
      <c r="B50" s="21" t="s">
        <v>444</v>
      </c>
      <c r="C50" s="21" t="s">
        <v>99</v>
      </c>
      <c r="D50" s="22">
        <v>91730</v>
      </c>
      <c r="E50" s="23">
        <v>1</v>
      </c>
      <c r="F50" s="24" t="s">
        <v>445</v>
      </c>
      <c r="G50" s="25"/>
      <c r="H50" s="25"/>
      <c r="I50" s="25"/>
      <c r="J50" s="25"/>
      <c r="K50" s="25"/>
      <c r="L50" s="25"/>
      <c r="M50" s="25"/>
      <c r="N50" s="25"/>
      <c r="O50" s="25"/>
      <c r="P50" s="25"/>
      <c r="Q50" s="25"/>
      <c r="R50" s="169"/>
      <c r="T50" s="25" t="s">
        <v>169</v>
      </c>
      <c r="U50" s="171"/>
    </row>
    <row r="51" spans="1:21" ht="18" hidden="1">
      <c r="A51" s="21">
        <v>2021</v>
      </c>
      <c r="B51" s="21" t="s">
        <v>428</v>
      </c>
      <c r="C51" s="21" t="s">
        <v>90</v>
      </c>
      <c r="D51" s="22">
        <v>686</v>
      </c>
      <c r="E51" s="23">
        <v>1</v>
      </c>
      <c r="F51" s="24" t="s">
        <v>466</v>
      </c>
      <c r="G51" s="25"/>
      <c r="H51" s="25"/>
      <c r="I51" s="25"/>
      <c r="J51" s="25"/>
      <c r="K51" s="25"/>
      <c r="L51" s="25"/>
      <c r="M51" s="25"/>
      <c r="N51" s="25"/>
      <c r="O51" s="25"/>
      <c r="P51" s="25"/>
      <c r="Q51" s="25"/>
      <c r="R51" s="169"/>
      <c r="T51" s="25" t="s">
        <v>169</v>
      </c>
      <c r="U51" s="171"/>
    </row>
    <row r="52" spans="1:21" ht="18" hidden="1">
      <c r="A52" s="21">
        <v>2021</v>
      </c>
      <c r="B52" s="21" t="s">
        <v>606</v>
      </c>
      <c r="C52" s="21" t="s">
        <v>91</v>
      </c>
      <c r="D52" s="22">
        <v>70000</v>
      </c>
      <c r="E52" s="23">
        <v>1</v>
      </c>
      <c r="F52" s="24"/>
      <c r="G52" s="25"/>
      <c r="H52" s="25"/>
      <c r="I52" s="25"/>
      <c r="J52" s="25"/>
      <c r="K52" s="25"/>
      <c r="L52" s="25"/>
      <c r="M52" s="25"/>
      <c r="N52" s="25"/>
      <c r="O52" s="25"/>
      <c r="P52" s="25"/>
      <c r="Q52" s="25"/>
      <c r="R52" s="169"/>
      <c r="T52" s="25" t="s">
        <v>169</v>
      </c>
      <c r="U52" s="171"/>
    </row>
    <row r="53" spans="1:21" ht="18" hidden="1">
      <c r="A53" s="21">
        <v>2021</v>
      </c>
      <c r="B53" s="21" t="s">
        <v>429</v>
      </c>
      <c r="C53" s="21" t="s">
        <v>90</v>
      </c>
      <c r="D53" s="22">
        <v>686</v>
      </c>
      <c r="E53" s="23">
        <v>1</v>
      </c>
      <c r="F53" s="24" t="s">
        <v>430</v>
      </c>
      <c r="G53" s="25"/>
      <c r="H53" s="25"/>
      <c r="I53" s="25"/>
      <c r="J53" s="25"/>
      <c r="K53" s="25"/>
      <c r="L53" s="25"/>
      <c r="M53" s="25"/>
      <c r="N53" s="25"/>
      <c r="O53" s="25"/>
      <c r="P53" s="25"/>
      <c r="Q53" s="25"/>
      <c r="R53" s="169"/>
      <c r="T53" s="25" t="s">
        <v>169</v>
      </c>
      <c r="U53" s="171"/>
    </row>
    <row r="54" spans="1:21" ht="18" hidden="1">
      <c r="A54" s="21">
        <v>2021</v>
      </c>
      <c r="B54" s="21" t="s">
        <v>419</v>
      </c>
      <c r="C54" s="21" t="s">
        <v>93</v>
      </c>
      <c r="D54" s="22">
        <v>541.46</v>
      </c>
      <c r="E54" s="23">
        <v>1</v>
      </c>
      <c r="F54" s="24" t="s">
        <v>420</v>
      </c>
      <c r="G54" s="25"/>
      <c r="H54" s="25"/>
      <c r="I54" s="25"/>
      <c r="J54" s="25"/>
      <c r="K54" s="25"/>
      <c r="L54" s="25"/>
      <c r="M54" s="25"/>
      <c r="N54" s="25"/>
      <c r="O54" s="25"/>
      <c r="P54" s="25"/>
      <c r="Q54" s="25"/>
      <c r="R54" s="169"/>
      <c r="T54" s="25" t="s">
        <v>169</v>
      </c>
      <c r="U54" s="171"/>
    </row>
    <row r="55" spans="1:21" ht="18" hidden="1">
      <c r="A55" s="21">
        <v>2021</v>
      </c>
      <c r="B55" s="21" t="s">
        <v>431</v>
      </c>
      <c r="C55" s="21" t="s">
        <v>111</v>
      </c>
      <c r="D55" s="22">
        <v>22959</v>
      </c>
      <c r="E55" s="23">
        <v>1</v>
      </c>
      <c r="F55" s="24" t="s">
        <v>466</v>
      </c>
      <c r="G55" s="25"/>
      <c r="H55" s="25"/>
      <c r="I55" s="25"/>
      <c r="J55" s="25"/>
      <c r="K55" s="25"/>
      <c r="L55" s="25"/>
      <c r="M55" s="25"/>
      <c r="N55" s="25"/>
      <c r="O55" s="25">
        <v>5</v>
      </c>
      <c r="P55" s="25"/>
      <c r="Q55" s="25"/>
      <c r="R55" s="169"/>
      <c r="T55" s="25" t="s">
        <v>169</v>
      </c>
      <c r="U55" s="171"/>
    </row>
    <row r="56" spans="1:21" ht="18" hidden="1">
      <c r="A56" s="21">
        <v>2021</v>
      </c>
      <c r="B56" s="21" t="s">
        <v>421</v>
      </c>
      <c r="C56" s="21" t="s">
        <v>65</v>
      </c>
      <c r="D56" s="22">
        <v>182</v>
      </c>
      <c r="E56" s="23">
        <v>1</v>
      </c>
      <c r="F56" s="24" t="s">
        <v>331</v>
      </c>
      <c r="G56" s="25"/>
      <c r="H56" s="25"/>
      <c r="I56" s="25"/>
      <c r="J56" s="25"/>
      <c r="K56" s="25"/>
      <c r="L56" s="25"/>
      <c r="M56" s="25"/>
      <c r="N56" s="25"/>
      <c r="O56" s="25"/>
      <c r="P56" s="25"/>
      <c r="Q56" s="25"/>
      <c r="R56" s="169"/>
      <c r="T56" s="25" t="s">
        <v>169</v>
      </c>
      <c r="U56" s="171"/>
    </row>
    <row r="57" spans="1:21" ht="18" hidden="1">
      <c r="A57" s="21">
        <v>2021</v>
      </c>
      <c r="B57" s="21" t="s">
        <v>424</v>
      </c>
      <c r="C57" s="21" t="s">
        <v>96</v>
      </c>
      <c r="D57" s="22">
        <v>6032</v>
      </c>
      <c r="E57" s="23">
        <v>1</v>
      </c>
      <c r="F57" s="24" t="s">
        <v>425</v>
      </c>
      <c r="G57" s="25"/>
      <c r="H57" s="25"/>
      <c r="I57" s="25"/>
      <c r="J57" s="25"/>
      <c r="K57" s="25"/>
      <c r="L57" s="25"/>
      <c r="M57" s="25"/>
      <c r="N57" s="25"/>
      <c r="O57" s="25"/>
      <c r="P57" s="25"/>
      <c r="Q57" s="25"/>
      <c r="R57" s="169"/>
      <c r="T57" s="25" t="s">
        <v>169</v>
      </c>
      <c r="U57" s="171"/>
    </row>
    <row r="58" spans="1:21" ht="18" hidden="1">
      <c r="A58" s="21">
        <v>2021</v>
      </c>
      <c r="B58" s="21" t="s">
        <v>337</v>
      </c>
      <c r="C58" s="21" t="s">
        <v>91</v>
      </c>
      <c r="D58" s="22">
        <v>277.94</v>
      </c>
      <c r="E58" s="23">
        <v>1</v>
      </c>
      <c r="F58" s="24" t="s">
        <v>322</v>
      </c>
      <c r="G58" s="25"/>
      <c r="H58" s="25"/>
      <c r="I58" s="25"/>
      <c r="J58" s="25"/>
      <c r="K58" s="25"/>
      <c r="L58" s="25"/>
      <c r="M58" s="25"/>
      <c r="N58" s="25"/>
      <c r="O58" s="25"/>
      <c r="P58" s="25"/>
      <c r="Q58" s="25"/>
      <c r="R58" s="169"/>
      <c r="T58" s="25" t="s">
        <v>169</v>
      </c>
      <c r="U58" s="171"/>
    </row>
    <row r="59" spans="1:21" ht="18" hidden="1">
      <c r="A59" s="21">
        <v>2021</v>
      </c>
      <c r="B59" s="21" t="s">
        <v>329</v>
      </c>
      <c r="C59" s="21" t="s">
        <v>91</v>
      </c>
      <c r="D59" s="22">
        <v>121.25</v>
      </c>
      <c r="E59" s="23">
        <v>1</v>
      </c>
      <c r="F59" s="24" t="s">
        <v>439</v>
      </c>
      <c r="G59" s="25"/>
      <c r="H59" s="25"/>
      <c r="I59" s="25"/>
      <c r="J59" s="25"/>
      <c r="K59" s="25"/>
      <c r="L59" s="25"/>
      <c r="M59" s="25"/>
      <c r="N59" s="25"/>
      <c r="O59" s="25"/>
      <c r="P59" s="25"/>
      <c r="Q59" s="25"/>
      <c r="R59" s="169"/>
      <c r="T59" s="25" t="s">
        <v>169</v>
      </c>
      <c r="U59" s="171"/>
    </row>
    <row r="60" spans="1:21" ht="18" hidden="1">
      <c r="A60" s="21">
        <v>2021</v>
      </c>
      <c r="B60" s="21" t="s">
        <v>411</v>
      </c>
      <c r="C60" s="21" t="s">
        <v>111</v>
      </c>
      <c r="D60" s="22">
        <v>7610</v>
      </c>
      <c r="E60" s="23">
        <v>1</v>
      </c>
      <c r="F60" s="24" t="s">
        <v>412</v>
      </c>
      <c r="G60" s="25"/>
      <c r="H60" s="25"/>
      <c r="I60" s="25"/>
      <c r="J60" s="25"/>
      <c r="K60" s="25"/>
      <c r="L60" s="25"/>
      <c r="M60" s="25"/>
      <c r="N60" s="25"/>
      <c r="O60" s="25"/>
      <c r="P60" s="25"/>
      <c r="Q60" s="25"/>
      <c r="R60" s="169"/>
      <c r="T60" s="25" t="s">
        <v>169</v>
      </c>
      <c r="U60" s="171"/>
    </row>
    <row r="61" spans="1:21" ht="18" hidden="1">
      <c r="A61" s="21">
        <v>2021</v>
      </c>
      <c r="B61" s="21" t="s">
        <v>415</v>
      </c>
      <c r="C61" s="21" t="s">
        <v>114</v>
      </c>
      <c r="D61" s="22">
        <v>368</v>
      </c>
      <c r="E61" s="23">
        <v>1</v>
      </c>
      <c r="F61" s="24" t="s">
        <v>416</v>
      </c>
      <c r="G61" s="25"/>
      <c r="H61" s="25"/>
      <c r="I61" s="25"/>
      <c r="J61" s="25"/>
      <c r="K61" s="25"/>
      <c r="L61" s="25"/>
      <c r="M61" s="25"/>
      <c r="N61" s="25"/>
      <c r="O61" s="25"/>
      <c r="P61" s="25"/>
      <c r="Q61" s="25"/>
      <c r="R61" s="169"/>
      <c r="T61" s="25" t="s">
        <v>169</v>
      </c>
      <c r="U61" s="171"/>
    </row>
    <row r="62" spans="1:21" ht="18" hidden="1">
      <c r="A62" s="21">
        <v>2021</v>
      </c>
      <c r="B62" s="21" t="s">
        <v>426</v>
      </c>
      <c r="C62" s="21" t="s">
        <v>99</v>
      </c>
      <c r="D62" s="22">
        <v>16337</v>
      </c>
      <c r="E62" s="23">
        <v>1</v>
      </c>
      <c r="F62" s="24" t="s">
        <v>427</v>
      </c>
      <c r="G62" s="25"/>
      <c r="H62" s="25"/>
      <c r="I62" s="25"/>
      <c r="J62" s="25"/>
      <c r="K62" s="25"/>
      <c r="L62" s="25"/>
      <c r="M62" s="25"/>
      <c r="N62" s="25"/>
      <c r="O62" s="25"/>
      <c r="P62" s="25"/>
      <c r="Q62" s="25"/>
      <c r="R62" s="169"/>
      <c r="T62" s="25" t="s">
        <v>169</v>
      </c>
      <c r="U62" s="171"/>
    </row>
    <row r="63" spans="1:21" ht="18" hidden="1">
      <c r="A63" s="21">
        <v>2021</v>
      </c>
      <c r="B63" s="21" t="s">
        <v>408</v>
      </c>
      <c r="C63" s="21" t="s">
        <v>91</v>
      </c>
      <c r="D63" s="22">
        <v>198</v>
      </c>
      <c r="E63" s="23">
        <v>1</v>
      </c>
      <c r="F63" s="24" t="s">
        <v>409</v>
      </c>
      <c r="G63" s="25"/>
      <c r="H63" s="25"/>
      <c r="I63" s="25"/>
      <c r="J63" s="25"/>
      <c r="K63" s="25"/>
      <c r="L63" s="25"/>
      <c r="M63" s="25"/>
      <c r="N63" s="25"/>
      <c r="O63" s="25"/>
      <c r="P63" s="25"/>
      <c r="Q63" s="25"/>
      <c r="R63" s="169"/>
      <c r="T63" s="25" t="s">
        <v>169</v>
      </c>
      <c r="U63" s="171"/>
    </row>
    <row r="64" spans="1:21" ht="18" hidden="1">
      <c r="A64" s="21">
        <v>2021</v>
      </c>
      <c r="B64" s="21" t="s">
        <v>345</v>
      </c>
      <c r="C64" s="21" t="s">
        <v>91</v>
      </c>
      <c r="D64" s="22">
        <v>110</v>
      </c>
      <c r="E64" s="23">
        <v>1</v>
      </c>
      <c r="F64" s="24" t="s">
        <v>328</v>
      </c>
      <c r="G64" s="25"/>
      <c r="H64" s="25"/>
      <c r="I64" s="25"/>
      <c r="J64" s="25"/>
      <c r="K64" s="25"/>
      <c r="L64" s="25"/>
      <c r="M64" s="25"/>
      <c r="N64" s="25"/>
      <c r="O64" s="25"/>
      <c r="P64" s="25"/>
      <c r="Q64" s="25"/>
      <c r="R64" s="169"/>
      <c r="T64" s="25" t="s">
        <v>169</v>
      </c>
      <c r="U64" s="171"/>
    </row>
    <row r="65" spans="1:21" ht="18" hidden="1">
      <c r="A65" s="21">
        <v>2021</v>
      </c>
      <c r="B65" s="21" t="s">
        <v>448</v>
      </c>
      <c r="C65" s="21" t="s">
        <v>91</v>
      </c>
      <c r="D65" s="22">
        <v>791.14</v>
      </c>
      <c r="E65" s="23">
        <v>1</v>
      </c>
      <c r="F65" s="24" t="s">
        <v>466</v>
      </c>
      <c r="G65" s="25"/>
      <c r="H65" s="25"/>
      <c r="I65" s="25"/>
      <c r="J65" s="25"/>
      <c r="K65" s="25"/>
      <c r="L65" s="25"/>
      <c r="M65" s="25"/>
      <c r="N65" s="25"/>
      <c r="O65" s="25"/>
      <c r="P65" s="25"/>
      <c r="Q65" s="25"/>
      <c r="R65" s="169"/>
      <c r="T65" s="25" t="s">
        <v>169</v>
      </c>
      <c r="U65" s="171"/>
    </row>
    <row r="66" spans="1:21" ht="18" hidden="1">
      <c r="A66" s="21">
        <v>2021</v>
      </c>
      <c r="B66" s="21" t="s">
        <v>346</v>
      </c>
      <c r="C66" s="21" t="s">
        <v>91</v>
      </c>
      <c r="D66" s="22">
        <v>199.87</v>
      </c>
      <c r="E66" s="23">
        <v>1</v>
      </c>
      <c r="F66" s="24" t="s">
        <v>440</v>
      </c>
      <c r="G66" s="25"/>
      <c r="H66" s="25"/>
      <c r="I66" s="25"/>
      <c r="J66" s="25"/>
      <c r="K66" s="25"/>
      <c r="L66" s="25"/>
      <c r="M66" s="25"/>
      <c r="N66" s="25"/>
      <c r="O66" s="25"/>
      <c r="P66" s="25"/>
      <c r="Q66" s="25"/>
      <c r="R66" s="169"/>
      <c r="T66" s="25" t="s">
        <v>169</v>
      </c>
      <c r="U66" s="171"/>
    </row>
    <row r="67" spans="1:21" ht="18" hidden="1">
      <c r="A67" s="21">
        <v>2021</v>
      </c>
      <c r="B67" s="21" t="s">
        <v>441</v>
      </c>
      <c r="C67" s="21" t="s">
        <v>99</v>
      </c>
      <c r="D67" s="22">
        <v>9754</v>
      </c>
      <c r="E67" s="23">
        <v>1</v>
      </c>
      <c r="F67" s="24" t="s">
        <v>442</v>
      </c>
      <c r="G67" s="25"/>
      <c r="H67" s="25"/>
      <c r="I67" s="25"/>
      <c r="J67" s="25"/>
      <c r="K67" s="25"/>
      <c r="L67" s="25"/>
      <c r="M67" s="25"/>
      <c r="N67" s="25"/>
      <c r="O67" s="25"/>
      <c r="P67" s="25"/>
      <c r="Q67" s="25"/>
      <c r="R67" s="169"/>
      <c r="T67" s="25" t="s">
        <v>169</v>
      </c>
      <c r="U67" s="171"/>
    </row>
    <row r="68" spans="1:21" ht="18" hidden="1">
      <c r="A68" s="21">
        <v>2021</v>
      </c>
      <c r="B68" s="21" t="s">
        <v>406</v>
      </c>
      <c r="C68" s="21" t="s">
        <v>98</v>
      </c>
      <c r="D68" s="22">
        <v>1641</v>
      </c>
      <c r="E68" s="23">
        <v>1</v>
      </c>
      <c r="F68" s="24" t="s">
        <v>407</v>
      </c>
      <c r="G68" s="25"/>
      <c r="H68" s="25"/>
      <c r="I68" s="25"/>
      <c r="J68" s="25"/>
      <c r="K68" s="25"/>
      <c r="L68" s="25"/>
      <c r="M68" s="25">
        <v>2</v>
      </c>
      <c r="N68" s="25"/>
      <c r="O68" s="25"/>
      <c r="P68" s="25"/>
      <c r="Q68" s="25"/>
      <c r="R68" s="169"/>
      <c r="T68" s="25" t="s">
        <v>169</v>
      </c>
      <c r="U68" s="171"/>
    </row>
    <row r="69" spans="1:21" ht="18" hidden="1">
      <c r="A69" s="21">
        <v>2021</v>
      </c>
      <c r="B69" s="21" t="s">
        <v>340</v>
      </c>
      <c r="C69" s="21" t="s">
        <v>91</v>
      </c>
      <c r="D69" s="22">
        <v>5290.69</v>
      </c>
      <c r="E69" s="23">
        <v>1</v>
      </c>
      <c r="F69" s="24" t="s">
        <v>438</v>
      </c>
      <c r="G69" s="25"/>
      <c r="H69" s="25"/>
      <c r="I69" s="25"/>
      <c r="J69" s="25"/>
      <c r="K69" s="25"/>
      <c r="L69" s="25"/>
      <c r="M69" s="25"/>
      <c r="N69" s="25"/>
      <c r="O69" s="25"/>
      <c r="P69" s="25"/>
      <c r="Q69" s="25"/>
      <c r="R69" s="169"/>
      <c r="T69" s="25" t="s">
        <v>169</v>
      </c>
      <c r="U69" s="171"/>
    </row>
    <row r="70" spans="1:21" ht="18" hidden="1">
      <c r="A70" s="21">
        <v>2021</v>
      </c>
      <c r="B70" s="21" t="s">
        <v>413</v>
      </c>
      <c r="C70" s="21" t="s">
        <v>112</v>
      </c>
      <c r="D70" s="22">
        <v>6200</v>
      </c>
      <c r="E70" s="23">
        <v>1</v>
      </c>
      <c r="F70" s="24" t="s">
        <v>414</v>
      </c>
      <c r="G70" s="25"/>
      <c r="H70" s="25"/>
      <c r="I70" s="25"/>
      <c r="J70" s="25"/>
      <c r="K70" s="25"/>
      <c r="L70" s="25"/>
      <c r="M70" s="25"/>
      <c r="N70" s="25"/>
      <c r="O70" s="25"/>
      <c r="P70" s="25"/>
      <c r="Q70" s="25"/>
      <c r="R70" s="169"/>
      <c r="T70" s="25" t="s">
        <v>169</v>
      </c>
      <c r="U70" s="171"/>
    </row>
    <row r="71" spans="1:21" ht="18" hidden="1">
      <c r="A71" s="21">
        <v>2021</v>
      </c>
      <c r="B71" s="21" t="s">
        <v>410</v>
      </c>
      <c r="C71" s="21" t="s">
        <v>98</v>
      </c>
      <c r="D71" s="22">
        <v>679</v>
      </c>
      <c r="E71" s="23">
        <v>1</v>
      </c>
      <c r="F71" s="24" t="s">
        <v>348</v>
      </c>
      <c r="G71" s="25"/>
      <c r="H71" s="25"/>
      <c r="I71" s="25"/>
      <c r="J71" s="25"/>
      <c r="K71" s="25"/>
      <c r="L71" s="25"/>
      <c r="M71" s="25"/>
      <c r="N71" s="25"/>
      <c r="O71" s="25"/>
      <c r="P71" s="25"/>
      <c r="Q71" s="25"/>
      <c r="R71" s="169"/>
      <c r="T71" s="25" t="s">
        <v>169</v>
      </c>
      <c r="U71" s="171"/>
    </row>
    <row r="72" spans="1:21" ht="18" hidden="1">
      <c r="A72" s="21">
        <v>2021</v>
      </c>
      <c r="B72" s="21" t="s">
        <v>437</v>
      </c>
      <c r="C72" s="21" t="s">
        <v>111</v>
      </c>
      <c r="D72" s="22">
        <v>132</v>
      </c>
      <c r="E72" s="23">
        <v>1</v>
      </c>
      <c r="F72" s="24" t="s">
        <v>466</v>
      </c>
      <c r="G72" s="25"/>
      <c r="H72" s="25"/>
      <c r="I72" s="25"/>
      <c r="J72" s="25"/>
      <c r="K72" s="25"/>
      <c r="L72" s="25"/>
      <c r="M72" s="25"/>
      <c r="N72" s="25"/>
      <c r="O72" s="25"/>
      <c r="P72" s="25"/>
      <c r="Q72" s="25"/>
      <c r="R72" s="169"/>
      <c r="T72" s="25" t="s">
        <v>169</v>
      </c>
      <c r="U72" s="171"/>
    </row>
    <row r="73" spans="1:21" ht="18" hidden="1">
      <c r="A73" s="21">
        <v>2021</v>
      </c>
      <c r="B73" s="21" t="s">
        <v>607</v>
      </c>
      <c r="C73" s="21" t="s">
        <v>91</v>
      </c>
      <c r="D73" s="22">
        <v>24165</v>
      </c>
      <c r="E73" s="23">
        <v>1</v>
      </c>
      <c r="F73" s="24"/>
      <c r="G73" s="25"/>
      <c r="H73" s="25"/>
      <c r="I73" s="25"/>
      <c r="J73" s="25"/>
      <c r="K73" s="25"/>
      <c r="L73" s="25"/>
      <c r="M73" s="25"/>
      <c r="N73" s="25"/>
      <c r="O73" s="25"/>
      <c r="P73" s="25"/>
      <c r="Q73" s="25"/>
      <c r="R73" s="169"/>
      <c r="S73" s="46" t="s">
        <v>666</v>
      </c>
      <c r="T73" s="25" t="s">
        <v>169</v>
      </c>
      <c r="U73" s="172"/>
    </row>
    <row r="74" spans="1:21" ht="18" hidden="1">
      <c r="A74" s="21">
        <v>2021</v>
      </c>
      <c r="B74" s="21" t="s">
        <v>608</v>
      </c>
      <c r="C74" s="21" t="s">
        <v>100</v>
      </c>
      <c r="D74" s="22">
        <v>50307</v>
      </c>
      <c r="E74" s="23">
        <v>1</v>
      </c>
      <c r="F74" s="24"/>
      <c r="G74" s="25"/>
      <c r="H74" s="25"/>
      <c r="I74" s="25"/>
      <c r="J74" s="25"/>
      <c r="K74" s="25"/>
      <c r="L74" s="25"/>
      <c r="M74" s="25"/>
      <c r="N74" s="25"/>
      <c r="O74" s="25"/>
      <c r="P74" s="25"/>
      <c r="Q74" s="25"/>
      <c r="R74" s="169"/>
      <c r="S74" s="46" t="s">
        <v>666</v>
      </c>
      <c r="T74" s="25" t="s">
        <v>169</v>
      </c>
      <c r="U74" s="172"/>
    </row>
    <row r="75" spans="1:21" ht="18" hidden="1">
      <c r="A75" s="21">
        <v>2022</v>
      </c>
      <c r="B75" s="21" t="s">
        <v>454</v>
      </c>
      <c r="C75" s="21" t="s">
        <v>111</v>
      </c>
      <c r="D75" s="22">
        <v>171532</v>
      </c>
      <c r="E75" s="23">
        <v>1</v>
      </c>
      <c r="F75" s="24" t="s">
        <v>455</v>
      </c>
      <c r="G75" s="25"/>
      <c r="H75" s="25"/>
      <c r="I75" s="25"/>
      <c r="J75" s="25"/>
      <c r="K75" s="25"/>
      <c r="L75" s="25"/>
      <c r="M75" s="25"/>
      <c r="N75" s="25"/>
      <c r="O75" s="25"/>
      <c r="P75" s="25"/>
      <c r="Q75" s="25"/>
      <c r="R75" s="169"/>
      <c r="S75" s="46" t="s">
        <v>666</v>
      </c>
      <c r="T75" s="25" t="s">
        <v>169</v>
      </c>
      <c r="U75" s="171"/>
    </row>
    <row r="76" spans="1:21" ht="18" hidden="1">
      <c r="A76" s="21">
        <v>2022</v>
      </c>
      <c r="B76" s="21" t="s">
        <v>349</v>
      </c>
      <c r="C76" s="21" t="s">
        <v>97</v>
      </c>
      <c r="D76" s="22">
        <v>21347</v>
      </c>
      <c r="E76" s="23">
        <v>1</v>
      </c>
      <c r="F76" s="24" t="s">
        <v>453</v>
      </c>
      <c r="G76" s="25"/>
      <c r="H76" s="25"/>
      <c r="I76" s="25"/>
      <c r="J76" s="25"/>
      <c r="K76" s="25"/>
      <c r="L76" s="25"/>
      <c r="M76" s="25">
        <v>1</v>
      </c>
      <c r="N76" s="25"/>
      <c r="O76" s="25">
        <v>7</v>
      </c>
      <c r="P76" s="25"/>
      <c r="Q76" s="25"/>
      <c r="R76" s="169"/>
      <c r="T76" s="25" t="s">
        <v>169</v>
      </c>
      <c r="U76" s="171"/>
    </row>
    <row r="77" spans="1:21" ht="18" hidden="1">
      <c r="A77" s="21">
        <v>2022</v>
      </c>
      <c r="B77" s="21" t="s">
        <v>456</v>
      </c>
      <c r="C77" s="21" t="s">
        <v>98</v>
      </c>
      <c r="D77" s="22">
        <v>2639</v>
      </c>
      <c r="E77" s="23">
        <v>1</v>
      </c>
      <c r="F77" s="24" t="s">
        <v>457</v>
      </c>
      <c r="G77" s="25"/>
      <c r="H77" s="25"/>
      <c r="I77" s="25"/>
      <c r="J77" s="25"/>
      <c r="K77" s="25"/>
      <c r="L77" s="25"/>
      <c r="M77" s="25"/>
      <c r="N77" s="25"/>
      <c r="O77" s="25"/>
      <c r="P77" s="25"/>
      <c r="Q77" s="25"/>
      <c r="R77" s="169"/>
      <c r="T77" s="25" t="s">
        <v>169</v>
      </c>
      <c r="U77" s="171"/>
    </row>
    <row r="78" spans="1:21" ht="18" hidden="1">
      <c r="A78" s="21">
        <v>2022</v>
      </c>
      <c r="B78" s="21" t="s">
        <v>451</v>
      </c>
      <c r="C78" s="21" t="s">
        <v>96</v>
      </c>
      <c r="D78" s="22">
        <v>278</v>
      </c>
      <c r="E78" s="23">
        <v>1</v>
      </c>
      <c r="F78" s="24" t="s">
        <v>452</v>
      </c>
      <c r="G78" s="25"/>
      <c r="H78" s="25"/>
      <c r="I78" s="25"/>
      <c r="J78" s="25"/>
      <c r="K78" s="25"/>
      <c r="L78" s="25"/>
      <c r="M78" s="25"/>
      <c r="N78" s="25"/>
      <c r="O78" s="25"/>
      <c r="P78" s="25"/>
      <c r="Q78" s="25"/>
      <c r="R78" s="169"/>
      <c r="T78" s="25" t="s">
        <v>169</v>
      </c>
      <c r="U78" s="171"/>
    </row>
    <row r="79" spans="1:21" ht="18" hidden="1">
      <c r="A79" s="21">
        <v>2022</v>
      </c>
      <c r="B79" s="21" t="s">
        <v>462</v>
      </c>
      <c r="C79" s="21" t="s">
        <v>91</v>
      </c>
      <c r="D79" s="22">
        <v>200</v>
      </c>
      <c r="E79" s="23">
        <v>1</v>
      </c>
      <c r="F79" s="24" t="s">
        <v>336</v>
      </c>
      <c r="G79" s="25"/>
      <c r="H79" s="25"/>
      <c r="I79" s="25"/>
      <c r="J79" s="25"/>
      <c r="K79" s="25"/>
      <c r="L79" s="25"/>
      <c r="M79" s="25"/>
      <c r="N79" s="25"/>
      <c r="O79" s="25"/>
      <c r="P79" s="25"/>
      <c r="Q79" s="25"/>
      <c r="R79" s="169"/>
      <c r="T79" s="25" t="s">
        <v>169</v>
      </c>
      <c r="U79" s="171"/>
    </row>
    <row r="80" spans="1:21" ht="18" hidden="1">
      <c r="A80" s="21">
        <v>2022</v>
      </c>
      <c r="B80" s="21" t="s">
        <v>460</v>
      </c>
      <c r="C80" s="21" t="s">
        <v>85</v>
      </c>
      <c r="D80" s="22">
        <v>169</v>
      </c>
      <c r="E80" s="23">
        <v>1</v>
      </c>
      <c r="F80" s="24" t="s">
        <v>461</v>
      </c>
      <c r="G80" s="25"/>
      <c r="H80" s="25"/>
      <c r="I80" s="25"/>
      <c r="J80" s="25"/>
      <c r="K80" s="25"/>
      <c r="L80" s="25"/>
      <c r="M80" s="25"/>
      <c r="N80" s="25"/>
      <c r="O80" s="25"/>
      <c r="P80" s="25"/>
      <c r="Q80" s="25"/>
      <c r="R80" s="169"/>
      <c r="T80" s="25" t="s">
        <v>169</v>
      </c>
      <c r="U80" s="171"/>
    </row>
    <row r="81" spans="1:21" ht="18" hidden="1">
      <c r="A81" s="21">
        <v>2022</v>
      </c>
      <c r="B81" s="21" t="s">
        <v>458</v>
      </c>
      <c r="C81" s="21" t="s">
        <v>82</v>
      </c>
      <c r="D81" s="22">
        <v>141</v>
      </c>
      <c r="E81" s="23">
        <v>1</v>
      </c>
      <c r="F81" s="24" t="s">
        <v>459</v>
      </c>
      <c r="G81" s="25"/>
      <c r="H81" s="25"/>
      <c r="I81" s="25"/>
      <c r="J81" s="25"/>
      <c r="K81" s="25"/>
      <c r="L81" s="25"/>
      <c r="M81" s="25"/>
      <c r="N81" s="25"/>
      <c r="O81" s="25"/>
      <c r="P81" s="25"/>
      <c r="Q81" s="25"/>
      <c r="R81" s="169"/>
      <c r="T81" s="25" t="s">
        <v>169</v>
      </c>
      <c r="U81" s="171"/>
    </row>
    <row r="82" spans="1:21" ht="18" hidden="1">
      <c r="A82" s="21">
        <v>2022</v>
      </c>
      <c r="B82" s="21" t="s">
        <v>330</v>
      </c>
      <c r="C82" s="21" t="s">
        <v>109</v>
      </c>
      <c r="D82" s="22">
        <v>133.65</v>
      </c>
      <c r="E82" s="23">
        <v>1</v>
      </c>
      <c r="F82" s="24" t="s">
        <v>335</v>
      </c>
      <c r="G82" s="25"/>
      <c r="H82" s="25"/>
      <c r="I82" s="25"/>
      <c r="J82" s="25"/>
      <c r="K82" s="25"/>
      <c r="L82" s="25"/>
      <c r="M82" s="25"/>
      <c r="N82" s="25"/>
      <c r="O82" s="25"/>
      <c r="P82" s="25"/>
      <c r="Q82" s="25"/>
      <c r="R82" s="169"/>
      <c r="T82" s="25" t="s">
        <v>169</v>
      </c>
      <c r="U82" s="171"/>
    </row>
    <row r="83" spans="1:21" ht="18" hidden="1">
      <c r="A83" s="21">
        <v>2022</v>
      </c>
      <c r="B83" s="21" t="s">
        <v>235</v>
      </c>
      <c r="C83" s="21" t="s">
        <v>100</v>
      </c>
      <c r="D83" s="22">
        <v>127311</v>
      </c>
      <c r="E83" s="23">
        <v>1</v>
      </c>
      <c r="F83" s="24"/>
      <c r="G83" s="25"/>
      <c r="H83" s="25"/>
      <c r="I83" s="25"/>
      <c r="J83" s="25"/>
      <c r="K83" s="25"/>
      <c r="L83" s="25"/>
      <c r="M83" s="25"/>
      <c r="N83" s="25"/>
      <c r="O83" s="25">
        <v>10</v>
      </c>
      <c r="P83" s="25"/>
      <c r="Q83" s="25"/>
      <c r="R83" s="169"/>
      <c r="S83" s="46" t="s">
        <v>666</v>
      </c>
      <c r="T83" s="25" t="s">
        <v>634</v>
      </c>
      <c r="U83" s="171"/>
    </row>
    <row r="84" spans="1:21" ht="18" hidden="1">
      <c r="A84" s="21">
        <v>2022</v>
      </c>
      <c r="B84" s="21" t="s">
        <v>605</v>
      </c>
      <c r="C84" s="21" t="s">
        <v>111</v>
      </c>
      <c r="D84" s="22">
        <v>21148</v>
      </c>
      <c r="E84" s="23">
        <v>1</v>
      </c>
      <c r="F84" s="24"/>
      <c r="G84" s="25"/>
      <c r="H84" s="25"/>
      <c r="I84" s="25"/>
      <c r="J84" s="25"/>
      <c r="K84" s="25"/>
      <c r="L84" s="25"/>
      <c r="M84" s="25"/>
      <c r="N84" s="25"/>
      <c r="O84" s="25"/>
      <c r="P84" s="25"/>
      <c r="Q84" s="25"/>
      <c r="R84" s="169"/>
      <c r="T84" s="25" t="s">
        <v>169</v>
      </c>
      <c r="U84" s="172"/>
    </row>
    <row r="85" spans="1:21" ht="18" hidden="1">
      <c r="A85" s="21">
        <v>2023</v>
      </c>
      <c r="B85" s="21" t="s">
        <v>318</v>
      </c>
      <c r="C85" s="21" t="s">
        <v>109</v>
      </c>
      <c r="D85" s="22">
        <v>484</v>
      </c>
      <c r="E85" s="23">
        <v>1</v>
      </c>
      <c r="F85" s="24" t="s">
        <v>465</v>
      </c>
      <c r="G85" s="25"/>
      <c r="H85" s="25"/>
      <c r="I85" s="25"/>
      <c r="J85" s="25"/>
      <c r="K85" s="25"/>
      <c r="L85" s="25"/>
      <c r="M85" s="25"/>
      <c r="N85" s="25"/>
      <c r="O85" s="25"/>
      <c r="P85" s="25"/>
      <c r="Q85" s="25"/>
      <c r="R85" s="169"/>
      <c r="T85" s="25" t="s">
        <v>169</v>
      </c>
      <c r="U85" s="171"/>
    </row>
    <row r="86" spans="1:21" ht="18" hidden="1">
      <c r="A86" s="21">
        <v>2023</v>
      </c>
      <c r="B86" s="21" t="s">
        <v>463</v>
      </c>
      <c r="C86" s="21" t="s">
        <v>100</v>
      </c>
      <c r="D86" s="22">
        <v>352.58</v>
      </c>
      <c r="E86" s="23">
        <v>1</v>
      </c>
      <c r="F86" s="24" t="s">
        <v>464</v>
      </c>
      <c r="G86" s="25"/>
      <c r="H86" s="25"/>
      <c r="I86" s="25"/>
      <c r="J86" s="25"/>
      <c r="K86" s="25"/>
      <c r="L86" s="25"/>
      <c r="M86" s="25"/>
      <c r="N86" s="25"/>
      <c r="O86" s="25"/>
      <c r="P86" s="25"/>
      <c r="Q86" s="25"/>
      <c r="R86" s="169"/>
      <c r="T86" s="25" t="s">
        <v>169</v>
      </c>
      <c r="U86" s="171"/>
    </row>
    <row r="87" spans="1:21" ht="18" hidden="1">
      <c r="A87" s="21">
        <v>2023</v>
      </c>
      <c r="B87" s="21" t="s">
        <v>467</v>
      </c>
      <c r="C87" s="21" t="s">
        <v>89</v>
      </c>
      <c r="D87" s="22">
        <v>34241.69</v>
      </c>
      <c r="E87" s="23">
        <v>1</v>
      </c>
      <c r="F87" s="24" t="s">
        <v>485</v>
      </c>
      <c r="G87" s="25"/>
      <c r="H87" s="25"/>
      <c r="I87" s="25"/>
      <c r="J87" s="25"/>
      <c r="K87" s="25"/>
      <c r="L87" s="25"/>
      <c r="M87" s="25"/>
      <c r="N87" s="25"/>
      <c r="O87" s="25">
        <v>5</v>
      </c>
      <c r="P87" s="25"/>
      <c r="Q87" s="25"/>
      <c r="R87" s="169"/>
      <c r="S87" s="46" t="s">
        <v>666</v>
      </c>
      <c r="T87" s="25" t="s">
        <v>169</v>
      </c>
      <c r="U87" s="171"/>
    </row>
    <row r="88" spans="1:21" ht="18" hidden="1">
      <c r="A88" s="21">
        <v>2023</v>
      </c>
      <c r="B88" s="21" t="s">
        <v>468</v>
      </c>
      <c r="C88" s="21" t="s">
        <v>100</v>
      </c>
      <c r="D88" s="22">
        <v>110</v>
      </c>
      <c r="E88" s="23">
        <v>1</v>
      </c>
      <c r="F88" s="24" t="s">
        <v>486</v>
      </c>
      <c r="G88" s="25"/>
      <c r="H88" s="25"/>
      <c r="I88" s="25"/>
      <c r="J88" s="25"/>
      <c r="K88" s="25"/>
      <c r="L88" s="25"/>
      <c r="M88" s="25"/>
      <c r="N88" s="25"/>
      <c r="O88" s="25"/>
      <c r="P88" s="25"/>
      <c r="Q88" s="25"/>
      <c r="R88" s="169"/>
      <c r="T88" s="25" t="s">
        <v>169</v>
      </c>
      <c r="U88" s="171"/>
    </row>
    <row r="89" spans="1:21" ht="18" hidden="1">
      <c r="A89" s="21">
        <v>2023</v>
      </c>
      <c r="B89" s="21" t="s">
        <v>469</v>
      </c>
      <c r="C89" s="21" t="s">
        <v>100</v>
      </c>
      <c r="D89" s="22">
        <v>31590</v>
      </c>
      <c r="E89" s="23">
        <v>1</v>
      </c>
      <c r="F89" s="24" t="s">
        <v>487</v>
      </c>
      <c r="G89" s="25"/>
      <c r="H89" s="25"/>
      <c r="I89" s="25"/>
      <c r="J89" s="25"/>
      <c r="K89" s="25"/>
      <c r="L89" s="25"/>
      <c r="M89" s="25"/>
      <c r="N89" s="25"/>
      <c r="O89" s="25"/>
      <c r="P89" s="25"/>
      <c r="Q89" s="25"/>
      <c r="R89" s="169"/>
      <c r="S89" s="46" t="s">
        <v>666</v>
      </c>
      <c r="T89" s="25" t="s">
        <v>169</v>
      </c>
      <c r="U89" s="171"/>
    </row>
    <row r="90" spans="1:21" ht="18" hidden="1">
      <c r="A90" s="21">
        <v>2023</v>
      </c>
      <c r="B90" s="21" t="s">
        <v>470</v>
      </c>
      <c r="C90" s="21" t="s">
        <v>98</v>
      </c>
      <c r="D90" s="22">
        <v>2137</v>
      </c>
      <c r="E90" s="23">
        <v>1</v>
      </c>
      <c r="F90" s="24" t="s">
        <v>483</v>
      </c>
      <c r="G90" s="25"/>
      <c r="H90" s="25"/>
      <c r="I90" s="25"/>
      <c r="J90" s="25"/>
      <c r="K90" s="25"/>
      <c r="L90" s="25"/>
      <c r="M90" s="25"/>
      <c r="N90" s="25"/>
      <c r="O90" s="25"/>
      <c r="P90" s="25"/>
      <c r="Q90" s="25"/>
      <c r="R90" s="169"/>
      <c r="T90" s="25" t="s">
        <v>169</v>
      </c>
      <c r="U90" s="171"/>
    </row>
    <row r="91" spans="1:21" ht="18" hidden="1">
      <c r="A91" s="21">
        <v>2023</v>
      </c>
      <c r="B91" s="21" t="s">
        <v>471</v>
      </c>
      <c r="C91" s="21" t="s">
        <v>110</v>
      </c>
      <c r="D91" s="22">
        <v>115</v>
      </c>
      <c r="E91" s="23">
        <v>1</v>
      </c>
      <c r="F91" s="24" t="s">
        <v>488</v>
      </c>
      <c r="G91" s="25"/>
      <c r="H91" s="25"/>
      <c r="I91" s="25"/>
      <c r="J91" s="25"/>
      <c r="K91" s="25"/>
      <c r="L91" s="25"/>
      <c r="M91" s="25"/>
      <c r="N91" s="25"/>
      <c r="O91" s="25"/>
      <c r="P91" s="25"/>
      <c r="Q91" s="25"/>
      <c r="R91" s="169"/>
      <c r="T91" s="25" t="s">
        <v>169</v>
      </c>
      <c r="U91" s="171"/>
    </row>
    <row r="92" spans="1:21" ht="18" hidden="1">
      <c r="A92" s="21">
        <v>2023</v>
      </c>
      <c r="B92" s="21" t="s">
        <v>472</v>
      </c>
      <c r="C92" s="21" t="s">
        <v>111</v>
      </c>
      <c r="D92" s="22">
        <v>152.75</v>
      </c>
      <c r="E92" s="23">
        <v>1</v>
      </c>
      <c r="F92" s="24" t="s">
        <v>466</v>
      </c>
      <c r="G92" s="25"/>
      <c r="H92" s="25"/>
      <c r="I92" s="25"/>
      <c r="J92" s="25"/>
      <c r="K92" s="25"/>
      <c r="L92" s="25"/>
      <c r="M92" s="25"/>
      <c r="N92" s="25"/>
      <c r="O92" s="25"/>
      <c r="P92" s="25"/>
      <c r="Q92" s="25"/>
      <c r="R92" s="169"/>
      <c r="T92" s="25" t="s">
        <v>169</v>
      </c>
      <c r="U92" s="171"/>
    </row>
    <row r="93" spans="1:21" ht="18" hidden="1">
      <c r="A93" s="21">
        <v>2023</v>
      </c>
      <c r="B93" s="21" t="s">
        <v>473</v>
      </c>
      <c r="C93" s="21" t="s">
        <v>102</v>
      </c>
      <c r="D93" s="22">
        <v>309.5</v>
      </c>
      <c r="E93" s="23">
        <v>1</v>
      </c>
      <c r="F93" s="24" t="s">
        <v>489</v>
      </c>
      <c r="G93" s="25"/>
      <c r="H93" s="25"/>
      <c r="I93" s="25"/>
      <c r="J93" s="25"/>
      <c r="K93" s="25"/>
      <c r="L93" s="25"/>
      <c r="M93" s="25"/>
      <c r="N93" s="25"/>
      <c r="O93" s="25"/>
      <c r="P93" s="25"/>
      <c r="Q93" s="25"/>
      <c r="R93" s="169"/>
      <c r="T93" s="25" t="s">
        <v>169</v>
      </c>
      <c r="U93" s="171"/>
    </row>
    <row r="94" spans="1:21" ht="18" hidden="1">
      <c r="A94" s="21">
        <v>2023</v>
      </c>
      <c r="B94" s="21" t="s">
        <v>474</v>
      </c>
      <c r="C94" s="21" t="s">
        <v>102</v>
      </c>
      <c r="D94" s="22">
        <v>244</v>
      </c>
      <c r="E94" s="23">
        <v>1</v>
      </c>
      <c r="F94" s="24" t="s">
        <v>490</v>
      </c>
      <c r="G94" s="25"/>
      <c r="H94" s="25"/>
      <c r="I94" s="25"/>
      <c r="J94" s="25"/>
      <c r="K94" s="25"/>
      <c r="L94" s="25"/>
      <c r="M94" s="25"/>
      <c r="N94" s="25"/>
      <c r="O94" s="25"/>
      <c r="P94" s="25"/>
      <c r="Q94" s="25"/>
      <c r="R94" s="169"/>
      <c r="T94" s="25" t="s">
        <v>169</v>
      </c>
      <c r="U94" s="171"/>
    </row>
    <row r="95" spans="1:21" ht="18" hidden="1">
      <c r="A95" s="21">
        <v>2023</v>
      </c>
      <c r="B95" s="21" t="s">
        <v>475</v>
      </c>
      <c r="C95" s="21" t="s">
        <v>96</v>
      </c>
      <c r="D95" s="22">
        <v>106.68</v>
      </c>
      <c r="E95" s="23">
        <v>1</v>
      </c>
      <c r="F95" s="24" t="s">
        <v>491</v>
      </c>
      <c r="G95" s="25"/>
      <c r="H95" s="25"/>
      <c r="I95" s="25"/>
      <c r="J95" s="25"/>
      <c r="K95" s="25"/>
      <c r="L95" s="25"/>
      <c r="M95" s="25"/>
      <c r="N95" s="25"/>
      <c r="O95" s="25"/>
      <c r="P95" s="25"/>
      <c r="Q95" s="25"/>
      <c r="R95" s="169"/>
      <c r="T95" s="25" t="s">
        <v>169</v>
      </c>
      <c r="U95" s="171"/>
    </row>
    <row r="96" spans="1:21" ht="18" hidden="1">
      <c r="A96" s="21">
        <v>2023</v>
      </c>
      <c r="B96" s="21" t="s">
        <v>476</v>
      </c>
      <c r="C96" s="21" t="s">
        <v>115</v>
      </c>
      <c r="D96" s="22">
        <v>85429</v>
      </c>
      <c r="E96" s="23">
        <v>1</v>
      </c>
      <c r="F96" s="24" t="s">
        <v>492</v>
      </c>
      <c r="G96" s="25"/>
      <c r="H96" s="25"/>
      <c r="I96" s="25"/>
      <c r="J96" s="25"/>
      <c r="K96" s="25"/>
      <c r="L96" s="25"/>
      <c r="M96" s="25"/>
      <c r="N96" s="25"/>
      <c r="O96" s="25"/>
      <c r="P96" s="25"/>
      <c r="Q96" s="25"/>
      <c r="R96" s="169"/>
      <c r="T96" s="25" t="s">
        <v>169</v>
      </c>
      <c r="U96" s="171"/>
    </row>
    <row r="97" spans="1:21" ht="18" hidden="1">
      <c r="A97" s="21">
        <v>2023</v>
      </c>
      <c r="B97" s="21" t="s">
        <v>477</v>
      </c>
      <c r="C97" s="21" t="s">
        <v>89</v>
      </c>
      <c r="D97" s="22">
        <v>22167</v>
      </c>
      <c r="E97" s="23">
        <v>1</v>
      </c>
      <c r="F97" s="24" t="s">
        <v>466</v>
      </c>
      <c r="G97" s="25"/>
      <c r="H97" s="25"/>
      <c r="I97" s="25"/>
      <c r="J97" s="25"/>
      <c r="K97" s="25"/>
      <c r="L97" s="25"/>
      <c r="M97" s="25"/>
      <c r="N97" s="25"/>
      <c r="O97" s="25"/>
      <c r="P97" s="25"/>
      <c r="Q97" s="25"/>
      <c r="R97" s="169"/>
      <c r="T97" s="25" t="s">
        <v>169</v>
      </c>
      <c r="U97" s="171"/>
    </row>
    <row r="98" spans="1:21" ht="18" hidden="1">
      <c r="A98" s="21">
        <v>2023</v>
      </c>
      <c r="B98" s="21" t="s">
        <v>478</v>
      </c>
      <c r="C98" s="21" t="s">
        <v>100</v>
      </c>
      <c r="D98" s="22">
        <v>763</v>
      </c>
      <c r="E98" s="23">
        <v>1</v>
      </c>
      <c r="F98" s="24" t="s">
        <v>484</v>
      </c>
      <c r="G98" s="25"/>
      <c r="H98" s="25"/>
      <c r="I98" s="25"/>
      <c r="J98" s="25"/>
      <c r="K98" s="25"/>
      <c r="L98" s="25"/>
      <c r="M98" s="25"/>
      <c r="N98" s="25"/>
      <c r="O98" s="25"/>
      <c r="P98" s="25"/>
      <c r="Q98" s="25"/>
      <c r="R98" s="169"/>
      <c r="T98" s="25" t="s">
        <v>169</v>
      </c>
      <c r="U98" s="171"/>
    </row>
    <row r="99" spans="1:21" ht="18" hidden="1">
      <c r="A99" s="21">
        <v>2023</v>
      </c>
      <c r="B99" s="21" t="s">
        <v>479</v>
      </c>
      <c r="C99" s="21" t="s">
        <v>112</v>
      </c>
      <c r="D99" s="22">
        <v>836.7</v>
      </c>
      <c r="E99" s="23">
        <v>1</v>
      </c>
      <c r="F99" s="24" t="s">
        <v>466</v>
      </c>
      <c r="G99" s="25"/>
      <c r="H99" s="25"/>
      <c r="I99" s="25"/>
      <c r="J99" s="25"/>
      <c r="K99" s="25"/>
      <c r="L99" s="25"/>
      <c r="M99" s="25"/>
      <c r="N99" s="25"/>
      <c r="O99" s="25"/>
      <c r="P99" s="25"/>
      <c r="Q99" s="25"/>
      <c r="R99" s="169"/>
      <c r="T99" s="25" t="s">
        <v>169</v>
      </c>
      <c r="U99" s="171"/>
    </row>
    <row r="100" spans="1:21" ht="18" hidden="1">
      <c r="A100" s="21">
        <v>2023</v>
      </c>
      <c r="B100" s="21" t="s">
        <v>480</v>
      </c>
      <c r="C100" s="21" t="s">
        <v>91</v>
      </c>
      <c r="D100" s="22">
        <v>6489.65</v>
      </c>
      <c r="E100" s="23">
        <v>1</v>
      </c>
      <c r="F100" s="24" t="s">
        <v>466</v>
      </c>
      <c r="G100" s="25"/>
      <c r="H100" s="25"/>
      <c r="I100" s="25"/>
      <c r="J100" s="25"/>
      <c r="K100" s="25"/>
      <c r="L100" s="25"/>
      <c r="M100" s="25"/>
      <c r="N100" s="25"/>
      <c r="O100" s="25"/>
      <c r="P100" s="25"/>
      <c r="Q100" s="25"/>
      <c r="R100" s="169"/>
      <c r="T100" s="25" t="s">
        <v>169</v>
      </c>
      <c r="U100" s="171"/>
    </row>
    <row r="101" spans="1:21" ht="18" hidden="1">
      <c r="A101" s="21">
        <v>2023</v>
      </c>
      <c r="B101" s="21" t="s">
        <v>481</v>
      </c>
      <c r="C101" s="21" t="s">
        <v>91</v>
      </c>
      <c r="D101" s="22">
        <v>324.97000000000003</v>
      </c>
      <c r="E101" s="23">
        <v>1</v>
      </c>
      <c r="F101" s="24" t="s">
        <v>466</v>
      </c>
      <c r="G101" s="25"/>
      <c r="H101" s="25"/>
      <c r="I101" s="25"/>
      <c r="J101" s="25"/>
      <c r="K101" s="25"/>
      <c r="L101" s="25"/>
      <c r="M101" s="25"/>
      <c r="N101" s="25"/>
      <c r="O101" s="25"/>
      <c r="P101" s="25"/>
      <c r="Q101" s="25"/>
      <c r="R101" s="169"/>
      <c r="T101" s="25" t="s">
        <v>169</v>
      </c>
      <c r="U101" s="171"/>
    </row>
    <row r="102" spans="1:21" ht="18" hidden="1">
      <c r="A102" s="21">
        <v>2023</v>
      </c>
      <c r="B102" s="21" t="s">
        <v>482</v>
      </c>
      <c r="C102" s="21" t="s">
        <v>100</v>
      </c>
      <c r="D102" s="22">
        <v>24518</v>
      </c>
      <c r="E102" s="23">
        <v>1</v>
      </c>
      <c r="F102" s="24" t="s">
        <v>493</v>
      </c>
      <c r="G102" s="25"/>
      <c r="H102" s="25"/>
      <c r="I102" s="25"/>
      <c r="J102" s="25"/>
      <c r="K102" s="25"/>
      <c r="L102" s="25"/>
      <c r="M102" s="25"/>
      <c r="N102" s="25"/>
      <c r="O102" s="25">
        <v>10</v>
      </c>
      <c r="P102" s="25"/>
      <c r="Q102" s="25"/>
      <c r="R102" s="169"/>
      <c r="S102" s="46" t="s">
        <v>666</v>
      </c>
      <c r="T102" s="25" t="s">
        <v>169</v>
      </c>
      <c r="U102" s="171"/>
    </row>
    <row r="103" spans="1:21" ht="18" hidden="1">
      <c r="A103" s="21">
        <v>2024</v>
      </c>
      <c r="B103" s="21" t="s">
        <v>0</v>
      </c>
      <c r="C103" s="21" t="s">
        <v>90</v>
      </c>
      <c r="D103" s="22">
        <v>16426</v>
      </c>
      <c r="E103" s="23">
        <v>1</v>
      </c>
      <c r="F103" s="24" t="s">
        <v>136</v>
      </c>
      <c r="G103" s="25"/>
      <c r="H103" s="25"/>
      <c r="I103" s="25"/>
      <c r="J103" s="25"/>
      <c r="K103" s="25"/>
      <c r="L103" s="25"/>
      <c r="M103" s="25"/>
      <c r="N103" s="25"/>
      <c r="O103" s="25"/>
      <c r="P103" s="25"/>
      <c r="Q103" s="25"/>
      <c r="R103" s="169"/>
      <c r="T103" s="25" t="s">
        <v>169</v>
      </c>
      <c r="U103" s="173" t="s">
        <v>583</v>
      </c>
    </row>
    <row r="104" spans="1:21" ht="18" hidden="1">
      <c r="A104" s="21">
        <v>2024</v>
      </c>
      <c r="B104" s="21" t="s">
        <v>121</v>
      </c>
      <c r="C104" s="21" t="s">
        <v>100</v>
      </c>
      <c r="D104" s="22">
        <v>12917</v>
      </c>
      <c r="E104" s="23">
        <v>1</v>
      </c>
      <c r="F104" s="24" t="s">
        <v>122</v>
      </c>
      <c r="G104" s="25"/>
      <c r="H104" s="25"/>
      <c r="I104" s="25"/>
      <c r="J104" s="25"/>
      <c r="K104" s="25"/>
      <c r="L104" s="25"/>
      <c r="M104" s="25"/>
      <c r="N104" s="25"/>
      <c r="O104" s="25"/>
      <c r="P104" s="25"/>
      <c r="Q104" s="25"/>
      <c r="R104" s="169"/>
      <c r="T104" s="25" t="s">
        <v>169</v>
      </c>
      <c r="U104" s="173" t="s">
        <v>583</v>
      </c>
    </row>
    <row r="105" spans="1:21" ht="18" hidden="1">
      <c r="A105" s="21">
        <v>2024</v>
      </c>
      <c r="B105" s="21" t="s">
        <v>156</v>
      </c>
      <c r="C105" s="21" t="s">
        <v>82</v>
      </c>
      <c r="D105" s="22">
        <v>54617</v>
      </c>
      <c r="E105" s="23">
        <v>1</v>
      </c>
      <c r="F105" s="24" t="s">
        <v>311</v>
      </c>
      <c r="G105" s="25"/>
      <c r="H105" s="25"/>
      <c r="I105" s="25"/>
      <c r="J105" s="25"/>
      <c r="K105" s="25"/>
      <c r="L105" s="25"/>
      <c r="M105" s="25"/>
      <c r="N105" s="25"/>
      <c r="O105" s="25">
        <v>4</v>
      </c>
      <c r="P105" s="25"/>
      <c r="Q105" s="25"/>
      <c r="R105" s="169"/>
      <c r="S105" s="46" t="s">
        <v>666</v>
      </c>
      <c r="T105" s="25" t="s">
        <v>634</v>
      </c>
      <c r="U105" s="171"/>
    </row>
    <row r="106" spans="1:21" ht="18" hidden="1">
      <c r="A106" s="21">
        <v>2024</v>
      </c>
      <c r="B106" s="21" t="s">
        <v>153</v>
      </c>
      <c r="C106" s="21" t="s">
        <v>109</v>
      </c>
      <c r="D106" s="22">
        <v>183026</v>
      </c>
      <c r="E106" s="23">
        <v>1</v>
      </c>
      <c r="F106" s="24" t="s">
        <v>288</v>
      </c>
      <c r="G106" s="25"/>
      <c r="H106" s="25"/>
      <c r="I106" s="25"/>
      <c r="J106" s="25"/>
      <c r="K106" s="25"/>
      <c r="L106" s="25"/>
      <c r="M106" s="25">
        <v>7</v>
      </c>
      <c r="N106" s="25"/>
      <c r="O106" s="25">
        <v>10</v>
      </c>
      <c r="P106" s="25"/>
      <c r="Q106" s="25"/>
      <c r="R106" s="169"/>
      <c r="S106" s="46" t="s">
        <v>665</v>
      </c>
      <c r="T106" s="25" t="s">
        <v>634</v>
      </c>
      <c r="U106" s="171"/>
    </row>
    <row r="107" spans="1:21" ht="18" hidden="1">
      <c r="A107" s="21">
        <v>2024</v>
      </c>
      <c r="B107" s="21" t="s">
        <v>137</v>
      </c>
      <c r="C107" s="21" t="s">
        <v>99</v>
      </c>
      <c r="D107" s="22">
        <v>5758</v>
      </c>
      <c r="E107" s="23">
        <v>1</v>
      </c>
      <c r="F107" s="24" t="s">
        <v>289</v>
      </c>
      <c r="G107" s="25"/>
      <c r="H107" s="25"/>
      <c r="I107" s="25"/>
      <c r="J107" s="25"/>
      <c r="K107" s="25"/>
      <c r="L107" s="25"/>
      <c r="M107" s="25"/>
      <c r="N107" s="25"/>
      <c r="O107" s="25"/>
      <c r="P107" s="25"/>
      <c r="Q107" s="25"/>
      <c r="R107" s="169"/>
      <c r="T107" s="25" t="s">
        <v>169</v>
      </c>
      <c r="U107" s="171" t="s">
        <v>582</v>
      </c>
    </row>
    <row r="108" spans="1:21" ht="18" hidden="1">
      <c r="A108" s="21">
        <v>2024</v>
      </c>
      <c r="B108" s="21" t="s">
        <v>157</v>
      </c>
      <c r="C108" s="21" t="s">
        <v>88</v>
      </c>
      <c r="D108" s="22">
        <v>219</v>
      </c>
      <c r="E108" s="23">
        <v>1</v>
      </c>
      <c r="F108" s="24" t="s">
        <v>290</v>
      </c>
      <c r="G108" s="25"/>
      <c r="H108" s="25"/>
      <c r="I108" s="25"/>
      <c r="J108" s="25"/>
      <c r="K108" s="25"/>
      <c r="L108" s="25"/>
      <c r="M108" s="25"/>
      <c r="N108" s="25"/>
      <c r="O108" s="25">
        <v>3</v>
      </c>
      <c r="P108" s="25"/>
      <c r="Q108" s="25"/>
      <c r="R108" s="169"/>
      <c r="T108" s="25" t="s">
        <v>634</v>
      </c>
      <c r="U108" s="171"/>
    </row>
    <row r="109" spans="1:21" ht="18" hidden="1">
      <c r="A109" s="21">
        <v>2024</v>
      </c>
      <c r="B109" s="21" t="s">
        <v>154</v>
      </c>
      <c r="C109" s="21" t="s">
        <v>98</v>
      </c>
      <c r="D109" s="22">
        <v>3822</v>
      </c>
      <c r="E109" s="23">
        <v>1</v>
      </c>
      <c r="F109" s="24" t="s">
        <v>291</v>
      </c>
      <c r="G109" s="25"/>
      <c r="H109" s="25"/>
      <c r="I109" s="25"/>
      <c r="J109" s="25"/>
      <c r="K109" s="25"/>
      <c r="L109" s="25"/>
      <c r="M109" s="25">
        <v>8</v>
      </c>
      <c r="N109" s="25"/>
      <c r="O109" s="25">
        <v>22</v>
      </c>
      <c r="P109" s="25"/>
      <c r="Q109" s="25"/>
      <c r="R109" s="169"/>
      <c r="T109" s="25" t="s">
        <v>634</v>
      </c>
      <c r="U109" s="171"/>
    </row>
    <row r="110" spans="1:21" ht="18" hidden="1">
      <c r="A110" s="21">
        <v>2024</v>
      </c>
      <c r="B110" s="21" t="s">
        <v>149</v>
      </c>
      <c r="C110" s="21" t="s">
        <v>103</v>
      </c>
      <c r="D110" s="22">
        <v>133490</v>
      </c>
      <c r="E110" s="23">
        <v>1</v>
      </c>
      <c r="F110" s="24" t="s">
        <v>314</v>
      </c>
      <c r="G110" s="25"/>
      <c r="H110" s="25"/>
      <c r="I110" s="25"/>
      <c r="J110" s="25"/>
      <c r="K110" s="25"/>
      <c r="L110" s="25"/>
      <c r="M110" s="25">
        <v>2</v>
      </c>
      <c r="N110" s="25"/>
      <c r="O110" s="25">
        <v>5</v>
      </c>
      <c r="P110" s="25"/>
      <c r="Q110" s="25"/>
      <c r="R110" s="169"/>
      <c r="S110" s="46" t="s">
        <v>666</v>
      </c>
      <c r="T110" s="25" t="s">
        <v>634</v>
      </c>
      <c r="U110" s="171"/>
    </row>
    <row r="111" spans="1:21" ht="18" hidden="1">
      <c r="A111" s="21">
        <v>2024</v>
      </c>
      <c r="B111" s="21" t="s">
        <v>158</v>
      </c>
      <c r="C111" s="21" t="s">
        <v>88</v>
      </c>
      <c r="D111" s="22">
        <v>86968</v>
      </c>
      <c r="E111" s="23">
        <v>1</v>
      </c>
      <c r="F111" s="24" t="s">
        <v>315</v>
      </c>
      <c r="G111" s="25"/>
      <c r="H111" s="25"/>
      <c r="I111" s="25"/>
      <c r="J111" s="25"/>
      <c r="K111" s="25"/>
      <c r="L111" s="25"/>
      <c r="M111" s="25"/>
      <c r="N111" s="25">
        <v>1</v>
      </c>
      <c r="O111" s="25">
        <v>1</v>
      </c>
      <c r="P111" s="25"/>
      <c r="Q111" s="25"/>
      <c r="R111" s="169"/>
      <c r="T111" s="25" t="s">
        <v>634</v>
      </c>
      <c r="U111" s="171"/>
    </row>
    <row r="112" spans="1:21" ht="18" hidden="1">
      <c r="A112" s="21">
        <v>2024</v>
      </c>
      <c r="B112" s="21" t="s">
        <v>159</v>
      </c>
      <c r="C112" s="21" t="s">
        <v>91</v>
      </c>
      <c r="D112" s="22">
        <v>4149</v>
      </c>
      <c r="E112" s="23">
        <v>1</v>
      </c>
      <c r="F112" s="24" t="s">
        <v>292</v>
      </c>
      <c r="G112" s="25"/>
      <c r="H112" s="25"/>
      <c r="I112" s="25"/>
      <c r="J112" s="25"/>
      <c r="K112" s="25"/>
      <c r="L112" s="25"/>
      <c r="M112" s="25"/>
      <c r="N112" s="25"/>
      <c r="O112" s="25">
        <v>2</v>
      </c>
      <c r="P112" s="25"/>
      <c r="Q112" s="25"/>
      <c r="R112" s="169"/>
      <c r="T112" s="25" t="s">
        <v>634</v>
      </c>
      <c r="U112" s="171"/>
    </row>
    <row r="113" spans="1:21" ht="18" hidden="1">
      <c r="A113" s="21">
        <v>2024</v>
      </c>
      <c r="B113" s="21" t="s">
        <v>148</v>
      </c>
      <c r="C113" s="21" t="s">
        <v>91</v>
      </c>
      <c r="D113" s="22">
        <v>1970</v>
      </c>
      <c r="E113" s="23">
        <v>1</v>
      </c>
      <c r="F113" s="24" t="s">
        <v>293</v>
      </c>
      <c r="G113" s="25"/>
      <c r="H113" s="25"/>
      <c r="I113" s="25"/>
      <c r="J113" s="25"/>
      <c r="K113" s="25"/>
      <c r="L113" s="25"/>
      <c r="M113" s="25">
        <v>1</v>
      </c>
      <c r="N113" s="25"/>
      <c r="O113" s="25">
        <v>3</v>
      </c>
      <c r="P113" s="25"/>
      <c r="Q113" s="25"/>
      <c r="R113" s="169"/>
      <c r="T113" s="25" t="s">
        <v>634</v>
      </c>
      <c r="U113" s="171"/>
    </row>
    <row r="114" spans="1:21" ht="18" hidden="1">
      <c r="A114" s="21">
        <v>2024</v>
      </c>
      <c r="B114" s="21" t="s">
        <v>152</v>
      </c>
      <c r="C114" s="21" t="s">
        <v>82</v>
      </c>
      <c r="D114" s="22">
        <v>294265</v>
      </c>
      <c r="E114" s="23">
        <v>1</v>
      </c>
      <c r="F114" s="24" t="s">
        <v>294</v>
      </c>
      <c r="G114" s="25"/>
      <c r="H114" s="25"/>
      <c r="I114" s="25"/>
      <c r="J114" s="25"/>
      <c r="K114" s="25"/>
      <c r="L114" s="25"/>
      <c r="M114" s="25">
        <v>4</v>
      </c>
      <c r="N114" s="25"/>
      <c r="O114" s="25">
        <v>19</v>
      </c>
      <c r="P114" s="25"/>
      <c r="Q114" s="25"/>
      <c r="R114" s="169"/>
      <c r="S114" s="46" t="s">
        <v>666</v>
      </c>
      <c r="T114" s="25" t="s">
        <v>634</v>
      </c>
      <c r="U114" s="171"/>
    </row>
    <row r="115" spans="1:21" ht="18" hidden="1">
      <c r="A115" s="21">
        <v>2024</v>
      </c>
      <c r="B115" s="21" t="s">
        <v>160</v>
      </c>
      <c r="C115" s="21" t="s">
        <v>112</v>
      </c>
      <c r="D115" s="22">
        <v>5176</v>
      </c>
      <c r="E115" s="23">
        <v>1</v>
      </c>
      <c r="F115" s="24" t="s">
        <v>295</v>
      </c>
      <c r="G115" s="25"/>
      <c r="H115" s="25"/>
      <c r="I115" s="25"/>
      <c r="J115" s="25"/>
      <c r="K115" s="25"/>
      <c r="L115" s="25"/>
      <c r="M115" s="25"/>
      <c r="N115" s="25"/>
      <c r="O115" s="25">
        <v>7</v>
      </c>
      <c r="P115" s="25"/>
      <c r="Q115" s="25"/>
      <c r="R115" s="169"/>
      <c r="T115" s="25" t="s">
        <v>634</v>
      </c>
      <c r="U115" s="171"/>
    </row>
    <row r="116" spans="1:21" ht="18" hidden="1">
      <c r="A116" s="21">
        <v>2024</v>
      </c>
      <c r="B116" s="21" t="s">
        <v>155</v>
      </c>
      <c r="C116" s="21" t="s">
        <v>94</v>
      </c>
      <c r="D116" s="22">
        <v>151689</v>
      </c>
      <c r="E116" s="23">
        <v>1</v>
      </c>
      <c r="F116" s="24" t="s">
        <v>296</v>
      </c>
      <c r="G116" s="25"/>
      <c r="H116" s="25"/>
      <c r="I116" s="25"/>
      <c r="J116" s="25"/>
      <c r="K116" s="25"/>
      <c r="L116" s="25"/>
      <c r="M116" s="25">
        <v>13</v>
      </c>
      <c r="N116" s="25"/>
      <c r="O116" s="25">
        <v>15</v>
      </c>
      <c r="P116" s="25"/>
      <c r="Q116" s="25">
        <v>1</v>
      </c>
      <c r="R116" s="169"/>
      <c r="S116" s="46" t="s">
        <v>666</v>
      </c>
      <c r="T116" s="25" t="s">
        <v>634</v>
      </c>
      <c r="U116" s="171" t="s">
        <v>639</v>
      </c>
    </row>
    <row r="117" spans="1:21" ht="18" hidden="1">
      <c r="A117" s="21">
        <v>2024</v>
      </c>
      <c r="B117" s="21" t="s">
        <v>161</v>
      </c>
      <c r="C117" s="21" t="s">
        <v>99</v>
      </c>
      <c r="D117" s="22">
        <v>9462</v>
      </c>
      <c r="E117" s="23">
        <v>1</v>
      </c>
      <c r="F117" s="24" t="s">
        <v>297</v>
      </c>
      <c r="G117" s="25"/>
      <c r="H117" s="25"/>
      <c r="I117" s="25"/>
      <c r="J117" s="25"/>
      <c r="K117" s="25"/>
      <c r="L117" s="25"/>
      <c r="M117" s="25"/>
      <c r="N117" s="25">
        <v>1</v>
      </c>
      <c r="O117" s="25"/>
      <c r="P117" s="25"/>
      <c r="Q117" s="25"/>
      <c r="R117" s="169"/>
      <c r="T117" s="25" t="s">
        <v>634</v>
      </c>
      <c r="U117" s="171"/>
    </row>
    <row r="118" spans="1:21" ht="18" hidden="1">
      <c r="A118" s="21">
        <v>2024</v>
      </c>
      <c r="B118" s="21" t="s">
        <v>162</v>
      </c>
      <c r="C118" s="21" t="s">
        <v>98</v>
      </c>
      <c r="D118" s="22">
        <v>1551</v>
      </c>
      <c r="E118" s="23">
        <v>1</v>
      </c>
      <c r="F118" s="24" t="s">
        <v>298</v>
      </c>
      <c r="G118" s="25"/>
      <c r="H118" s="25"/>
      <c r="I118" s="25"/>
      <c r="J118" s="25"/>
      <c r="K118" s="25"/>
      <c r="L118" s="25"/>
      <c r="M118" s="25"/>
      <c r="N118" s="25"/>
      <c r="O118" s="25">
        <v>2</v>
      </c>
      <c r="P118" s="25"/>
      <c r="Q118" s="25"/>
      <c r="R118" s="169"/>
      <c r="T118" s="25" t="s">
        <v>634</v>
      </c>
      <c r="U118" s="171"/>
    </row>
    <row r="119" spans="1:21" ht="18" hidden="1">
      <c r="A119" s="21">
        <v>2024</v>
      </c>
      <c r="B119" s="21" t="s">
        <v>163</v>
      </c>
      <c r="C119" s="21" t="s">
        <v>112</v>
      </c>
      <c r="D119" s="22">
        <v>18286</v>
      </c>
      <c r="E119" s="23">
        <v>1</v>
      </c>
      <c r="F119" s="24" t="s">
        <v>299</v>
      </c>
      <c r="G119" s="25"/>
      <c r="H119" s="25"/>
      <c r="I119" s="25"/>
      <c r="J119" s="25"/>
      <c r="K119" s="25"/>
      <c r="L119" s="25"/>
      <c r="M119" s="25"/>
      <c r="N119" s="25"/>
      <c r="O119" s="25">
        <v>6</v>
      </c>
      <c r="P119" s="25"/>
      <c r="Q119" s="25"/>
      <c r="R119" s="169"/>
      <c r="T119" s="25" t="s">
        <v>634</v>
      </c>
      <c r="U119" s="171"/>
    </row>
    <row r="120" spans="1:21" ht="18" hidden="1">
      <c r="A120" s="21">
        <v>2024</v>
      </c>
      <c r="B120" s="21" t="s">
        <v>151</v>
      </c>
      <c r="C120" s="21" t="s">
        <v>92</v>
      </c>
      <c r="D120" s="22">
        <v>137222</v>
      </c>
      <c r="E120" s="23">
        <v>1</v>
      </c>
      <c r="F120" s="24" t="s">
        <v>300</v>
      </c>
      <c r="G120" s="25"/>
      <c r="H120" s="25"/>
      <c r="I120" s="25"/>
      <c r="J120" s="25"/>
      <c r="K120" s="25"/>
      <c r="L120" s="25"/>
      <c r="M120" s="25">
        <v>3</v>
      </c>
      <c r="N120" s="25"/>
      <c r="O120" s="25">
        <v>9</v>
      </c>
      <c r="P120" s="25"/>
      <c r="Q120" s="25"/>
      <c r="R120" s="169"/>
      <c r="S120" s="46" t="s">
        <v>666</v>
      </c>
      <c r="T120" s="25" t="s">
        <v>634</v>
      </c>
      <c r="U120" s="171"/>
    </row>
    <row r="121" spans="1:21" ht="18" hidden="1">
      <c r="A121" s="21">
        <v>2024</v>
      </c>
      <c r="B121" s="21" t="s">
        <v>164</v>
      </c>
      <c r="C121" s="21" t="s">
        <v>112</v>
      </c>
      <c r="D121" s="22">
        <v>15170</v>
      </c>
      <c r="E121" s="23">
        <v>1</v>
      </c>
      <c r="F121" s="24" t="s">
        <v>207</v>
      </c>
      <c r="G121" s="25"/>
      <c r="H121" s="25"/>
      <c r="I121" s="25"/>
      <c r="J121" s="25"/>
      <c r="K121" s="25"/>
      <c r="L121" s="25"/>
      <c r="M121" s="25"/>
      <c r="N121" s="25"/>
      <c r="O121" s="25">
        <v>2</v>
      </c>
      <c r="P121" s="25"/>
      <c r="Q121" s="25"/>
      <c r="R121" s="169"/>
      <c r="T121" s="25" t="s">
        <v>634</v>
      </c>
      <c r="U121" s="171"/>
    </row>
    <row r="122" spans="1:21" ht="18" hidden="1">
      <c r="A122" s="21">
        <v>2024</v>
      </c>
      <c r="B122" s="21" t="s">
        <v>124</v>
      </c>
      <c r="C122" s="21" t="s">
        <v>93</v>
      </c>
      <c r="D122" s="22">
        <v>176661</v>
      </c>
      <c r="E122" s="23">
        <v>1</v>
      </c>
      <c r="F122" s="24" t="s">
        <v>125</v>
      </c>
      <c r="G122" s="25"/>
      <c r="H122" s="25"/>
      <c r="I122" s="25"/>
      <c r="J122" s="25"/>
      <c r="K122" s="25"/>
      <c r="L122" s="25"/>
      <c r="M122" s="25">
        <v>2</v>
      </c>
      <c r="N122" s="25"/>
      <c r="O122" s="25">
        <v>6</v>
      </c>
      <c r="P122" s="25"/>
      <c r="Q122" s="25"/>
      <c r="R122" s="169"/>
      <c r="T122" s="25" t="s">
        <v>634</v>
      </c>
      <c r="U122" s="171" t="s">
        <v>577</v>
      </c>
    </row>
    <row r="123" spans="1:21" ht="18" hidden="1">
      <c r="A123" s="21">
        <v>2024</v>
      </c>
      <c r="B123" s="21" t="s">
        <v>150</v>
      </c>
      <c r="C123" s="21" t="s">
        <v>82</v>
      </c>
      <c r="D123" s="22">
        <v>18234</v>
      </c>
      <c r="E123" s="23">
        <v>1</v>
      </c>
      <c r="F123" s="24" t="s">
        <v>301</v>
      </c>
      <c r="G123" s="25"/>
      <c r="H123" s="25"/>
      <c r="I123" s="25"/>
      <c r="J123" s="25"/>
      <c r="K123" s="25"/>
      <c r="L123" s="25"/>
      <c r="M123" s="25">
        <v>2</v>
      </c>
      <c r="N123" s="25"/>
      <c r="O123" s="25">
        <v>13</v>
      </c>
      <c r="P123" s="25"/>
      <c r="Q123" s="25"/>
      <c r="R123" s="169"/>
      <c r="T123" s="25" t="s">
        <v>634</v>
      </c>
      <c r="U123" s="171"/>
    </row>
    <row r="124" spans="1:21" ht="18" hidden="1">
      <c r="A124" s="21">
        <v>2024</v>
      </c>
      <c r="B124" s="21" t="s">
        <v>141</v>
      </c>
      <c r="C124" s="21" t="s">
        <v>88</v>
      </c>
      <c r="D124" s="22">
        <v>30186</v>
      </c>
      <c r="E124" s="23">
        <v>1</v>
      </c>
      <c r="F124" s="24" t="s">
        <v>304</v>
      </c>
      <c r="G124" s="25"/>
      <c r="H124" s="25"/>
      <c r="I124" s="25"/>
      <c r="J124" s="25"/>
      <c r="K124" s="25"/>
      <c r="L124" s="25"/>
      <c r="M124" s="25"/>
      <c r="N124" s="25"/>
      <c r="O124" s="25"/>
      <c r="P124" s="25"/>
      <c r="Q124" s="25"/>
      <c r="R124" s="169"/>
      <c r="T124" s="25" t="s">
        <v>634</v>
      </c>
      <c r="U124" s="171"/>
    </row>
    <row r="125" spans="1:21" ht="18" hidden="1">
      <c r="A125" s="21">
        <v>2024</v>
      </c>
      <c r="B125" s="21" t="s">
        <v>165</v>
      </c>
      <c r="C125" s="21" t="s">
        <v>109</v>
      </c>
      <c r="D125" s="22">
        <v>752</v>
      </c>
      <c r="E125" s="23">
        <v>1</v>
      </c>
      <c r="F125" s="24" t="s">
        <v>302</v>
      </c>
      <c r="G125" s="25"/>
      <c r="H125" s="25"/>
      <c r="I125" s="25"/>
      <c r="J125" s="25"/>
      <c r="K125" s="25"/>
      <c r="L125" s="25"/>
      <c r="M125" s="25"/>
      <c r="N125" s="25"/>
      <c r="O125" s="25">
        <v>1</v>
      </c>
      <c r="P125" s="25"/>
      <c r="Q125" s="25"/>
      <c r="R125" s="169"/>
      <c r="T125" s="25" t="s">
        <v>634</v>
      </c>
      <c r="U125" s="171"/>
    </row>
    <row r="126" spans="1:21" ht="18" hidden="1">
      <c r="A126" s="21">
        <v>2024</v>
      </c>
      <c r="B126" s="21" t="s">
        <v>224</v>
      </c>
      <c r="C126" s="21" t="s">
        <v>112</v>
      </c>
      <c r="D126" s="22">
        <v>631</v>
      </c>
      <c r="E126" s="23">
        <v>1</v>
      </c>
      <c r="F126" s="24" t="s">
        <v>225</v>
      </c>
      <c r="G126" s="25"/>
      <c r="H126" s="25"/>
      <c r="I126" s="25"/>
      <c r="J126" s="25"/>
      <c r="K126" s="25"/>
      <c r="L126" s="25"/>
      <c r="M126" s="25"/>
      <c r="N126" s="25"/>
      <c r="O126" s="25"/>
      <c r="P126" s="25"/>
      <c r="Q126" s="25"/>
      <c r="R126" s="169"/>
      <c r="T126" s="25" t="s">
        <v>169</v>
      </c>
      <c r="U126" s="171"/>
    </row>
    <row r="127" spans="1:21" ht="18" hidden="1">
      <c r="A127" s="21">
        <v>2024</v>
      </c>
      <c r="B127" s="21" t="s">
        <v>280</v>
      </c>
      <c r="C127" s="21" t="s">
        <v>82</v>
      </c>
      <c r="D127" s="22">
        <v>544</v>
      </c>
      <c r="E127" s="23">
        <v>1</v>
      </c>
      <c r="F127" s="24" t="s">
        <v>281</v>
      </c>
      <c r="G127" s="25"/>
      <c r="H127" s="25"/>
      <c r="I127" s="25"/>
      <c r="J127" s="25"/>
      <c r="K127" s="25"/>
      <c r="L127" s="25"/>
      <c r="M127" s="25"/>
      <c r="N127" s="25"/>
      <c r="O127" s="25"/>
      <c r="P127" s="25"/>
      <c r="Q127" s="25"/>
      <c r="R127" s="169"/>
      <c r="T127" s="25" t="s">
        <v>169</v>
      </c>
      <c r="U127" s="171"/>
    </row>
    <row r="128" spans="1:21" ht="18" hidden="1">
      <c r="A128" s="21">
        <v>2024</v>
      </c>
      <c r="B128" s="21" t="s">
        <v>138</v>
      </c>
      <c r="C128" s="21" t="s">
        <v>104</v>
      </c>
      <c r="D128" s="22">
        <v>199</v>
      </c>
      <c r="E128" s="23">
        <v>1</v>
      </c>
      <c r="F128" s="24" t="s">
        <v>303</v>
      </c>
      <c r="G128" s="25"/>
      <c r="H128" s="25"/>
      <c r="I128" s="25"/>
      <c r="J128" s="25"/>
      <c r="K128" s="25"/>
      <c r="L128" s="25"/>
      <c r="M128" s="25"/>
      <c r="N128" s="25"/>
      <c r="O128" s="25"/>
      <c r="P128" s="25"/>
      <c r="Q128" s="25"/>
      <c r="R128" s="169"/>
      <c r="T128" s="25" t="s">
        <v>169</v>
      </c>
      <c r="U128" s="171"/>
    </row>
    <row r="129" spans="1:21" ht="18" hidden="1">
      <c r="A129" s="21">
        <v>2024</v>
      </c>
      <c r="B129" s="21" t="s">
        <v>192</v>
      </c>
      <c r="C129" s="21" t="s">
        <v>87</v>
      </c>
      <c r="D129" s="22">
        <v>206</v>
      </c>
      <c r="E129" s="23">
        <v>1</v>
      </c>
      <c r="F129" s="24" t="s">
        <v>193</v>
      </c>
      <c r="G129" s="25"/>
      <c r="H129" s="25"/>
      <c r="I129" s="25"/>
      <c r="J129" s="25"/>
      <c r="K129" s="25"/>
      <c r="L129" s="25"/>
      <c r="M129" s="25"/>
      <c r="N129" s="25"/>
      <c r="O129" s="25"/>
      <c r="P129" s="25"/>
      <c r="Q129" s="25"/>
      <c r="R129" s="169"/>
      <c r="T129" s="25" t="s">
        <v>169</v>
      </c>
      <c r="U129" s="171"/>
    </row>
    <row r="130" spans="1:21" ht="18" hidden="1">
      <c r="A130" s="21">
        <v>2024</v>
      </c>
      <c r="B130" s="21" t="s">
        <v>214</v>
      </c>
      <c r="C130" s="21" t="s">
        <v>82</v>
      </c>
      <c r="D130" s="22">
        <v>115</v>
      </c>
      <c r="E130" s="23">
        <v>1</v>
      </c>
      <c r="F130" s="24" t="s">
        <v>215</v>
      </c>
      <c r="G130" s="25"/>
      <c r="H130" s="25"/>
      <c r="I130" s="25"/>
      <c r="J130" s="25"/>
      <c r="K130" s="25"/>
      <c r="L130" s="25"/>
      <c r="M130" s="25"/>
      <c r="N130" s="25"/>
      <c r="O130" s="25"/>
      <c r="P130" s="25"/>
      <c r="Q130" s="25"/>
      <c r="R130" s="169"/>
      <c r="T130" s="25" t="s">
        <v>169</v>
      </c>
      <c r="U130" s="171"/>
    </row>
    <row r="131" spans="1:21" ht="18" hidden="1">
      <c r="A131" s="21">
        <v>2024</v>
      </c>
      <c r="B131" s="21" t="s">
        <v>282</v>
      </c>
      <c r="C131" s="21" t="s">
        <v>103</v>
      </c>
      <c r="D131" s="22">
        <v>5771</v>
      </c>
      <c r="E131" s="23">
        <v>1</v>
      </c>
      <c r="F131" s="24" t="s">
        <v>283</v>
      </c>
      <c r="G131" s="25"/>
      <c r="H131" s="25"/>
      <c r="I131" s="25"/>
      <c r="J131" s="25"/>
      <c r="K131" s="25"/>
      <c r="L131" s="25"/>
      <c r="M131" s="25"/>
      <c r="N131" s="25"/>
      <c r="O131" s="25"/>
      <c r="P131" s="25"/>
      <c r="Q131" s="25"/>
      <c r="R131" s="169"/>
      <c r="T131" s="25" t="s">
        <v>169</v>
      </c>
      <c r="U131" s="171"/>
    </row>
    <row r="132" spans="1:21" ht="18" hidden="1">
      <c r="A132" s="21">
        <v>2024</v>
      </c>
      <c r="B132" s="21" t="s">
        <v>195</v>
      </c>
      <c r="C132" s="21" t="s">
        <v>99</v>
      </c>
      <c r="D132" s="22">
        <v>2853</v>
      </c>
      <c r="E132" s="23">
        <v>1</v>
      </c>
      <c r="F132" s="24" t="s">
        <v>196</v>
      </c>
      <c r="G132" s="25"/>
      <c r="H132" s="25"/>
      <c r="I132" s="25"/>
      <c r="J132" s="25"/>
      <c r="K132" s="25"/>
      <c r="L132" s="25"/>
      <c r="M132" s="25"/>
      <c r="N132" s="25"/>
      <c r="O132" s="25"/>
      <c r="P132" s="25"/>
      <c r="Q132" s="25"/>
      <c r="R132" s="169"/>
      <c r="T132" s="25" t="s">
        <v>169</v>
      </c>
      <c r="U132" s="171"/>
    </row>
    <row r="133" spans="1:21" ht="18" hidden="1">
      <c r="A133" s="21">
        <v>2024</v>
      </c>
      <c r="B133" s="21" t="s">
        <v>208</v>
      </c>
      <c r="C133" s="21" t="s">
        <v>103</v>
      </c>
      <c r="D133" s="22">
        <v>312</v>
      </c>
      <c r="E133" s="23">
        <v>1</v>
      </c>
      <c r="F133" s="24" t="s">
        <v>209</v>
      </c>
      <c r="G133" s="25"/>
      <c r="H133" s="25"/>
      <c r="I133" s="25"/>
      <c r="J133" s="25"/>
      <c r="K133" s="25"/>
      <c r="L133" s="25"/>
      <c r="M133" s="25"/>
      <c r="N133" s="25"/>
      <c r="O133" s="25"/>
      <c r="P133" s="25"/>
      <c r="Q133" s="25"/>
      <c r="R133" s="169"/>
      <c r="T133" s="25" t="s">
        <v>169</v>
      </c>
      <c r="U133" s="171"/>
    </row>
    <row r="134" spans="1:21" ht="18" hidden="1">
      <c r="A134" s="21">
        <v>2024</v>
      </c>
      <c r="B134" s="21" t="s">
        <v>247</v>
      </c>
      <c r="C134" s="21" t="s">
        <v>88</v>
      </c>
      <c r="D134" s="22">
        <v>1581</v>
      </c>
      <c r="E134" s="23">
        <v>1</v>
      </c>
      <c r="F134" s="24" t="s">
        <v>248</v>
      </c>
      <c r="G134" s="25"/>
      <c r="H134" s="25"/>
      <c r="I134" s="25"/>
      <c r="J134" s="25"/>
      <c r="K134" s="25"/>
      <c r="L134" s="25"/>
      <c r="M134" s="25"/>
      <c r="N134" s="25"/>
      <c r="O134" s="25"/>
      <c r="P134" s="25"/>
      <c r="Q134" s="25"/>
      <c r="R134" s="169"/>
      <c r="T134" s="25" t="s">
        <v>169</v>
      </c>
      <c r="U134" s="171"/>
    </row>
    <row r="135" spans="1:21" ht="18" hidden="1">
      <c r="A135" s="21">
        <v>2024</v>
      </c>
      <c r="B135" s="21" t="s">
        <v>235</v>
      </c>
      <c r="C135" s="21" t="s">
        <v>103</v>
      </c>
      <c r="D135" s="22">
        <v>1546</v>
      </c>
      <c r="E135" s="23">
        <v>1</v>
      </c>
      <c r="F135" s="24" t="s">
        <v>236</v>
      </c>
      <c r="G135" s="25"/>
      <c r="H135" s="25"/>
      <c r="I135" s="25"/>
      <c r="J135" s="25"/>
      <c r="K135" s="25"/>
      <c r="L135" s="25"/>
      <c r="M135" s="25"/>
      <c r="N135" s="25"/>
      <c r="O135" s="25"/>
      <c r="P135" s="25"/>
      <c r="Q135" s="25"/>
      <c r="R135" s="169"/>
      <c r="T135" s="25" t="s">
        <v>169</v>
      </c>
      <c r="U135" s="171"/>
    </row>
    <row r="136" spans="1:21" ht="18" hidden="1">
      <c r="A136" s="21">
        <v>2024</v>
      </c>
      <c r="B136" s="21" t="s">
        <v>228</v>
      </c>
      <c r="C136" s="21" t="s">
        <v>111</v>
      </c>
      <c r="D136" s="22">
        <v>1108</v>
      </c>
      <c r="E136" s="23">
        <v>1</v>
      </c>
      <c r="F136" s="24" t="s">
        <v>229</v>
      </c>
      <c r="G136" s="25"/>
      <c r="H136" s="25"/>
      <c r="I136" s="25"/>
      <c r="J136" s="25"/>
      <c r="K136" s="25"/>
      <c r="L136" s="25"/>
      <c r="M136" s="25"/>
      <c r="N136" s="25"/>
      <c r="O136" s="25"/>
      <c r="P136" s="25"/>
      <c r="Q136" s="25"/>
      <c r="R136" s="169"/>
      <c r="T136" s="25" t="s">
        <v>169</v>
      </c>
      <c r="U136" s="171"/>
    </row>
    <row r="137" spans="1:21" ht="18" hidden="1">
      <c r="A137" s="21">
        <v>2024</v>
      </c>
      <c r="B137" s="21" t="s">
        <v>256</v>
      </c>
      <c r="C137" s="21" t="s">
        <v>93</v>
      </c>
      <c r="D137" s="22">
        <v>20019</v>
      </c>
      <c r="E137" s="23">
        <v>1</v>
      </c>
      <c r="F137" s="24" t="s">
        <v>257</v>
      </c>
      <c r="G137" s="25"/>
      <c r="H137" s="25"/>
      <c r="I137" s="25"/>
      <c r="J137" s="25"/>
      <c r="K137" s="25"/>
      <c r="L137" s="25"/>
      <c r="M137" s="25"/>
      <c r="N137" s="25"/>
      <c r="O137" s="25"/>
      <c r="P137" s="25"/>
      <c r="Q137" s="25"/>
      <c r="R137" s="169"/>
      <c r="T137" s="25" t="s">
        <v>169</v>
      </c>
      <c r="U137" s="171"/>
    </row>
    <row r="138" spans="1:21" ht="18" hidden="1">
      <c r="A138" s="21">
        <v>2024</v>
      </c>
      <c r="B138" s="21" t="s">
        <v>230</v>
      </c>
      <c r="C138" s="21" t="s">
        <v>103</v>
      </c>
      <c r="D138" s="22">
        <v>411</v>
      </c>
      <c r="E138" s="23">
        <v>1</v>
      </c>
      <c r="F138" s="24" t="s">
        <v>231</v>
      </c>
      <c r="G138" s="25"/>
      <c r="H138" s="25"/>
      <c r="I138" s="25"/>
      <c r="J138" s="25"/>
      <c r="K138" s="25"/>
      <c r="L138" s="25"/>
      <c r="M138" s="25"/>
      <c r="N138" s="25"/>
      <c r="O138" s="25"/>
      <c r="P138" s="25"/>
      <c r="Q138" s="25"/>
      <c r="R138" s="169"/>
      <c r="T138" s="25" t="s">
        <v>169</v>
      </c>
      <c r="U138" s="171"/>
    </row>
    <row r="139" spans="1:21" ht="18" hidden="1">
      <c r="A139" s="21">
        <v>2024</v>
      </c>
      <c r="B139" s="21" t="s">
        <v>119</v>
      </c>
      <c r="C139" s="21" t="s">
        <v>91</v>
      </c>
      <c r="D139" s="22">
        <v>11142</v>
      </c>
      <c r="E139" s="23">
        <v>1</v>
      </c>
      <c r="F139" s="24" t="s">
        <v>120</v>
      </c>
      <c r="G139" s="25"/>
      <c r="H139" s="25"/>
      <c r="I139" s="25"/>
      <c r="J139" s="25"/>
      <c r="K139" s="25"/>
      <c r="L139" s="25"/>
      <c r="M139" s="25"/>
      <c r="N139" s="25"/>
      <c r="O139" s="25"/>
      <c r="P139" s="25"/>
      <c r="Q139" s="25"/>
      <c r="R139" s="169"/>
      <c r="T139" s="25" t="s">
        <v>169</v>
      </c>
      <c r="U139" s="171"/>
    </row>
    <row r="140" spans="1:21" ht="18" hidden="1">
      <c r="A140" s="21">
        <v>2024</v>
      </c>
      <c r="B140" s="21" t="s">
        <v>260</v>
      </c>
      <c r="C140" s="21" t="s">
        <v>109</v>
      </c>
      <c r="D140" s="22">
        <v>131</v>
      </c>
      <c r="E140" s="23">
        <v>1</v>
      </c>
      <c r="F140" s="24" t="s">
        <v>261</v>
      </c>
      <c r="G140" s="25"/>
      <c r="H140" s="25"/>
      <c r="I140" s="25"/>
      <c r="J140" s="25"/>
      <c r="K140" s="25"/>
      <c r="L140" s="25"/>
      <c r="M140" s="25"/>
      <c r="N140" s="25"/>
      <c r="O140" s="25"/>
      <c r="P140" s="25"/>
      <c r="Q140" s="25"/>
      <c r="R140" s="169"/>
      <c r="T140" s="25" t="s">
        <v>169</v>
      </c>
      <c r="U140" s="171"/>
    </row>
    <row r="141" spans="1:21" ht="18" hidden="1">
      <c r="A141" s="21">
        <v>2024</v>
      </c>
      <c r="B141" s="21" t="s">
        <v>250</v>
      </c>
      <c r="C141" s="21" t="s">
        <v>88</v>
      </c>
      <c r="D141" s="22">
        <v>3200</v>
      </c>
      <c r="E141" s="23">
        <v>1</v>
      </c>
      <c r="F141" s="24" t="s">
        <v>251</v>
      </c>
      <c r="G141" s="25"/>
      <c r="H141" s="25"/>
      <c r="I141" s="25"/>
      <c r="J141" s="25"/>
      <c r="K141" s="25"/>
      <c r="L141" s="25"/>
      <c r="M141" s="25"/>
      <c r="N141" s="25"/>
      <c r="O141" s="25"/>
      <c r="P141" s="25"/>
      <c r="Q141" s="25"/>
      <c r="R141" s="169"/>
      <c r="T141" s="25" t="s">
        <v>169</v>
      </c>
      <c r="U141" s="171"/>
    </row>
    <row r="142" spans="1:21" ht="18" hidden="1">
      <c r="A142" s="21">
        <v>2024</v>
      </c>
      <c r="B142" s="21" t="s">
        <v>194</v>
      </c>
      <c r="C142" s="21" t="s">
        <v>99</v>
      </c>
      <c r="D142" s="22">
        <v>36362</v>
      </c>
      <c r="E142" s="23">
        <v>1</v>
      </c>
      <c r="F142" s="24" t="s">
        <v>198</v>
      </c>
      <c r="G142" s="25"/>
      <c r="H142" s="25"/>
      <c r="I142" s="25"/>
      <c r="J142" s="25"/>
      <c r="K142" s="25"/>
      <c r="L142" s="25"/>
      <c r="M142" s="25"/>
      <c r="N142" s="25"/>
      <c r="O142" s="25"/>
      <c r="P142" s="25"/>
      <c r="Q142" s="25"/>
      <c r="R142" s="169"/>
      <c r="T142" s="25" t="s">
        <v>169</v>
      </c>
      <c r="U142" s="171"/>
    </row>
    <row r="143" spans="1:21" ht="18" hidden="1">
      <c r="A143" s="21">
        <v>2024</v>
      </c>
      <c r="B143" s="21" t="s">
        <v>197</v>
      </c>
      <c r="C143" s="21" t="s">
        <v>114</v>
      </c>
      <c r="D143" s="22">
        <v>24446</v>
      </c>
      <c r="E143" s="23">
        <v>1</v>
      </c>
      <c r="F143" s="24" t="s">
        <v>312</v>
      </c>
      <c r="G143" s="25"/>
      <c r="H143" s="25"/>
      <c r="I143" s="25"/>
      <c r="J143" s="25"/>
      <c r="K143" s="25"/>
      <c r="L143" s="25"/>
      <c r="M143" s="25"/>
      <c r="N143" s="25"/>
      <c r="O143" s="25"/>
      <c r="P143" s="25"/>
      <c r="Q143" s="25"/>
      <c r="R143" s="169"/>
      <c r="T143" s="25" t="s">
        <v>169</v>
      </c>
      <c r="U143" s="171"/>
    </row>
    <row r="144" spans="1:21" ht="18" hidden="1">
      <c r="A144" s="21">
        <v>2024</v>
      </c>
      <c r="B144" s="21" t="s">
        <v>232</v>
      </c>
      <c r="C144" s="21" t="s">
        <v>102</v>
      </c>
      <c r="D144" s="22">
        <v>2555</v>
      </c>
      <c r="E144" s="23">
        <v>1</v>
      </c>
      <c r="F144" s="24" t="s">
        <v>305</v>
      </c>
      <c r="G144" s="25"/>
      <c r="H144" s="25"/>
      <c r="I144" s="25"/>
      <c r="J144" s="25"/>
      <c r="K144" s="25"/>
      <c r="L144" s="25"/>
      <c r="M144" s="25"/>
      <c r="N144" s="25"/>
      <c r="O144" s="25"/>
      <c r="P144" s="25"/>
      <c r="Q144" s="25"/>
      <c r="R144" s="169"/>
      <c r="T144" s="25" t="s">
        <v>169</v>
      </c>
      <c r="U144" s="171"/>
    </row>
    <row r="145" spans="1:21" ht="18" hidden="1">
      <c r="A145" s="21">
        <v>2024</v>
      </c>
      <c r="B145" s="21" t="s">
        <v>201</v>
      </c>
      <c r="C145" s="21" t="s">
        <v>103</v>
      </c>
      <c r="D145" s="22">
        <v>462</v>
      </c>
      <c r="E145" s="23">
        <v>1</v>
      </c>
      <c r="F145" s="24" t="s">
        <v>202</v>
      </c>
      <c r="G145" s="25"/>
      <c r="H145" s="25"/>
      <c r="I145" s="25"/>
      <c r="J145" s="25"/>
      <c r="K145" s="25"/>
      <c r="L145" s="25"/>
      <c r="M145" s="25"/>
      <c r="N145" s="25"/>
      <c r="O145" s="25"/>
      <c r="P145" s="25"/>
      <c r="Q145" s="25"/>
      <c r="R145" s="169"/>
      <c r="T145" s="25" t="s">
        <v>169</v>
      </c>
      <c r="U145" s="171"/>
    </row>
    <row r="146" spans="1:21" ht="18" hidden="1">
      <c r="A146" s="21">
        <v>2024</v>
      </c>
      <c r="B146" s="21" t="s">
        <v>233</v>
      </c>
      <c r="C146" s="21" t="s">
        <v>103</v>
      </c>
      <c r="D146" s="22">
        <v>2665</v>
      </c>
      <c r="E146" s="23">
        <v>1</v>
      </c>
      <c r="F146" s="24" t="s">
        <v>234</v>
      </c>
      <c r="G146" s="25"/>
      <c r="H146" s="25"/>
      <c r="I146" s="25"/>
      <c r="J146" s="25"/>
      <c r="K146" s="25"/>
      <c r="L146" s="25"/>
      <c r="M146" s="25"/>
      <c r="N146" s="25"/>
      <c r="O146" s="25"/>
      <c r="P146" s="25"/>
      <c r="Q146" s="25"/>
      <c r="R146" s="169"/>
      <c r="T146" s="25" t="s">
        <v>169</v>
      </c>
      <c r="U146" s="171"/>
    </row>
    <row r="147" spans="1:21" ht="18" hidden="1">
      <c r="A147" s="21">
        <v>2024</v>
      </c>
      <c r="B147" s="21" t="s">
        <v>237</v>
      </c>
      <c r="C147" s="21" t="s">
        <v>103</v>
      </c>
      <c r="D147" s="22">
        <v>98855</v>
      </c>
      <c r="E147" s="23">
        <v>1</v>
      </c>
      <c r="F147" s="24" t="s">
        <v>238</v>
      </c>
      <c r="G147" s="25"/>
      <c r="H147" s="25"/>
      <c r="I147" s="25"/>
      <c r="J147" s="25"/>
      <c r="K147" s="25"/>
      <c r="L147" s="25"/>
      <c r="M147" s="25"/>
      <c r="N147" s="25"/>
      <c r="O147" s="25"/>
      <c r="P147" s="25"/>
      <c r="Q147" s="25"/>
      <c r="R147" s="169"/>
      <c r="T147" s="25" t="s">
        <v>169</v>
      </c>
      <c r="U147" s="171"/>
    </row>
    <row r="148" spans="1:21" ht="18" hidden="1">
      <c r="A148" s="21">
        <v>2024</v>
      </c>
      <c r="B148" s="21" t="s">
        <v>264</v>
      </c>
      <c r="C148" s="21" t="s">
        <v>109</v>
      </c>
      <c r="D148" s="22">
        <v>19000</v>
      </c>
      <c r="E148" s="23">
        <v>1</v>
      </c>
      <c r="F148" s="24" t="s">
        <v>265</v>
      </c>
      <c r="G148" s="25"/>
      <c r="H148" s="25"/>
      <c r="I148" s="25"/>
      <c r="J148" s="25"/>
      <c r="K148" s="25"/>
      <c r="L148" s="25"/>
      <c r="M148" s="25"/>
      <c r="N148" s="25"/>
      <c r="O148" s="25"/>
      <c r="P148" s="25"/>
      <c r="Q148" s="25"/>
      <c r="R148" s="169"/>
      <c r="T148" s="25" t="s">
        <v>169</v>
      </c>
      <c r="U148" s="171"/>
    </row>
    <row r="149" spans="1:21" ht="18" hidden="1">
      <c r="A149" s="21">
        <v>2024</v>
      </c>
      <c r="B149" s="21" t="s">
        <v>258</v>
      </c>
      <c r="C149" s="21" t="s">
        <v>90</v>
      </c>
      <c r="D149" s="22">
        <v>180</v>
      </c>
      <c r="E149" s="23">
        <v>1</v>
      </c>
      <c r="F149" s="24" t="s">
        <v>259</v>
      </c>
      <c r="G149" s="25"/>
      <c r="H149" s="25"/>
      <c r="I149" s="25"/>
      <c r="J149" s="25"/>
      <c r="K149" s="25"/>
      <c r="L149" s="25"/>
      <c r="M149" s="25"/>
      <c r="N149" s="25"/>
      <c r="O149" s="25"/>
      <c r="P149" s="25"/>
      <c r="Q149" s="25"/>
      <c r="R149" s="169"/>
      <c r="T149" s="25" t="s">
        <v>169</v>
      </c>
      <c r="U149" s="171"/>
    </row>
    <row r="150" spans="1:21" ht="18" hidden="1">
      <c r="A150" s="21">
        <v>2024</v>
      </c>
      <c r="B150" s="21" t="s">
        <v>203</v>
      </c>
      <c r="C150" s="21" t="s">
        <v>103</v>
      </c>
      <c r="D150" s="22">
        <v>7105</v>
      </c>
      <c r="E150" s="23">
        <v>1</v>
      </c>
      <c r="F150" s="24" t="s">
        <v>204</v>
      </c>
      <c r="G150" s="25"/>
      <c r="H150" s="25"/>
      <c r="I150" s="25"/>
      <c r="J150" s="25"/>
      <c r="K150" s="25"/>
      <c r="L150" s="25"/>
      <c r="M150" s="25"/>
      <c r="N150" s="25"/>
      <c r="O150" s="25"/>
      <c r="P150" s="25"/>
      <c r="Q150" s="25"/>
      <c r="R150" s="169"/>
      <c r="T150" s="25" t="s">
        <v>169</v>
      </c>
      <c r="U150" s="171"/>
    </row>
    <row r="151" spans="1:21" ht="18" hidden="1">
      <c r="A151" s="21">
        <v>2024</v>
      </c>
      <c r="B151" s="21" t="s">
        <v>272</v>
      </c>
      <c r="C151" s="21" t="s">
        <v>100</v>
      </c>
      <c r="D151" s="22">
        <v>25951</v>
      </c>
      <c r="E151" s="23">
        <v>1</v>
      </c>
      <c r="F151" s="24" t="s">
        <v>273</v>
      </c>
      <c r="G151" s="25"/>
      <c r="H151" s="25"/>
      <c r="I151" s="25"/>
      <c r="J151" s="25"/>
      <c r="K151" s="25"/>
      <c r="L151" s="25"/>
      <c r="M151" s="25"/>
      <c r="N151" s="25"/>
      <c r="O151" s="25"/>
      <c r="P151" s="25"/>
      <c r="Q151" s="25"/>
      <c r="R151" s="169"/>
      <c r="T151" s="25" t="s">
        <v>169</v>
      </c>
      <c r="U151" s="171"/>
    </row>
    <row r="152" spans="1:21" ht="18" hidden="1">
      <c r="A152" s="21">
        <v>2024</v>
      </c>
      <c r="B152" s="21" t="s">
        <v>286</v>
      </c>
      <c r="C152" s="21" t="s">
        <v>98</v>
      </c>
      <c r="D152" s="22">
        <v>6340</v>
      </c>
      <c r="E152" s="23">
        <v>1</v>
      </c>
      <c r="F152" s="24" t="s">
        <v>287</v>
      </c>
      <c r="G152" s="25"/>
      <c r="H152" s="25"/>
      <c r="I152" s="25"/>
      <c r="J152" s="25"/>
      <c r="K152" s="25"/>
      <c r="L152" s="25"/>
      <c r="M152" s="25"/>
      <c r="N152" s="25"/>
      <c r="O152" s="25"/>
      <c r="P152" s="25"/>
      <c r="Q152" s="25"/>
      <c r="R152" s="169"/>
      <c r="T152" s="25" t="s">
        <v>169</v>
      </c>
      <c r="U152" s="171"/>
    </row>
    <row r="153" spans="1:21" ht="18" hidden="1">
      <c r="A153" s="21">
        <v>2024</v>
      </c>
      <c r="B153" s="21" t="s">
        <v>252</v>
      </c>
      <c r="C153" s="21" t="s">
        <v>112</v>
      </c>
      <c r="D153" s="22">
        <v>1313</v>
      </c>
      <c r="E153" s="23">
        <v>1</v>
      </c>
      <c r="F153" s="24" t="s">
        <v>253</v>
      </c>
      <c r="G153" s="25"/>
      <c r="H153" s="25"/>
      <c r="I153" s="25"/>
      <c r="J153" s="25"/>
      <c r="K153" s="25"/>
      <c r="L153" s="25"/>
      <c r="M153" s="25"/>
      <c r="N153" s="25"/>
      <c r="O153" s="25"/>
      <c r="P153" s="25"/>
      <c r="Q153" s="25"/>
      <c r="R153" s="169"/>
      <c r="T153" s="25" t="s">
        <v>169</v>
      </c>
      <c r="U153" s="171"/>
    </row>
    <row r="154" spans="1:21" ht="18" hidden="1">
      <c r="A154" s="21">
        <v>2024</v>
      </c>
      <c r="B154" s="21" t="s">
        <v>270</v>
      </c>
      <c r="C154" s="21" t="s">
        <v>95</v>
      </c>
      <c r="D154" s="22">
        <v>5286</v>
      </c>
      <c r="E154" s="23">
        <v>1</v>
      </c>
      <c r="F154" s="24" t="s">
        <v>271</v>
      </c>
      <c r="G154" s="25"/>
      <c r="H154" s="25"/>
      <c r="I154" s="25"/>
      <c r="J154" s="25"/>
      <c r="K154" s="25"/>
      <c r="L154" s="25"/>
      <c r="M154" s="25"/>
      <c r="N154" s="25"/>
      <c r="O154" s="25"/>
      <c r="P154" s="25"/>
      <c r="Q154" s="25"/>
      <c r="R154" s="169"/>
      <c r="T154" s="25" t="s">
        <v>169</v>
      </c>
      <c r="U154" s="172"/>
    </row>
    <row r="155" spans="1:21" ht="18" hidden="1">
      <c r="A155" s="21">
        <v>2024</v>
      </c>
      <c r="B155" s="21" t="s">
        <v>199</v>
      </c>
      <c r="C155" s="21" t="s">
        <v>90</v>
      </c>
      <c r="D155" s="22">
        <v>250</v>
      </c>
      <c r="E155" s="23">
        <v>1</v>
      </c>
      <c r="F155" s="24" t="s">
        <v>200</v>
      </c>
      <c r="G155" s="25"/>
      <c r="H155" s="25"/>
      <c r="I155" s="25"/>
      <c r="J155" s="25"/>
      <c r="K155" s="25"/>
      <c r="L155" s="25"/>
      <c r="M155" s="25"/>
      <c r="N155" s="25"/>
      <c r="O155" s="25"/>
      <c r="P155" s="25"/>
      <c r="Q155" s="25"/>
      <c r="R155" s="169"/>
      <c r="T155" s="25" t="s">
        <v>169</v>
      </c>
      <c r="U155" s="171"/>
    </row>
    <row r="156" spans="1:21" ht="18" hidden="1">
      <c r="A156" s="21">
        <v>2024</v>
      </c>
      <c r="B156" s="21" t="s">
        <v>266</v>
      </c>
      <c r="C156" s="21" t="s">
        <v>100</v>
      </c>
      <c r="D156" s="22">
        <v>3485</v>
      </c>
      <c r="E156" s="23">
        <v>1</v>
      </c>
      <c r="F156" s="24" t="s">
        <v>267</v>
      </c>
      <c r="G156" s="25"/>
      <c r="H156" s="25"/>
      <c r="I156" s="25"/>
      <c r="J156" s="25"/>
      <c r="K156" s="25"/>
      <c r="L156" s="25"/>
      <c r="M156" s="25"/>
      <c r="N156" s="25"/>
      <c r="O156" s="25"/>
      <c r="P156" s="25"/>
      <c r="Q156" s="25"/>
      <c r="R156" s="169"/>
      <c r="T156" s="25" t="s">
        <v>169</v>
      </c>
      <c r="U156" s="171"/>
    </row>
    <row r="157" spans="1:21" ht="18" hidden="1">
      <c r="A157" s="21">
        <v>2024</v>
      </c>
      <c r="B157" s="21" t="s">
        <v>239</v>
      </c>
      <c r="C157" s="21" t="s">
        <v>93</v>
      </c>
      <c r="D157" s="22">
        <v>485</v>
      </c>
      <c r="E157" s="23">
        <v>1</v>
      </c>
      <c r="F157" s="24" t="s">
        <v>240</v>
      </c>
      <c r="G157" s="25"/>
      <c r="H157" s="25"/>
      <c r="I157" s="25"/>
      <c r="J157" s="25"/>
      <c r="K157" s="25"/>
      <c r="L157" s="25"/>
      <c r="M157" s="25"/>
      <c r="N157" s="25"/>
      <c r="O157" s="25"/>
      <c r="P157" s="25"/>
      <c r="Q157" s="25"/>
      <c r="R157" s="169"/>
      <c r="T157" s="25" t="s">
        <v>169</v>
      </c>
      <c r="U157" s="171"/>
    </row>
    <row r="158" spans="1:21" ht="18" hidden="1">
      <c r="A158" s="21">
        <v>2024</v>
      </c>
      <c r="B158" s="21" t="s">
        <v>190</v>
      </c>
      <c r="C158" s="21" t="s">
        <v>90</v>
      </c>
      <c r="D158" s="22">
        <v>6537</v>
      </c>
      <c r="E158" s="23">
        <v>1</v>
      </c>
      <c r="F158" s="24" t="s">
        <v>191</v>
      </c>
      <c r="G158" s="25"/>
      <c r="H158" s="25"/>
      <c r="I158" s="25"/>
      <c r="J158" s="25"/>
      <c r="K158" s="25"/>
      <c r="L158" s="25"/>
      <c r="M158" s="25"/>
      <c r="N158" s="25"/>
      <c r="O158" s="25"/>
      <c r="P158" s="25"/>
      <c r="Q158" s="25"/>
      <c r="R158" s="169"/>
      <c r="T158" s="25" t="s">
        <v>169</v>
      </c>
      <c r="U158" s="171"/>
    </row>
    <row r="159" spans="1:21" ht="18" hidden="1">
      <c r="A159" s="21">
        <v>2024</v>
      </c>
      <c r="B159" s="21" t="s">
        <v>226</v>
      </c>
      <c r="C159" s="21" t="s">
        <v>93</v>
      </c>
      <c r="D159" s="22">
        <v>1060</v>
      </c>
      <c r="E159" s="23">
        <v>1</v>
      </c>
      <c r="F159" s="24" t="s">
        <v>227</v>
      </c>
      <c r="G159" s="25"/>
      <c r="H159" s="25"/>
      <c r="I159" s="25"/>
      <c r="J159" s="25"/>
      <c r="K159" s="25"/>
      <c r="L159" s="25"/>
      <c r="M159" s="25"/>
      <c r="N159" s="25"/>
      <c r="O159" s="25"/>
      <c r="P159" s="25"/>
      <c r="Q159" s="25"/>
      <c r="R159" s="169"/>
      <c r="T159" s="25" t="s">
        <v>169</v>
      </c>
      <c r="U159" s="171"/>
    </row>
    <row r="160" spans="1:21" ht="18" hidden="1">
      <c r="A160" s="21">
        <v>2024</v>
      </c>
      <c r="B160" s="21" t="s">
        <v>222</v>
      </c>
      <c r="C160" s="21" t="s">
        <v>94</v>
      </c>
      <c r="D160" s="22">
        <v>5000</v>
      </c>
      <c r="E160" s="23">
        <v>1</v>
      </c>
      <c r="F160" s="24" t="s">
        <v>223</v>
      </c>
      <c r="G160" s="25"/>
      <c r="H160" s="25"/>
      <c r="I160" s="25"/>
      <c r="J160" s="25"/>
      <c r="K160" s="25"/>
      <c r="L160" s="25"/>
      <c r="M160" s="25"/>
      <c r="N160" s="25"/>
      <c r="O160" s="25"/>
      <c r="P160" s="25"/>
      <c r="Q160" s="25"/>
      <c r="R160" s="169"/>
      <c r="T160" s="25" t="s">
        <v>169</v>
      </c>
      <c r="U160" s="171"/>
    </row>
    <row r="161" spans="1:21" ht="18" hidden="1">
      <c r="A161" s="21">
        <v>2024</v>
      </c>
      <c r="B161" s="21" t="s">
        <v>126</v>
      </c>
      <c r="C161" s="21" t="s">
        <v>98</v>
      </c>
      <c r="D161" s="22">
        <v>3060</v>
      </c>
      <c r="E161" s="23">
        <v>1</v>
      </c>
      <c r="F161" s="24" t="s">
        <v>133</v>
      </c>
      <c r="G161" s="25"/>
      <c r="H161" s="25"/>
      <c r="I161" s="25"/>
      <c r="J161" s="25"/>
      <c r="K161" s="25"/>
      <c r="L161" s="25"/>
      <c r="M161" s="25"/>
      <c r="N161" s="25"/>
      <c r="O161" s="25"/>
      <c r="P161" s="25"/>
      <c r="Q161" s="25"/>
      <c r="R161" s="169"/>
      <c r="T161" s="25" t="s">
        <v>169</v>
      </c>
      <c r="U161" s="171"/>
    </row>
    <row r="162" spans="1:21" ht="18" hidden="1">
      <c r="A162" s="21">
        <v>2024</v>
      </c>
      <c r="B162" s="21" t="s">
        <v>245</v>
      </c>
      <c r="C162" s="21" t="s">
        <v>94</v>
      </c>
      <c r="D162" s="22">
        <v>461</v>
      </c>
      <c r="E162" s="23">
        <v>1</v>
      </c>
      <c r="F162" s="24" t="s">
        <v>246</v>
      </c>
      <c r="G162" s="25"/>
      <c r="H162" s="25"/>
      <c r="I162" s="25"/>
      <c r="J162" s="25"/>
      <c r="K162" s="25"/>
      <c r="L162" s="25"/>
      <c r="M162" s="25"/>
      <c r="N162" s="25"/>
      <c r="O162" s="25"/>
      <c r="P162" s="25"/>
      <c r="Q162" s="25"/>
      <c r="R162" s="169"/>
      <c r="T162" s="25" t="s">
        <v>169</v>
      </c>
      <c r="U162" s="171"/>
    </row>
    <row r="163" spans="1:21" ht="18" hidden="1">
      <c r="A163" s="21">
        <v>2024</v>
      </c>
      <c r="B163" s="21" t="s">
        <v>269</v>
      </c>
      <c r="C163" s="21" t="s">
        <v>90</v>
      </c>
      <c r="D163" s="22">
        <v>108</v>
      </c>
      <c r="E163" s="23">
        <v>1</v>
      </c>
      <c r="F163" s="24" t="s">
        <v>268</v>
      </c>
      <c r="G163" s="25"/>
      <c r="H163" s="25"/>
      <c r="I163" s="25"/>
      <c r="J163" s="25"/>
      <c r="K163" s="25"/>
      <c r="L163" s="25"/>
      <c r="M163" s="25"/>
      <c r="N163" s="25"/>
      <c r="O163" s="25"/>
      <c r="P163" s="25"/>
      <c r="Q163" s="25"/>
      <c r="R163" s="169"/>
      <c r="T163" s="25" t="s">
        <v>169</v>
      </c>
      <c r="U163" s="171"/>
    </row>
    <row r="164" spans="1:21" ht="18" hidden="1">
      <c r="A164" s="21">
        <v>2024</v>
      </c>
      <c r="B164" s="21" t="s">
        <v>210</v>
      </c>
      <c r="C164" s="21" t="s">
        <v>94</v>
      </c>
      <c r="D164" s="22">
        <v>6250</v>
      </c>
      <c r="E164" s="23">
        <v>1</v>
      </c>
      <c r="F164" s="24" t="s">
        <v>211</v>
      </c>
      <c r="G164" s="25"/>
      <c r="H164" s="25"/>
      <c r="I164" s="25"/>
      <c r="J164" s="25"/>
      <c r="K164" s="25"/>
      <c r="L164" s="25"/>
      <c r="M164" s="25"/>
      <c r="N164" s="25"/>
      <c r="O164" s="25"/>
      <c r="P164" s="25"/>
      <c r="Q164" s="25"/>
      <c r="R164" s="169"/>
      <c r="T164" s="25" t="s">
        <v>169</v>
      </c>
      <c r="U164" s="171"/>
    </row>
    <row r="165" spans="1:21" ht="18" hidden="1">
      <c r="A165" s="21">
        <v>2024</v>
      </c>
      <c r="B165" s="21" t="s">
        <v>243</v>
      </c>
      <c r="C165" s="21" t="s">
        <v>93</v>
      </c>
      <c r="D165" s="22">
        <v>7582</v>
      </c>
      <c r="E165" s="23">
        <v>1</v>
      </c>
      <c r="F165" s="24" t="s">
        <v>244</v>
      </c>
      <c r="G165" s="25"/>
      <c r="H165" s="25"/>
      <c r="I165" s="25"/>
      <c r="J165" s="25"/>
      <c r="K165" s="25"/>
      <c r="L165" s="25"/>
      <c r="M165" s="25"/>
      <c r="N165" s="25"/>
      <c r="O165" s="25"/>
      <c r="P165" s="25"/>
      <c r="Q165" s="25"/>
      <c r="R165" s="169"/>
      <c r="T165" s="25" t="s">
        <v>169</v>
      </c>
      <c r="U165" s="171"/>
    </row>
    <row r="166" spans="1:21" ht="18" hidden="1">
      <c r="A166" s="21">
        <v>2024</v>
      </c>
      <c r="B166" s="21" t="s">
        <v>216</v>
      </c>
      <c r="C166" s="21" t="s">
        <v>84</v>
      </c>
      <c r="D166" s="22">
        <v>702</v>
      </c>
      <c r="E166" s="23">
        <v>1</v>
      </c>
      <c r="F166" s="24" t="s">
        <v>217</v>
      </c>
      <c r="G166" s="25"/>
      <c r="H166" s="25"/>
      <c r="I166" s="25"/>
      <c r="J166" s="25"/>
      <c r="K166" s="25"/>
      <c r="L166" s="25"/>
      <c r="M166" s="25"/>
      <c r="N166" s="25"/>
      <c r="O166" s="25"/>
      <c r="P166" s="25"/>
      <c r="Q166" s="25"/>
      <c r="R166" s="169"/>
      <c r="T166" s="25" t="s">
        <v>169</v>
      </c>
      <c r="U166" s="171"/>
    </row>
    <row r="167" spans="1:21" ht="18" hidden="1">
      <c r="A167" s="21">
        <v>2024</v>
      </c>
      <c r="B167" s="21" t="s">
        <v>205</v>
      </c>
      <c r="C167" s="21" t="s">
        <v>114</v>
      </c>
      <c r="D167" s="22">
        <v>26817</v>
      </c>
      <c r="E167" s="23">
        <v>1</v>
      </c>
      <c r="F167" s="24" t="s">
        <v>206</v>
      </c>
      <c r="G167" s="25"/>
      <c r="H167" s="25"/>
      <c r="I167" s="25"/>
      <c r="J167" s="25"/>
      <c r="K167" s="25"/>
      <c r="L167" s="25"/>
      <c r="M167" s="25"/>
      <c r="N167" s="25"/>
      <c r="O167" s="25"/>
      <c r="P167" s="25"/>
      <c r="Q167" s="25"/>
      <c r="R167" s="169"/>
      <c r="T167" s="25" t="s">
        <v>169</v>
      </c>
      <c r="U167" s="171"/>
    </row>
    <row r="168" spans="1:21" ht="18" hidden="1">
      <c r="A168" s="21">
        <v>2024</v>
      </c>
      <c r="B168" s="21" t="s">
        <v>220</v>
      </c>
      <c r="C168" s="21" t="s">
        <v>103</v>
      </c>
      <c r="D168" s="22">
        <v>11061</v>
      </c>
      <c r="E168" s="23">
        <v>1</v>
      </c>
      <c r="F168" s="24" t="s">
        <v>221</v>
      </c>
      <c r="G168" s="25"/>
      <c r="H168" s="25"/>
      <c r="I168" s="25"/>
      <c r="J168" s="25"/>
      <c r="K168" s="25"/>
      <c r="L168" s="25"/>
      <c r="M168" s="25"/>
      <c r="N168" s="25"/>
      <c r="O168" s="25"/>
      <c r="P168" s="25"/>
      <c r="Q168" s="25"/>
      <c r="R168" s="169"/>
      <c r="T168" s="25" t="s">
        <v>169</v>
      </c>
      <c r="U168" s="171"/>
    </row>
    <row r="169" spans="1:21" ht="18" hidden="1">
      <c r="A169" s="21">
        <v>2024</v>
      </c>
      <c r="B169" s="21" t="s">
        <v>212</v>
      </c>
      <c r="C169" s="21" t="s">
        <v>94</v>
      </c>
      <c r="D169" s="22">
        <v>2600</v>
      </c>
      <c r="E169" s="23">
        <v>1</v>
      </c>
      <c r="F169" s="24" t="s">
        <v>213</v>
      </c>
      <c r="G169" s="25"/>
      <c r="H169" s="25"/>
      <c r="I169" s="25"/>
      <c r="J169" s="25"/>
      <c r="K169" s="25"/>
      <c r="L169" s="25"/>
      <c r="M169" s="25"/>
      <c r="N169" s="25"/>
      <c r="O169" s="25"/>
      <c r="P169" s="25"/>
      <c r="Q169" s="25"/>
      <c r="R169" s="169"/>
      <c r="T169" s="25" t="s">
        <v>169</v>
      </c>
      <c r="U169" s="171"/>
    </row>
    <row r="170" spans="1:21" ht="18" hidden="1">
      <c r="A170" s="21">
        <v>2024</v>
      </c>
      <c r="B170" s="21" t="s">
        <v>284</v>
      </c>
      <c r="C170" s="21" t="s">
        <v>99</v>
      </c>
      <c r="D170" s="22">
        <v>105</v>
      </c>
      <c r="E170" s="23">
        <v>1</v>
      </c>
      <c r="F170" s="24" t="s">
        <v>285</v>
      </c>
      <c r="G170" s="25"/>
      <c r="H170" s="25"/>
      <c r="I170" s="25"/>
      <c r="J170" s="25"/>
      <c r="K170" s="25"/>
      <c r="L170" s="25"/>
      <c r="M170" s="25"/>
      <c r="N170" s="25"/>
      <c r="O170" s="25"/>
      <c r="P170" s="25"/>
      <c r="Q170" s="25"/>
      <c r="R170" s="169"/>
      <c r="T170" s="25" t="s">
        <v>169</v>
      </c>
      <c r="U170" s="171"/>
    </row>
    <row r="171" spans="1:21" ht="18" hidden="1">
      <c r="A171" s="21">
        <v>2024</v>
      </c>
      <c r="B171" s="21" t="s">
        <v>254</v>
      </c>
      <c r="C171" s="21" t="s">
        <v>94</v>
      </c>
      <c r="D171" s="22">
        <v>54005</v>
      </c>
      <c r="E171" s="23">
        <v>1</v>
      </c>
      <c r="F171" s="24" t="s">
        <v>255</v>
      </c>
      <c r="G171" s="25"/>
      <c r="H171" s="25"/>
      <c r="I171" s="25"/>
      <c r="J171" s="25"/>
      <c r="K171" s="25"/>
      <c r="L171" s="25"/>
      <c r="M171" s="25"/>
      <c r="N171" s="25"/>
      <c r="O171" s="25"/>
      <c r="P171" s="25"/>
      <c r="Q171" s="25"/>
      <c r="R171" s="169"/>
      <c r="T171" s="25" t="s">
        <v>169</v>
      </c>
      <c r="U171" s="171"/>
    </row>
    <row r="172" spans="1:21" ht="18" hidden="1">
      <c r="A172" s="21">
        <v>2024</v>
      </c>
      <c r="B172" s="21" t="s">
        <v>278</v>
      </c>
      <c r="C172" s="21" t="s">
        <v>90</v>
      </c>
      <c r="D172" s="22">
        <v>725</v>
      </c>
      <c r="E172" s="23">
        <v>1</v>
      </c>
      <c r="F172" s="24" t="s">
        <v>279</v>
      </c>
      <c r="G172" s="25"/>
      <c r="H172" s="25"/>
      <c r="I172" s="25"/>
      <c r="J172" s="25"/>
      <c r="K172" s="25"/>
      <c r="L172" s="25"/>
      <c r="M172" s="25"/>
      <c r="N172" s="25"/>
      <c r="O172" s="25"/>
      <c r="P172" s="25"/>
      <c r="Q172" s="25"/>
      <c r="R172" s="169"/>
      <c r="T172" s="25" t="s">
        <v>169</v>
      </c>
      <c r="U172" s="171"/>
    </row>
    <row r="173" spans="1:21" ht="18" hidden="1">
      <c r="A173" s="21">
        <v>2024</v>
      </c>
      <c r="B173" s="21" t="s">
        <v>274</v>
      </c>
      <c r="C173" s="21" t="s">
        <v>103</v>
      </c>
      <c r="D173" s="22">
        <v>2815</v>
      </c>
      <c r="E173" s="23">
        <v>1</v>
      </c>
      <c r="F173" s="24" t="s">
        <v>275</v>
      </c>
      <c r="G173" s="25"/>
      <c r="H173" s="25"/>
      <c r="I173" s="25"/>
      <c r="J173" s="25"/>
      <c r="K173" s="25"/>
      <c r="L173" s="25"/>
      <c r="M173" s="25"/>
      <c r="N173" s="25"/>
      <c r="O173" s="25"/>
      <c r="P173" s="25"/>
      <c r="Q173" s="25"/>
      <c r="R173" s="169"/>
      <c r="T173" s="25" t="s">
        <v>169</v>
      </c>
      <c r="U173" s="171"/>
    </row>
    <row r="174" spans="1:21" ht="18" hidden="1">
      <c r="A174" s="21">
        <v>2024</v>
      </c>
      <c r="B174" s="21" t="s">
        <v>276</v>
      </c>
      <c r="C174" s="21" t="s">
        <v>95</v>
      </c>
      <c r="D174" s="22">
        <v>1143</v>
      </c>
      <c r="E174" s="23">
        <v>1</v>
      </c>
      <c r="F174" s="24" t="s">
        <v>277</v>
      </c>
      <c r="G174" s="25"/>
      <c r="H174" s="25"/>
      <c r="I174" s="25"/>
      <c r="J174" s="25"/>
      <c r="K174" s="25"/>
      <c r="L174" s="25"/>
      <c r="M174" s="25"/>
      <c r="N174" s="25"/>
      <c r="O174" s="25"/>
      <c r="P174" s="25"/>
      <c r="Q174" s="25"/>
      <c r="R174" s="169"/>
      <c r="T174" s="25" t="s">
        <v>169</v>
      </c>
      <c r="U174" s="172"/>
    </row>
    <row r="175" spans="1:21" ht="18" hidden="1">
      <c r="A175" s="21">
        <v>2024</v>
      </c>
      <c r="B175" s="21" t="s">
        <v>218</v>
      </c>
      <c r="C175" s="21" t="s">
        <v>99</v>
      </c>
      <c r="D175" s="22">
        <v>65866</v>
      </c>
      <c r="E175" s="23">
        <v>1</v>
      </c>
      <c r="F175" s="24" t="s">
        <v>219</v>
      </c>
      <c r="G175" s="25"/>
      <c r="H175" s="25"/>
      <c r="I175" s="25"/>
      <c r="J175" s="25"/>
      <c r="K175" s="25"/>
      <c r="L175" s="25"/>
      <c r="M175" s="25"/>
      <c r="N175" s="25"/>
      <c r="O175" s="25"/>
      <c r="P175" s="25"/>
      <c r="Q175" s="25"/>
      <c r="R175" s="169"/>
      <c r="T175" s="25" t="s">
        <v>169</v>
      </c>
      <c r="U175" s="171"/>
    </row>
    <row r="176" spans="1:21" ht="18" hidden="1">
      <c r="A176" s="21">
        <v>2024</v>
      </c>
      <c r="B176" s="21" t="s">
        <v>249</v>
      </c>
      <c r="C176" s="21" t="s">
        <v>93</v>
      </c>
      <c r="D176" s="22">
        <v>281</v>
      </c>
      <c r="E176" s="23">
        <v>1</v>
      </c>
      <c r="F176" s="24" t="s">
        <v>313</v>
      </c>
      <c r="G176" s="25"/>
      <c r="H176" s="25"/>
      <c r="I176" s="25"/>
      <c r="J176" s="25"/>
      <c r="K176" s="25"/>
      <c r="L176" s="25"/>
      <c r="M176" s="25"/>
      <c r="N176" s="25"/>
      <c r="O176" s="25"/>
      <c r="P176" s="25"/>
      <c r="Q176" s="25"/>
      <c r="R176" s="169"/>
      <c r="T176" s="25" t="s">
        <v>169</v>
      </c>
      <c r="U176" s="171"/>
    </row>
    <row r="177" spans="1:21" ht="18" hidden="1">
      <c r="A177" s="21">
        <v>2024</v>
      </c>
      <c r="B177" s="21" t="s">
        <v>241</v>
      </c>
      <c r="C177" s="21" t="s">
        <v>94</v>
      </c>
      <c r="D177" s="22">
        <v>4345</v>
      </c>
      <c r="E177" s="23">
        <v>1</v>
      </c>
      <c r="F177" s="24" t="s">
        <v>242</v>
      </c>
      <c r="G177" s="25"/>
      <c r="H177" s="25"/>
      <c r="I177" s="25"/>
      <c r="J177" s="25"/>
      <c r="K177" s="25"/>
      <c r="L177" s="25"/>
      <c r="M177" s="25"/>
      <c r="N177" s="25"/>
      <c r="O177" s="25"/>
      <c r="P177" s="25"/>
      <c r="Q177" s="25"/>
      <c r="R177" s="169"/>
      <c r="T177" s="25" t="s">
        <v>169</v>
      </c>
      <c r="U177" s="171"/>
    </row>
    <row r="178" spans="1:21" ht="18" hidden="1">
      <c r="A178" s="21">
        <v>2024</v>
      </c>
      <c r="B178" s="21" t="s">
        <v>127</v>
      </c>
      <c r="C178" s="21" t="s">
        <v>35</v>
      </c>
      <c r="D178" s="22">
        <v>3239</v>
      </c>
      <c r="E178" s="23">
        <v>1</v>
      </c>
      <c r="F178" s="24" t="s">
        <v>128</v>
      </c>
      <c r="G178" s="25"/>
      <c r="H178" s="25"/>
      <c r="I178" s="25"/>
      <c r="J178" s="25"/>
      <c r="K178" s="25"/>
      <c r="L178" s="25"/>
      <c r="M178" s="25"/>
      <c r="N178" s="25"/>
      <c r="O178" s="25"/>
      <c r="P178" s="25"/>
      <c r="Q178" s="25"/>
      <c r="R178" s="169"/>
      <c r="T178" s="25" t="s">
        <v>169</v>
      </c>
      <c r="U178" s="171"/>
    </row>
    <row r="179" spans="1:21" ht="18" hidden="1">
      <c r="A179" s="21">
        <v>2024</v>
      </c>
      <c r="B179" s="21" t="s">
        <v>262</v>
      </c>
      <c r="C179" s="21" t="s">
        <v>90</v>
      </c>
      <c r="D179" s="22">
        <v>168</v>
      </c>
      <c r="E179" s="23">
        <v>1</v>
      </c>
      <c r="F179" s="24" t="s">
        <v>263</v>
      </c>
      <c r="G179" s="25"/>
      <c r="H179" s="25"/>
      <c r="I179" s="25"/>
      <c r="J179" s="25"/>
      <c r="K179" s="25"/>
      <c r="L179" s="25"/>
      <c r="M179" s="25"/>
      <c r="N179" s="188"/>
      <c r="O179" s="25"/>
      <c r="P179" s="25"/>
      <c r="Q179" s="25"/>
      <c r="R179" s="169"/>
      <c r="T179" s="25" t="s">
        <v>169</v>
      </c>
      <c r="U179" s="171"/>
    </row>
    <row r="180" spans="1:21" ht="18" hidden="1">
      <c r="A180" s="21">
        <v>2024</v>
      </c>
      <c r="B180" s="21" t="s">
        <v>129</v>
      </c>
      <c r="C180" s="21" t="s">
        <v>102</v>
      </c>
      <c r="D180" s="22">
        <v>28345</v>
      </c>
      <c r="E180" s="23">
        <v>1</v>
      </c>
      <c r="F180" s="24" t="s">
        <v>130</v>
      </c>
      <c r="G180" s="25"/>
      <c r="H180" s="25"/>
      <c r="I180" s="25"/>
      <c r="J180" s="25"/>
      <c r="K180" s="25"/>
      <c r="L180" s="25"/>
      <c r="M180" s="25"/>
      <c r="N180" s="25"/>
      <c r="O180" s="25"/>
      <c r="P180" s="25"/>
      <c r="Q180" s="25"/>
      <c r="R180" s="169"/>
      <c r="T180" s="25" t="s">
        <v>169</v>
      </c>
      <c r="U180" s="171"/>
    </row>
    <row r="181" spans="1:21" ht="18" hidden="1">
      <c r="A181" s="21">
        <v>2024</v>
      </c>
      <c r="B181" s="21" t="s">
        <v>131</v>
      </c>
      <c r="C181" s="21" t="s">
        <v>100</v>
      </c>
      <c r="D181" s="22">
        <v>5313</v>
      </c>
      <c r="E181" s="23">
        <v>1</v>
      </c>
      <c r="F181" s="24" t="s">
        <v>132</v>
      </c>
      <c r="G181" s="25"/>
      <c r="H181" s="25"/>
      <c r="I181" s="25"/>
      <c r="J181" s="25"/>
      <c r="K181" s="25"/>
      <c r="L181" s="25"/>
      <c r="M181" s="25"/>
      <c r="N181" s="25"/>
      <c r="O181" s="25"/>
      <c r="P181" s="25"/>
      <c r="Q181" s="25"/>
      <c r="R181" s="169"/>
      <c r="T181" s="25" t="s">
        <v>169</v>
      </c>
      <c r="U181" s="171"/>
    </row>
    <row r="182" spans="1:21" ht="18" hidden="1">
      <c r="A182" s="21">
        <v>2025</v>
      </c>
      <c r="B182" s="21" t="s">
        <v>613</v>
      </c>
      <c r="C182" s="21" t="s">
        <v>114</v>
      </c>
      <c r="D182" s="22">
        <v>1776</v>
      </c>
      <c r="E182" s="23">
        <v>1</v>
      </c>
      <c r="F182" s="24" t="s">
        <v>614</v>
      </c>
      <c r="G182" s="25"/>
      <c r="H182" s="25"/>
      <c r="I182" s="25"/>
      <c r="J182" s="25"/>
      <c r="K182" s="25"/>
      <c r="L182" s="25"/>
      <c r="M182" s="25"/>
      <c r="N182" s="43"/>
      <c r="O182" s="25">
        <v>1</v>
      </c>
      <c r="P182" s="25"/>
      <c r="Q182" s="25"/>
      <c r="R182" s="169"/>
      <c r="T182" s="25" t="s">
        <v>634</v>
      </c>
      <c r="U182" s="171"/>
    </row>
    <row r="183" spans="1:21" ht="18" hidden="1">
      <c r="A183" s="21">
        <v>2025</v>
      </c>
      <c r="B183" s="21" t="s">
        <v>624</v>
      </c>
      <c r="C183" s="21" t="s">
        <v>90</v>
      </c>
      <c r="D183" s="22">
        <v>36</v>
      </c>
      <c r="E183" s="23">
        <v>1</v>
      </c>
      <c r="F183" s="24" t="s">
        <v>625</v>
      </c>
      <c r="G183" s="25"/>
      <c r="H183" s="25"/>
      <c r="I183" s="25"/>
      <c r="J183" s="25"/>
      <c r="K183" s="25"/>
      <c r="L183" s="25"/>
      <c r="M183" s="25"/>
      <c r="N183" s="25"/>
      <c r="O183" s="25"/>
      <c r="P183" s="25"/>
      <c r="Q183" s="25"/>
      <c r="R183" s="169"/>
      <c r="T183" s="25" t="s">
        <v>169</v>
      </c>
      <c r="U183" s="172"/>
    </row>
    <row r="184" spans="1:21" ht="18" hidden="1">
      <c r="A184" s="21">
        <v>2025</v>
      </c>
      <c r="B184" s="21" t="s">
        <v>626</v>
      </c>
      <c r="C184" s="21" t="s">
        <v>112</v>
      </c>
      <c r="D184" s="22">
        <v>799</v>
      </c>
      <c r="E184" s="23">
        <v>1</v>
      </c>
      <c r="F184" s="24" t="s">
        <v>661</v>
      </c>
      <c r="G184" s="25"/>
      <c r="H184" s="25"/>
      <c r="I184" s="25"/>
      <c r="J184" s="25"/>
      <c r="K184" s="25"/>
      <c r="L184" s="25"/>
      <c r="M184" s="25"/>
      <c r="N184" s="25"/>
      <c r="O184" s="25"/>
      <c r="P184" s="25"/>
      <c r="Q184" s="25"/>
      <c r="R184" s="169"/>
      <c r="S184" s="46" t="s">
        <v>665</v>
      </c>
      <c r="T184" s="25" t="s">
        <v>169</v>
      </c>
      <c r="U184" s="172" t="s">
        <v>659</v>
      </c>
    </row>
    <row r="185" spans="1:21" ht="18" hidden="1">
      <c r="A185" s="21">
        <v>2025</v>
      </c>
      <c r="B185" s="21" t="s">
        <v>627</v>
      </c>
      <c r="C185" s="21" t="s">
        <v>82</v>
      </c>
      <c r="D185" s="22">
        <v>150</v>
      </c>
      <c r="E185" s="23">
        <v>1</v>
      </c>
      <c r="F185" s="24" t="s">
        <v>628</v>
      </c>
      <c r="G185" s="25"/>
      <c r="H185" s="25"/>
      <c r="I185" s="25"/>
      <c r="J185" s="25"/>
      <c r="K185" s="25"/>
      <c r="L185" s="25"/>
      <c r="M185" s="25"/>
      <c r="N185" s="25"/>
      <c r="O185" s="25"/>
      <c r="P185" s="25"/>
      <c r="Q185" s="25"/>
      <c r="R185" s="169"/>
      <c r="T185" s="25" t="s">
        <v>169</v>
      </c>
      <c r="U185" s="172"/>
    </row>
    <row r="186" spans="1:21" ht="18" hidden="1">
      <c r="A186" s="21">
        <v>2025</v>
      </c>
      <c r="B186" s="21" t="s">
        <v>629</v>
      </c>
      <c r="C186" s="21" t="s">
        <v>112</v>
      </c>
      <c r="D186" s="22">
        <v>3700</v>
      </c>
      <c r="E186" s="23">
        <v>1</v>
      </c>
      <c r="F186" s="24" t="s">
        <v>649</v>
      </c>
      <c r="G186" s="25"/>
      <c r="H186" s="25"/>
      <c r="I186" s="25"/>
      <c r="J186" s="25"/>
      <c r="K186" s="25"/>
      <c r="L186" s="25"/>
      <c r="M186" s="25">
        <v>56</v>
      </c>
      <c r="N186" s="25"/>
      <c r="O186" s="25">
        <v>91</v>
      </c>
      <c r="P186" s="25">
        <v>11</v>
      </c>
      <c r="Q186" s="25"/>
      <c r="R186" s="169">
        <v>2</v>
      </c>
      <c r="T186" s="25" t="s">
        <v>634</v>
      </c>
      <c r="U186" s="172" t="s">
        <v>677</v>
      </c>
    </row>
    <row r="187" spans="1:21" ht="18" hidden="1">
      <c r="A187" s="21">
        <v>2025</v>
      </c>
      <c r="B187" s="21" t="s">
        <v>630</v>
      </c>
      <c r="C187" s="21" t="s">
        <v>98</v>
      </c>
      <c r="D187" s="22">
        <v>1</v>
      </c>
      <c r="E187" s="23">
        <v>1</v>
      </c>
      <c r="F187" s="24" t="s">
        <v>662</v>
      </c>
      <c r="G187" s="25"/>
      <c r="H187" s="25"/>
      <c r="I187" s="25"/>
      <c r="J187" s="25"/>
      <c r="K187" s="25"/>
      <c r="L187" s="25"/>
      <c r="M187" s="25"/>
      <c r="N187" s="25"/>
      <c r="O187" s="25"/>
      <c r="P187" s="25"/>
      <c r="Q187" s="25"/>
      <c r="R187" s="169"/>
      <c r="T187" s="25" t="s">
        <v>169</v>
      </c>
      <c r="U187" s="172"/>
    </row>
    <row r="188" spans="1:21" ht="18" hidden="1">
      <c r="A188" s="21">
        <v>2025</v>
      </c>
      <c r="B188" s="21" t="s">
        <v>631</v>
      </c>
      <c r="C188" s="21" t="s">
        <v>108</v>
      </c>
      <c r="D188" s="22">
        <v>10458</v>
      </c>
      <c r="E188" s="23">
        <v>1</v>
      </c>
      <c r="F188" s="24" t="s">
        <v>632</v>
      </c>
      <c r="G188" s="25"/>
      <c r="H188" s="25"/>
      <c r="I188" s="25"/>
      <c r="J188" s="25"/>
      <c r="K188" s="25"/>
      <c r="L188" s="25"/>
      <c r="M188" s="25"/>
      <c r="N188" s="25"/>
      <c r="O188" s="25"/>
      <c r="P188" s="25"/>
      <c r="Q188" s="25"/>
      <c r="R188" s="169"/>
      <c r="T188" s="25" t="s">
        <v>169</v>
      </c>
      <c r="U188" s="172"/>
    </row>
    <row r="189" spans="1:21" ht="18" hidden="1">
      <c r="A189" s="21">
        <v>2025</v>
      </c>
      <c r="B189" s="21" t="s">
        <v>654</v>
      </c>
      <c r="C189" s="21" t="s">
        <v>96</v>
      </c>
      <c r="D189" s="22">
        <v>3278</v>
      </c>
      <c r="E189" s="23">
        <v>1</v>
      </c>
      <c r="F189" s="24" t="s">
        <v>658</v>
      </c>
      <c r="G189" s="25"/>
      <c r="H189" s="25"/>
      <c r="I189" s="25"/>
      <c r="J189" s="25"/>
      <c r="K189" s="25"/>
      <c r="L189" s="25"/>
      <c r="M189" s="25"/>
      <c r="N189" s="25"/>
      <c r="O189" s="25"/>
      <c r="P189" s="25"/>
      <c r="Q189" s="25"/>
      <c r="R189" s="169"/>
      <c r="T189" s="25" t="s">
        <v>169</v>
      </c>
      <c r="U189" s="172" t="s">
        <v>671</v>
      </c>
    </row>
    <row r="190" spans="1:21" ht="18" hidden="1">
      <c r="A190" s="21">
        <v>2025</v>
      </c>
      <c r="B190" s="21" t="s">
        <v>660</v>
      </c>
      <c r="C190" s="21" t="s">
        <v>92</v>
      </c>
      <c r="D190" s="22">
        <v>1700</v>
      </c>
      <c r="E190" s="23">
        <v>1</v>
      </c>
      <c r="F190" s="24" t="s">
        <v>663</v>
      </c>
      <c r="G190" s="25"/>
      <c r="H190" s="25"/>
      <c r="I190" s="25"/>
      <c r="J190" s="25"/>
      <c r="K190" s="25"/>
      <c r="L190" s="25"/>
      <c r="M190" s="25"/>
      <c r="N190" s="25"/>
      <c r="O190" s="25"/>
      <c r="P190" s="25"/>
      <c r="Q190" s="25"/>
      <c r="R190" s="169"/>
      <c r="T190" s="25" t="s">
        <v>169</v>
      </c>
      <c r="U190" s="172"/>
    </row>
    <row r="191" spans="1:21" ht="18" hidden="1">
      <c r="A191" s="21">
        <v>2025</v>
      </c>
      <c r="B191" s="21" t="s">
        <v>276</v>
      </c>
      <c r="C191" s="21" t="s">
        <v>95</v>
      </c>
      <c r="D191" s="22">
        <v>468</v>
      </c>
      <c r="E191" s="23">
        <v>1</v>
      </c>
      <c r="F191" s="24" t="s">
        <v>667</v>
      </c>
      <c r="G191" s="25"/>
      <c r="H191" s="25"/>
      <c r="I191" s="25"/>
      <c r="J191" s="25"/>
      <c r="K191" s="25"/>
      <c r="L191" s="25"/>
      <c r="M191" s="25"/>
      <c r="N191" s="25"/>
      <c r="O191" s="25"/>
      <c r="P191" s="25"/>
      <c r="Q191" s="25"/>
      <c r="R191" s="169"/>
      <c r="T191" s="25" t="s">
        <v>169</v>
      </c>
      <c r="U191" s="172" t="s">
        <v>671</v>
      </c>
    </row>
    <row r="192" spans="1:21" ht="18" hidden="1">
      <c r="A192" s="21">
        <v>2025</v>
      </c>
      <c r="B192" s="21" t="s">
        <v>668</v>
      </c>
      <c r="C192" s="21" t="s">
        <v>100</v>
      </c>
      <c r="D192" s="22">
        <v>5</v>
      </c>
      <c r="E192" s="23">
        <v>1</v>
      </c>
      <c r="F192" s="24" t="s">
        <v>669</v>
      </c>
      <c r="G192" s="25"/>
      <c r="H192" s="25"/>
      <c r="I192" s="25"/>
      <c r="J192" s="25"/>
      <c r="K192" s="25"/>
      <c r="L192" s="25"/>
      <c r="M192" s="25"/>
      <c r="N192" s="25"/>
      <c r="O192" s="25"/>
      <c r="P192" s="25"/>
      <c r="Q192" s="25"/>
      <c r="R192" s="169"/>
      <c r="T192" s="25" t="s">
        <v>169</v>
      </c>
      <c r="U192" s="172" t="s">
        <v>672</v>
      </c>
    </row>
    <row r="193" spans="1:21" ht="18" hidden="1">
      <c r="A193" s="21">
        <v>2025</v>
      </c>
      <c r="B193" s="21" t="s">
        <v>679</v>
      </c>
      <c r="C193" s="21" t="s">
        <v>99</v>
      </c>
      <c r="D193" s="22">
        <v>1584</v>
      </c>
      <c r="E193" s="23">
        <v>1</v>
      </c>
      <c r="F193" s="24" t="s">
        <v>683</v>
      </c>
      <c r="G193" s="25"/>
      <c r="H193" s="25"/>
      <c r="I193" s="25"/>
      <c r="J193" s="25"/>
      <c r="K193" s="25"/>
      <c r="L193" s="25"/>
      <c r="M193" s="25"/>
      <c r="N193" s="25"/>
      <c r="O193" s="25"/>
      <c r="P193" s="25"/>
      <c r="Q193" s="25"/>
      <c r="R193" s="169"/>
      <c r="T193" s="25" t="s">
        <v>169</v>
      </c>
      <c r="U193" s="172" t="s">
        <v>690</v>
      </c>
    </row>
    <row r="194" spans="1:21" ht="18" hidden="1">
      <c r="A194" s="21">
        <v>2025</v>
      </c>
      <c r="B194" s="21" t="s">
        <v>680</v>
      </c>
      <c r="C194" s="21" t="s">
        <v>96</v>
      </c>
      <c r="D194" s="22">
        <v>624</v>
      </c>
      <c r="E194" s="23">
        <v>1</v>
      </c>
      <c r="F194" s="24" t="s">
        <v>685</v>
      </c>
      <c r="G194" s="25"/>
      <c r="H194" s="25"/>
      <c r="I194" s="25"/>
      <c r="J194" s="25"/>
      <c r="K194" s="25"/>
      <c r="L194" s="25"/>
      <c r="M194" s="25"/>
      <c r="N194" s="25"/>
      <c r="O194" s="25"/>
      <c r="P194" s="25"/>
      <c r="Q194" s="25"/>
      <c r="R194" s="169"/>
      <c r="T194" s="25" t="s">
        <v>169</v>
      </c>
      <c r="U194" s="172" t="s">
        <v>690</v>
      </c>
    </row>
    <row r="195" spans="1:21" ht="18" hidden="1">
      <c r="A195" s="21">
        <v>2025</v>
      </c>
      <c r="B195" s="21" t="s">
        <v>681</v>
      </c>
      <c r="C195" s="21" t="s">
        <v>109</v>
      </c>
      <c r="D195" s="22">
        <v>2489</v>
      </c>
      <c r="E195" s="23">
        <v>1</v>
      </c>
      <c r="F195" s="24" t="s">
        <v>684</v>
      </c>
      <c r="G195" s="25"/>
      <c r="H195" s="25"/>
      <c r="I195" s="25"/>
      <c r="J195" s="25"/>
      <c r="K195" s="25"/>
      <c r="L195" s="25"/>
      <c r="M195" s="25">
        <v>1</v>
      </c>
      <c r="N195" s="25"/>
      <c r="O195" s="25"/>
      <c r="P195" s="25"/>
      <c r="Q195" s="25"/>
      <c r="R195" s="169"/>
      <c r="T195" s="25" t="s">
        <v>634</v>
      </c>
      <c r="U195" s="172"/>
    </row>
    <row r="196" spans="1:21" ht="18" hidden="1">
      <c r="A196" s="21">
        <v>2025</v>
      </c>
      <c r="B196" s="21" t="s">
        <v>278</v>
      </c>
      <c r="C196" s="21" t="s">
        <v>98</v>
      </c>
      <c r="D196" s="22">
        <v>5</v>
      </c>
      <c r="E196" s="23">
        <v>1</v>
      </c>
      <c r="F196" s="24" t="s">
        <v>682</v>
      </c>
      <c r="G196" s="25"/>
      <c r="H196" s="25"/>
      <c r="I196" s="25"/>
      <c r="J196" s="25"/>
      <c r="K196" s="25"/>
      <c r="L196" s="25"/>
      <c r="M196" s="25"/>
      <c r="N196" s="25"/>
      <c r="O196" s="25"/>
      <c r="P196" s="25"/>
      <c r="Q196" s="25"/>
      <c r="R196" s="169"/>
      <c r="T196" s="25" t="s">
        <v>169</v>
      </c>
      <c r="U196" s="172" t="s">
        <v>686</v>
      </c>
    </row>
    <row r="197" spans="1:21" ht="18" hidden="1">
      <c r="A197" s="21">
        <v>2025</v>
      </c>
      <c r="B197" s="21" t="s">
        <v>163</v>
      </c>
      <c r="C197" s="21" t="s">
        <v>112</v>
      </c>
      <c r="D197" s="22">
        <v>92.18</v>
      </c>
      <c r="E197" s="23">
        <v>1</v>
      </c>
      <c r="F197" s="24" t="s">
        <v>691</v>
      </c>
      <c r="G197" s="25"/>
      <c r="H197" s="25"/>
      <c r="I197" s="25"/>
      <c r="J197" s="25"/>
      <c r="K197" s="25"/>
      <c r="L197" s="25"/>
      <c r="M197" s="25"/>
      <c r="N197" s="25"/>
      <c r="O197" s="25"/>
      <c r="P197" s="25"/>
      <c r="Q197" s="25"/>
      <c r="R197" s="169"/>
      <c r="T197" s="25" t="s">
        <v>169</v>
      </c>
      <c r="U197" s="172"/>
    </row>
    <row r="198" spans="1:21" ht="18" hidden="1">
      <c r="A198" s="21">
        <v>2025</v>
      </c>
      <c r="B198" s="21" t="s">
        <v>696</v>
      </c>
      <c r="C198" s="21" t="s">
        <v>96</v>
      </c>
      <c r="D198" s="22">
        <v>966</v>
      </c>
      <c r="E198" s="23">
        <v>1</v>
      </c>
      <c r="F198" s="24" t="s">
        <v>692</v>
      </c>
      <c r="G198" s="25"/>
      <c r="H198" s="25"/>
      <c r="I198" s="25"/>
      <c r="J198" s="25"/>
      <c r="K198" s="25"/>
      <c r="L198" s="25"/>
      <c r="M198" s="25"/>
      <c r="N198" s="25"/>
      <c r="O198" s="25"/>
      <c r="P198" s="25"/>
      <c r="Q198" s="25"/>
      <c r="R198" s="169"/>
      <c r="S198" s="46" t="s">
        <v>665</v>
      </c>
      <c r="T198" s="25" t="s">
        <v>169</v>
      </c>
      <c r="U198" s="172" t="s">
        <v>694</v>
      </c>
    </row>
    <row r="199" spans="1:21" ht="18" hidden="1">
      <c r="A199" s="21">
        <v>2025</v>
      </c>
      <c r="B199" s="21" t="s">
        <v>698</v>
      </c>
      <c r="C199" s="21" t="s">
        <v>95</v>
      </c>
      <c r="D199" s="22">
        <v>887</v>
      </c>
      <c r="E199" s="23">
        <v>1</v>
      </c>
      <c r="F199" s="24" t="s">
        <v>702</v>
      </c>
      <c r="G199" s="25"/>
      <c r="H199" s="25"/>
      <c r="I199" s="25"/>
      <c r="J199" s="25"/>
      <c r="K199" s="25"/>
      <c r="L199" s="25"/>
      <c r="M199" s="25"/>
      <c r="N199" s="25"/>
      <c r="O199" s="25"/>
      <c r="P199" s="25"/>
      <c r="Q199" s="25"/>
      <c r="R199" s="169"/>
      <c r="T199" s="25" t="s">
        <v>169</v>
      </c>
      <c r="U199" s="172" t="s">
        <v>740</v>
      </c>
    </row>
    <row r="200" spans="1:21" ht="18" hidden="1">
      <c r="A200" s="21">
        <v>2025</v>
      </c>
      <c r="B200" s="21" t="s">
        <v>695</v>
      </c>
      <c r="C200" s="21" t="s">
        <v>88</v>
      </c>
      <c r="D200" s="22">
        <v>307</v>
      </c>
      <c r="E200" s="23">
        <v>1</v>
      </c>
      <c r="F200" s="24" t="s">
        <v>693</v>
      </c>
      <c r="G200" s="25"/>
      <c r="H200" s="25"/>
      <c r="I200" s="25"/>
      <c r="J200" s="25"/>
      <c r="K200" s="25"/>
      <c r="L200" s="25"/>
      <c r="M200" s="25"/>
      <c r="N200" s="25"/>
      <c r="O200" s="25"/>
      <c r="P200" s="25"/>
      <c r="Q200" s="25"/>
      <c r="R200" s="169"/>
      <c r="T200" s="25" t="s">
        <v>169</v>
      </c>
      <c r="U200" s="172"/>
    </row>
    <row r="201" spans="1:21" ht="18" hidden="1">
      <c r="A201" s="21">
        <v>2025</v>
      </c>
      <c r="B201" s="21" t="s">
        <v>728</v>
      </c>
      <c r="C201" s="21" t="s">
        <v>95</v>
      </c>
      <c r="D201" s="22">
        <v>257</v>
      </c>
      <c r="E201" s="23">
        <v>1</v>
      </c>
      <c r="F201" s="24" t="s">
        <v>704</v>
      </c>
      <c r="G201" s="25"/>
      <c r="H201" s="25"/>
      <c r="I201" s="25"/>
      <c r="J201" s="25"/>
      <c r="K201" s="25"/>
      <c r="L201" s="25"/>
      <c r="M201" s="25"/>
      <c r="N201" s="25"/>
      <c r="O201" s="25"/>
      <c r="P201" s="25"/>
      <c r="Q201" s="25"/>
      <c r="R201" s="169"/>
      <c r="T201" s="189"/>
      <c r="U201" s="172" t="s">
        <v>727</v>
      </c>
    </row>
    <row r="202" spans="1:21" ht="18" hidden="1">
      <c r="A202" s="21">
        <v>2025</v>
      </c>
      <c r="B202" s="21" t="s">
        <v>697</v>
      </c>
      <c r="C202" s="21" t="s">
        <v>98</v>
      </c>
      <c r="D202" s="22">
        <v>2637</v>
      </c>
      <c r="E202" s="23">
        <v>1</v>
      </c>
      <c r="F202" s="187" t="s">
        <v>708</v>
      </c>
      <c r="G202" s="25"/>
      <c r="H202" s="25"/>
      <c r="I202" s="25"/>
      <c r="J202" s="25"/>
      <c r="K202" s="25"/>
      <c r="L202" s="25"/>
      <c r="M202" s="25"/>
      <c r="N202" s="25"/>
      <c r="O202" s="25">
        <v>5</v>
      </c>
      <c r="P202" s="25"/>
      <c r="Q202" s="25"/>
      <c r="R202" s="169"/>
      <c r="T202" s="25" t="s">
        <v>634</v>
      </c>
      <c r="U202" s="172"/>
    </row>
    <row r="203" spans="1:21" ht="18" hidden="1">
      <c r="A203" s="21">
        <v>2025</v>
      </c>
      <c r="B203" s="21" t="s">
        <v>699</v>
      </c>
      <c r="C203" s="21" t="s">
        <v>93</v>
      </c>
      <c r="D203" s="22">
        <v>349</v>
      </c>
      <c r="E203" s="23">
        <v>1</v>
      </c>
      <c r="F203" s="24" t="s">
        <v>750</v>
      </c>
      <c r="G203" s="25"/>
      <c r="H203" s="25"/>
      <c r="I203" s="25"/>
      <c r="J203" s="25"/>
      <c r="K203" s="25"/>
      <c r="L203" s="25"/>
      <c r="M203" s="25"/>
      <c r="N203" s="25"/>
      <c r="O203" s="25"/>
      <c r="P203" s="25"/>
      <c r="Q203" s="25"/>
      <c r="R203" s="169"/>
      <c r="T203" s="25" t="s">
        <v>169</v>
      </c>
      <c r="U203" s="172"/>
    </row>
    <row r="204" spans="1:21" ht="18" hidden="1">
      <c r="A204" s="21">
        <v>2025</v>
      </c>
      <c r="B204" s="21" t="s">
        <v>700</v>
      </c>
      <c r="C204" s="21" t="s">
        <v>88</v>
      </c>
      <c r="D204" s="22">
        <v>4417</v>
      </c>
      <c r="E204" s="23">
        <v>1</v>
      </c>
      <c r="F204" s="24" t="s">
        <v>751</v>
      </c>
      <c r="G204" s="25"/>
      <c r="H204" s="25"/>
      <c r="I204" s="25"/>
      <c r="J204" s="25"/>
      <c r="K204" s="25"/>
      <c r="L204" s="25"/>
      <c r="M204" s="25"/>
      <c r="N204" s="25"/>
      <c r="O204" s="25"/>
      <c r="P204" s="25"/>
      <c r="Q204" s="25"/>
      <c r="R204" s="169"/>
      <c r="T204" s="25" t="s">
        <v>169</v>
      </c>
      <c r="U204" s="172"/>
    </row>
    <row r="205" spans="1:21" ht="48" hidden="1">
      <c r="A205" s="21">
        <v>2025</v>
      </c>
      <c r="B205" s="21" t="s">
        <v>701</v>
      </c>
      <c r="C205" s="21" t="s">
        <v>104</v>
      </c>
      <c r="D205" s="22">
        <v>30</v>
      </c>
      <c r="E205" s="23">
        <v>1</v>
      </c>
      <c r="F205" s="24" t="s">
        <v>703</v>
      </c>
      <c r="G205" s="25"/>
      <c r="H205" s="25"/>
      <c r="I205" s="25"/>
      <c r="J205" s="25"/>
      <c r="K205" s="25"/>
      <c r="L205" s="25"/>
      <c r="M205" s="25"/>
      <c r="N205" s="25"/>
      <c r="O205" s="25">
        <v>2</v>
      </c>
      <c r="P205" s="25"/>
      <c r="Q205" s="25"/>
      <c r="R205" s="169">
        <v>1</v>
      </c>
      <c r="T205" s="25" t="s">
        <v>634</v>
      </c>
      <c r="U205" s="172" t="s">
        <v>710</v>
      </c>
    </row>
    <row r="206" spans="1:21" ht="18" hidden="1">
      <c r="A206" s="21">
        <v>2025</v>
      </c>
      <c r="B206" s="21" t="s">
        <v>705</v>
      </c>
      <c r="C206" s="21" t="s">
        <v>95</v>
      </c>
      <c r="D206" s="22">
        <v>2</v>
      </c>
      <c r="E206" s="23">
        <v>1</v>
      </c>
      <c r="F206" s="24" t="s">
        <v>706</v>
      </c>
      <c r="G206" s="25"/>
      <c r="H206" s="25"/>
      <c r="I206" s="25"/>
      <c r="J206" s="25"/>
      <c r="K206" s="25"/>
      <c r="L206" s="25"/>
      <c r="M206" s="25"/>
      <c r="N206" s="25"/>
      <c r="O206" s="25"/>
      <c r="P206" s="25"/>
      <c r="Q206" s="25"/>
      <c r="R206" s="169"/>
      <c r="T206" s="25" t="s">
        <v>169</v>
      </c>
      <c r="U206" s="172" t="s">
        <v>709</v>
      </c>
    </row>
    <row r="207" spans="1:21" ht="18" hidden="1">
      <c r="A207" s="21">
        <v>2025</v>
      </c>
      <c r="B207" s="21" t="s">
        <v>707</v>
      </c>
      <c r="C207" s="21" t="s">
        <v>98</v>
      </c>
      <c r="D207" s="22">
        <v>56</v>
      </c>
      <c r="E207" s="23">
        <v>1</v>
      </c>
      <c r="F207" s="24" t="s">
        <v>743</v>
      </c>
      <c r="G207" s="25"/>
      <c r="H207" s="25"/>
      <c r="I207" s="25"/>
      <c r="J207" s="25"/>
      <c r="K207" s="25"/>
      <c r="L207" s="25"/>
      <c r="M207" s="25"/>
      <c r="N207" s="25"/>
      <c r="O207" s="25"/>
      <c r="P207" s="25"/>
      <c r="Q207" s="25"/>
      <c r="R207" s="169"/>
      <c r="T207" s="25" t="s">
        <v>169</v>
      </c>
      <c r="U207" s="172" t="s">
        <v>714</v>
      </c>
    </row>
    <row r="208" spans="1:21" ht="18" hidden="1">
      <c r="A208" s="21">
        <v>2025</v>
      </c>
      <c r="B208" s="21" t="s">
        <v>711</v>
      </c>
      <c r="C208" s="21" t="s">
        <v>103</v>
      </c>
      <c r="D208" s="22">
        <v>835</v>
      </c>
      <c r="E208" s="23">
        <v>1</v>
      </c>
      <c r="F208" s="24" t="s">
        <v>744</v>
      </c>
      <c r="G208" s="25"/>
      <c r="H208" s="25"/>
      <c r="I208" s="25"/>
      <c r="J208" s="25"/>
      <c r="K208" s="25"/>
      <c r="L208" s="25"/>
      <c r="M208" s="25"/>
      <c r="N208" s="25"/>
      <c r="O208" s="25"/>
      <c r="P208" s="25"/>
      <c r="Q208" s="25"/>
      <c r="R208" s="169"/>
      <c r="T208" s="25" t="s">
        <v>169</v>
      </c>
      <c r="U208" s="172"/>
    </row>
    <row r="209" spans="1:21" ht="18" hidden="1">
      <c r="A209" s="21">
        <v>2025</v>
      </c>
      <c r="B209" s="21" t="s">
        <v>712</v>
      </c>
      <c r="C209" s="21" t="s">
        <v>96</v>
      </c>
      <c r="D209" s="22">
        <v>95736</v>
      </c>
      <c r="E209" s="23">
        <v>1</v>
      </c>
      <c r="F209" s="24" t="s">
        <v>745</v>
      </c>
      <c r="G209" s="25"/>
      <c r="H209" s="25"/>
      <c r="I209" s="25"/>
      <c r="J209" s="25"/>
      <c r="K209" s="25"/>
      <c r="L209" s="25"/>
      <c r="M209" s="25">
        <v>2</v>
      </c>
      <c r="N209" s="25"/>
      <c r="O209" s="25">
        <v>16</v>
      </c>
      <c r="P209" s="25"/>
      <c r="Q209" s="25"/>
      <c r="R209" s="169"/>
      <c r="S209" s="46" t="s">
        <v>666</v>
      </c>
      <c r="T209" s="25" t="s">
        <v>634</v>
      </c>
      <c r="U209" s="172"/>
    </row>
    <row r="210" spans="1:21" ht="18" hidden="1">
      <c r="A210" s="21">
        <v>2025</v>
      </c>
      <c r="B210" s="21" t="s">
        <v>713</v>
      </c>
      <c r="C210" s="21" t="s">
        <v>88</v>
      </c>
      <c r="D210" s="22">
        <v>719</v>
      </c>
      <c r="E210" s="23">
        <v>1</v>
      </c>
      <c r="F210" s="24" t="s">
        <v>746</v>
      </c>
      <c r="G210" s="25"/>
      <c r="H210" s="25"/>
      <c r="I210" s="25"/>
      <c r="J210" s="25"/>
      <c r="K210" s="25"/>
      <c r="L210" s="25"/>
      <c r="M210" s="25"/>
      <c r="N210" s="25"/>
      <c r="O210" s="25"/>
      <c r="P210" s="25"/>
      <c r="Q210" s="25"/>
      <c r="R210" s="169"/>
      <c r="T210" s="25" t="s">
        <v>169</v>
      </c>
      <c r="U210" s="172"/>
    </row>
    <row r="211" spans="1:21" ht="18" hidden="1">
      <c r="A211" s="21">
        <v>2025</v>
      </c>
      <c r="B211" s="21" t="s">
        <v>715</v>
      </c>
      <c r="C211" s="21" t="s">
        <v>98</v>
      </c>
      <c r="D211" s="22">
        <v>669</v>
      </c>
      <c r="E211" s="23">
        <v>1</v>
      </c>
      <c r="F211" s="24" t="s">
        <v>747</v>
      </c>
      <c r="G211" s="25"/>
      <c r="H211" s="25"/>
      <c r="I211" s="25"/>
      <c r="J211" s="25"/>
      <c r="K211" s="25"/>
      <c r="L211" s="25"/>
      <c r="M211" s="25"/>
      <c r="N211" s="25"/>
      <c r="O211" s="25"/>
      <c r="P211" s="25"/>
      <c r="Q211" s="25"/>
      <c r="R211" s="169"/>
      <c r="T211" s="25" t="s">
        <v>169</v>
      </c>
      <c r="U211" s="172"/>
    </row>
    <row r="212" spans="1:21" ht="18" hidden="1">
      <c r="A212" s="21">
        <v>2025</v>
      </c>
      <c r="B212" s="21" t="s">
        <v>720</v>
      </c>
      <c r="C212" s="21" t="s">
        <v>82</v>
      </c>
      <c r="D212" s="22">
        <v>851</v>
      </c>
      <c r="E212" s="23">
        <v>1</v>
      </c>
      <c r="F212" s="24" t="s">
        <v>748</v>
      </c>
      <c r="G212" s="25"/>
      <c r="H212" s="25"/>
      <c r="I212" s="25"/>
      <c r="J212" s="25"/>
      <c r="K212" s="25"/>
      <c r="L212" s="25"/>
      <c r="M212" s="25"/>
      <c r="N212" s="25"/>
      <c r="O212" s="25"/>
      <c r="P212" s="25"/>
      <c r="Q212" s="25"/>
      <c r="R212" s="169"/>
      <c r="T212" s="25" t="s">
        <v>169</v>
      </c>
      <c r="U212" s="172"/>
    </row>
    <row r="213" spans="1:21" ht="18" hidden="1">
      <c r="A213" s="21">
        <v>2025</v>
      </c>
      <c r="B213" s="21" t="s">
        <v>721</v>
      </c>
      <c r="C213" s="21" t="s">
        <v>109</v>
      </c>
      <c r="D213" s="22">
        <v>700</v>
      </c>
      <c r="E213" s="23">
        <v>1</v>
      </c>
      <c r="F213" s="24" t="s">
        <v>749</v>
      </c>
      <c r="G213" s="25"/>
      <c r="H213" s="25"/>
      <c r="I213" s="25"/>
      <c r="J213" s="25"/>
      <c r="K213" s="25"/>
      <c r="L213" s="25"/>
      <c r="M213" s="25"/>
      <c r="N213" s="25"/>
      <c r="O213" s="25"/>
      <c r="P213" s="25"/>
      <c r="Q213" s="25"/>
      <c r="R213" s="169"/>
      <c r="T213" s="25" t="s">
        <v>169</v>
      </c>
      <c r="U213" s="172" t="s">
        <v>729</v>
      </c>
    </row>
    <row r="214" spans="1:21" ht="18" hidden="1">
      <c r="A214" s="21">
        <v>2025</v>
      </c>
      <c r="B214" s="21" t="s">
        <v>732</v>
      </c>
      <c r="C214" s="21" t="s">
        <v>97</v>
      </c>
      <c r="D214" s="22">
        <v>469</v>
      </c>
      <c r="E214" s="23">
        <v>1</v>
      </c>
      <c r="F214" s="24" t="s">
        <v>734</v>
      </c>
      <c r="G214" s="25"/>
      <c r="H214" s="25"/>
      <c r="I214" s="25"/>
      <c r="J214" s="25"/>
      <c r="K214" s="25"/>
      <c r="L214" s="25"/>
      <c r="M214" s="25"/>
      <c r="N214" s="25"/>
      <c r="O214" s="25"/>
      <c r="P214" s="25"/>
      <c r="Q214" s="25"/>
      <c r="R214" s="169"/>
      <c r="T214" s="25" t="s">
        <v>169</v>
      </c>
      <c r="U214" s="172"/>
    </row>
    <row r="215" spans="1:21" ht="18" hidden="1">
      <c r="A215" s="21">
        <v>2025</v>
      </c>
      <c r="B215" s="21" t="s">
        <v>733</v>
      </c>
      <c r="C215" s="21" t="s">
        <v>103</v>
      </c>
      <c r="D215" s="22">
        <v>1500</v>
      </c>
      <c r="E215" s="23">
        <v>1</v>
      </c>
      <c r="F215" s="24" t="s">
        <v>735</v>
      </c>
      <c r="G215" s="25"/>
      <c r="H215" s="25"/>
      <c r="I215" s="25"/>
      <c r="J215" s="25"/>
      <c r="K215" s="25"/>
      <c r="L215" s="25"/>
      <c r="M215" s="25"/>
      <c r="N215" s="25"/>
      <c r="O215" s="25"/>
      <c r="P215" s="25"/>
      <c r="Q215" s="25"/>
      <c r="R215" s="169"/>
      <c r="T215" s="25" t="s">
        <v>169</v>
      </c>
      <c r="U215" s="172"/>
    </row>
    <row r="216" spans="1:21" ht="18" hidden="1">
      <c r="A216" s="21">
        <v>2025</v>
      </c>
      <c r="B216" s="21" t="s">
        <v>613</v>
      </c>
      <c r="C216" s="21" t="s">
        <v>112</v>
      </c>
      <c r="D216" s="22">
        <v>2046</v>
      </c>
      <c r="E216" s="23">
        <v>1</v>
      </c>
      <c r="F216" s="24" t="s">
        <v>736</v>
      </c>
      <c r="G216" s="25"/>
      <c r="H216" s="25"/>
      <c r="I216" s="25"/>
      <c r="J216" s="25"/>
      <c r="K216" s="25"/>
      <c r="L216" s="25"/>
      <c r="M216" s="25"/>
      <c r="N216" s="25"/>
      <c r="O216" s="25"/>
      <c r="P216" s="25"/>
      <c r="Q216" s="25"/>
      <c r="R216" s="169"/>
      <c r="S216" s="46" t="s">
        <v>665</v>
      </c>
      <c r="T216" s="25" t="s">
        <v>169</v>
      </c>
      <c r="U216" s="172"/>
    </row>
    <row r="217" spans="1:21" ht="18" hidden="1">
      <c r="A217" s="21">
        <v>2025</v>
      </c>
      <c r="B217" s="21" t="s">
        <v>737</v>
      </c>
      <c r="C217" s="21" t="s">
        <v>96</v>
      </c>
      <c r="D217" s="22">
        <v>381</v>
      </c>
      <c r="E217" s="23">
        <v>1</v>
      </c>
      <c r="F217" s="24" t="s">
        <v>738</v>
      </c>
      <c r="G217" s="25"/>
      <c r="H217" s="25"/>
      <c r="I217" s="25"/>
      <c r="J217" s="25"/>
      <c r="K217" s="25"/>
      <c r="L217" s="25"/>
      <c r="M217" s="25"/>
      <c r="N217" s="25"/>
      <c r="O217" s="25"/>
      <c r="P217" s="25"/>
      <c r="Q217" s="25"/>
      <c r="R217" s="169"/>
      <c r="S217" s="46" t="s">
        <v>665</v>
      </c>
      <c r="T217" s="25" t="s">
        <v>169</v>
      </c>
      <c r="U217" s="172"/>
    </row>
    <row r="218" spans="1:21" ht="18" hidden="1">
      <c r="A218" s="21">
        <v>2025</v>
      </c>
      <c r="B218" s="21" t="s">
        <v>741</v>
      </c>
      <c r="C218" s="21" t="s">
        <v>103</v>
      </c>
      <c r="D218" s="22">
        <v>12934</v>
      </c>
      <c r="E218" s="23">
        <v>1</v>
      </c>
      <c r="F218" s="24" t="s">
        <v>742</v>
      </c>
      <c r="G218" s="25"/>
      <c r="H218" s="25"/>
      <c r="I218" s="25"/>
      <c r="J218" s="25"/>
      <c r="K218" s="25"/>
      <c r="L218" s="25"/>
      <c r="M218" s="25"/>
      <c r="N218" s="25"/>
      <c r="O218" s="25"/>
      <c r="P218" s="25"/>
      <c r="Q218" s="25"/>
      <c r="R218" s="169"/>
      <c r="T218" s="25" t="s">
        <v>169</v>
      </c>
      <c r="U218" s="172"/>
    </row>
    <row r="219" spans="1:21" ht="18" hidden="1">
      <c r="A219" s="21">
        <v>2025</v>
      </c>
      <c r="B219" s="21" t="s">
        <v>754</v>
      </c>
      <c r="C219" s="21" t="s">
        <v>82</v>
      </c>
      <c r="D219" s="22">
        <v>1124</v>
      </c>
      <c r="E219" s="23">
        <v>1</v>
      </c>
      <c r="F219" s="24" t="s">
        <v>755</v>
      </c>
      <c r="G219" s="25"/>
      <c r="H219" s="25"/>
      <c r="I219" s="25"/>
      <c r="J219" s="25"/>
      <c r="K219" s="25"/>
      <c r="L219" s="25"/>
      <c r="M219" s="25"/>
      <c r="N219" s="25"/>
      <c r="O219" s="25"/>
      <c r="P219" s="25"/>
      <c r="Q219" s="25"/>
      <c r="R219" s="169"/>
      <c r="T219" s="25" t="s">
        <v>169</v>
      </c>
      <c r="U219" s="172"/>
    </row>
    <row r="220" spans="1:21" ht="18" hidden="1">
      <c r="A220" s="21">
        <v>2025</v>
      </c>
      <c r="B220" s="21" t="s">
        <v>756</v>
      </c>
      <c r="C220" s="21" t="s">
        <v>103</v>
      </c>
      <c r="D220" s="22">
        <v>31960</v>
      </c>
      <c r="E220" s="23">
        <v>1</v>
      </c>
      <c r="F220" s="24" t="s">
        <v>757</v>
      </c>
      <c r="G220" s="25"/>
      <c r="H220" s="25"/>
      <c r="I220" s="25"/>
      <c r="J220" s="25"/>
      <c r="K220" s="25"/>
      <c r="L220" s="25"/>
      <c r="M220" s="25"/>
      <c r="N220" s="25"/>
      <c r="O220" s="25"/>
      <c r="P220" s="25"/>
      <c r="Q220" s="25"/>
      <c r="R220" s="169"/>
      <c r="T220" s="25" t="s">
        <v>169</v>
      </c>
      <c r="U220" s="172"/>
    </row>
    <row r="221" spans="1:21" ht="18" hidden="1">
      <c r="A221" s="21">
        <v>2025</v>
      </c>
      <c r="B221" s="21" t="s">
        <v>758</v>
      </c>
      <c r="C221" s="21" t="s">
        <v>109</v>
      </c>
      <c r="D221" s="22">
        <v>490</v>
      </c>
      <c r="E221" s="23">
        <v>1</v>
      </c>
      <c r="F221" s="24" t="s">
        <v>759</v>
      </c>
      <c r="G221" s="25"/>
      <c r="H221" s="25"/>
      <c r="I221" s="25"/>
      <c r="J221" s="25"/>
      <c r="K221" s="25"/>
      <c r="L221" s="25"/>
      <c r="M221" s="25"/>
      <c r="N221" s="25"/>
      <c r="O221" s="25"/>
      <c r="P221" s="25"/>
      <c r="Q221" s="25"/>
      <c r="R221" s="169"/>
      <c r="S221" s="46" t="s">
        <v>666</v>
      </c>
      <c r="T221" s="25" t="s">
        <v>169</v>
      </c>
      <c r="U221" s="172"/>
    </row>
    <row r="222" spans="1:21" ht="18" hidden="1">
      <c r="A222" s="21">
        <v>2025</v>
      </c>
      <c r="B222" s="21" t="s">
        <v>763</v>
      </c>
      <c r="C222" s="21" t="s">
        <v>100</v>
      </c>
      <c r="D222" s="22">
        <v>30</v>
      </c>
      <c r="E222" s="23">
        <v>1</v>
      </c>
      <c r="F222" s="24" t="s">
        <v>764</v>
      </c>
      <c r="G222" s="25"/>
      <c r="H222" s="25"/>
      <c r="I222" s="25"/>
      <c r="J222" s="25"/>
      <c r="K222" s="25"/>
      <c r="L222" s="25"/>
      <c r="M222" s="25"/>
      <c r="N222" s="25"/>
      <c r="O222" s="25"/>
      <c r="P222" s="25"/>
      <c r="Q222" s="25"/>
      <c r="R222" s="169"/>
      <c r="T222" s="25" t="s">
        <v>169</v>
      </c>
      <c r="U222" s="172" t="s">
        <v>770</v>
      </c>
    </row>
    <row r="223" spans="1:21" ht="18" hidden="1">
      <c r="A223" s="21">
        <v>2025</v>
      </c>
      <c r="B223" s="21" t="s">
        <v>765</v>
      </c>
      <c r="C223" s="21" t="s">
        <v>112</v>
      </c>
      <c r="D223" s="22">
        <v>1</v>
      </c>
      <c r="E223" s="23">
        <v>1</v>
      </c>
      <c r="F223" s="24" t="s">
        <v>766</v>
      </c>
      <c r="G223" s="25"/>
      <c r="H223" s="25"/>
      <c r="I223" s="25"/>
      <c r="J223" s="25"/>
      <c r="K223" s="25"/>
      <c r="L223" s="25"/>
      <c r="M223" s="25"/>
      <c r="N223" s="25"/>
      <c r="O223" s="25"/>
      <c r="P223" s="25"/>
      <c r="Q223" s="25"/>
      <c r="R223" s="169"/>
      <c r="T223" s="25" t="s">
        <v>169</v>
      </c>
      <c r="U223" s="172" t="s">
        <v>767</v>
      </c>
    </row>
    <row r="224" spans="1:21" ht="18" hidden="1">
      <c r="A224" s="21">
        <v>2025</v>
      </c>
      <c r="B224" s="21" t="s">
        <v>768</v>
      </c>
      <c r="C224" s="21" t="s">
        <v>109</v>
      </c>
      <c r="D224" s="22">
        <v>251</v>
      </c>
      <c r="E224" s="23">
        <v>1</v>
      </c>
      <c r="F224" s="24" t="s">
        <v>769</v>
      </c>
      <c r="G224" s="25"/>
      <c r="H224" s="25"/>
      <c r="I224" s="25"/>
      <c r="J224" s="25"/>
      <c r="K224" s="25"/>
      <c r="L224" s="25"/>
      <c r="M224" s="25"/>
      <c r="N224" s="25"/>
      <c r="O224" s="25"/>
      <c r="P224" s="25"/>
      <c r="Q224" s="25"/>
      <c r="R224" s="169"/>
      <c r="S224" s="46" t="s">
        <v>665</v>
      </c>
      <c r="T224" s="25" t="s">
        <v>169</v>
      </c>
      <c r="U224" s="172"/>
    </row>
    <row r="225" spans="1:21" ht="18" hidden="1">
      <c r="A225" s="21">
        <v>2025</v>
      </c>
      <c r="B225" s="21" t="s">
        <v>771</v>
      </c>
      <c r="C225" s="21" t="s">
        <v>103</v>
      </c>
      <c r="D225" s="22">
        <v>2273</v>
      </c>
      <c r="E225" s="23">
        <v>1</v>
      </c>
      <c r="F225" s="24" t="s">
        <v>772</v>
      </c>
      <c r="G225" s="25"/>
      <c r="H225" s="25"/>
      <c r="I225" s="25"/>
      <c r="J225" s="25"/>
      <c r="K225" s="25"/>
      <c r="L225" s="25"/>
      <c r="M225" s="25"/>
      <c r="N225" s="25"/>
      <c r="O225" s="25"/>
      <c r="P225" s="25"/>
      <c r="Q225" s="25"/>
      <c r="R225" s="169"/>
      <c r="T225" s="25" t="s">
        <v>169</v>
      </c>
      <c r="U225" s="172"/>
    </row>
    <row r="226" spans="1:21" ht="18" hidden="1">
      <c r="A226" s="21">
        <v>2025</v>
      </c>
      <c r="B226" s="21" t="s">
        <v>774</v>
      </c>
      <c r="C226" s="21" t="s">
        <v>100</v>
      </c>
      <c r="D226" s="22">
        <v>10</v>
      </c>
      <c r="E226" s="23">
        <v>1</v>
      </c>
      <c r="F226" s="24" t="s">
        <v>773</v>
      </c>
      <c r="G226" s="25"/>
      <c r="H226" s="25"/>
      <c r="I226" s="25"/>
      <c r="J226" s="25"/>
      <c r="K226" s="25"/>
      <c r="L226" s="25"/>
      <c r="M226" s="25"/>
      <c r="N226" s="25"/>
      <c r="O226" s="25"/>
      <c r="P226" s="25"/>
      <c r="Q226" s="25"/>
      <c r="R226" s="169"/>
      <c r="T226" s="25" t="s">
        <v>169</v>
      </c>
      <c r="U226" s="172"/>
    </row>
    <row r="227" spans="1:21" ht="18" hidden="1">
      <c r="A227" s="21">
        <v>2025</v>
      </c>
      <c r="B227" s="21" t="s">
        <v>775</v>
      </c>
      <c r="C227" s="21" t="s">
        <v>90</v>
      </c>
      <c r="D227" s="22">
        <v>23346</v>
      </c>
      <c r="E227" s="23">
        <v>0.97</v>
      </c>
      <c r="F227" s="24" t="s">
        <v>776</v>
      </c>
      <c r="G227" s="25"/>
      <c r="H227" s="25"/>
      <c r="I227" s="25"/>
      <c r="J227" s="25"/>
      <c r="K227" s="25"/>
      <c r="L227" s="25"/>
      <c r="M227" s="25">
        <v>5</v>
      </c>
      <c r="N227" s="25"/>
      <c r="O227" s="25">
        <v>11</v>
      </c>
      <c r="P227" s="25"/>
      <c r="Q227" s="25"/>
      <c r="R227" s="169"/>
      <c r="S227" s="46" t="s">
        <v>666</v>
      </c>
      <c r="T227" s="25" t="s">
        <v>634</v>
      </c>
      <c r="U227" s="172"/>
    </row>
    <row r="228" spans="1:21" ht="18" hidden="1">
      <c r="A228" s="21">
        <v>2025</v>
      </c>
      <c r="B228" s="21" t="s">
        <v>777</v>
      </c>
      <c r="C228" s="21" t="s">
        <v>100</v>
      </c>
      <c r="D228" s="22">
        <v>33130</v>
      </c>
      <c r="E228" s="23">
        <v>0.9</v>
      </c>
      <c r="F228" s="24" t="s">
        <v>782</v>
      </c>
      <c r="G228" s="25"/>
      <c r="H228" s="25"/>
      <c r="I228" s="25"/>
      <c r="J228" s="25"/>
      <c r="K228" s="25"/>
      <c r="L228" s="25"/>
      <c r="M228" s="25"/>
      <c r="N228" s="25"/>
      <c r="O228" s="25"/>
      <c r="P228" s="25"/>
      <c r="Q228" s="25"/>
      <c r="R228" s="169"/>
      <c r="T228" s="25" t="s">
        <v>169</v>
      </c>
      <c r="U228" s="172"/>
    </row>
    <row r="229" spans="1:21" ht="18" hidden="1">
      <c r="A229" s="21">
        <v>2025</v>
      </c>
      <c r="B229" s="21" t="s">
        <v>778</v>
      </c>
      <c r="C229" s="21" t="s">
        <v>95</v>
      </c>
      <c r="D229" s="22">
        <v>5</v>
      </c>
      <c r="E229" s="23">
        <v>1</v>
      </c>
      <c r="F229" s="24" t="s">
        <v>779</v>
      </c>
      <c r="G229" s="25"/>
      <c r="H229" s="25"/>
      <c r="I229" s="25"/>
      <c r="J229" s="25"/>
      <c r="K229" s="25"/>
      <c r="L229" s="25"/>
      <c r="M229" s="25"/>
      <c r="N229" s="25"/>
      <c r="O229" s="25"/>
      <c r="P229" s="25"/>
      <c r="Q229" s="25"/>
      <c r="R229" s="169"/>
      <c r="T229" s="25" t="s">
        <v>169</v>
      </c>
      <c r="U229" s="172" t="s">
        <v>781</v>
      </c>
    </row>
    <row r="230" spans="1:21" ht="18" hidden="1">
      <c r="A230" s="21">
        <v>2025</v>
      </c>
      <c r="B230" s="21" t="s">
        <v>783</v>
      </c>
      <c r="C230" s="21" t="s">
        <v>103</v>
      </c>
      <c r="D230" s="22">
        <v>4912</v>
      </c>
      <c r="E230" s="23">
        <v>1</v>
      </c>
      <c r="F230" s="24" t="s">
        <v>784</v>
      </c>
      <c r="G230" s="25"/>
      <c r="H230" s="25"/>
      <c r="I230" s="25"/>
      <c r="J230" s="25"/>
      <c r="K230" s="25"/>
      <c r="L230" s="25"/>
      <c r="M230" s="25"/>
      <c r="N230" s="25"/>
      <c r="O230" s="25"/>
      <c r="P230" s="25"/>
      <c r="Q230" s="25"/>
      <c r="R230" s="169"/>
      <c r="T230" s="25" t="s">
        <v>169</v>
      </c>
      <c r="U230" s="172"/>
    </row>
    <row r="231" spans="1:21" ht="18" hidden="1">
      <c r="A231" s="21">
        <v>2025</v>
      </c>
      <c r="B231" s="21" t="s">
        <v>785</v>
      </c>
      <c r="C231" s="21" t="s">
        <v>109</v>
      </c>
      <c r="D231" s="22">
        <v>7585</v>
      </c>
      <c r="E231" s="23">
        <v>0.95</v>
      </c>
      <c r="F231" s="24" t="s">
        <v>788</v>
      </c>
      <c r="G231" s="25"/>
      <c r="H231" s="25"/>
      <c r="I231" s="25"/>
      <c r="J231" s="25"/>
      <c r="K231" s="25"/>
      <c r="L231" s="25"/>
      <c r="M231" s="25"/>
      <c r="N231" s="25"/>
      <c r="O231" s="25"/>
      <c r="P231" s="25"/>
      <c r="Q231" s="25"/>
      <c r="R231" s="169"/>
      <c r="T231" s="25" t="s">
        <v>169</v>
      </c>
      <c r="U231" s="172"/>
    </row>
    <row r="232" spans="1:21" ht="18" hidden="1">
      <c r="A232" s="21">
        <v>2025</v>
      </c>
      <c r="B232" s="21" t="s">
        <v>786</v>
      </c>
      <c r="C232" s="21" t="s">
        <v>100</v>
      </c>
      <c r="D232" s="22">
        <v>15</v>
      </c>
      <c r="E232" s="23">
        <v>1</v>
      </c>
      <c r="F232" s="24" t="s">
        <v>787</v>
      </c>
      <c r="G232" s="25"/>
      <c r="H232" s="25"/>
      <c r="I232" s="25"/>
      <c r="J232" s="25"/>
      <c r="K232" s="25"/>
      <c r="L232" s="25"/>
      <c r="M232" s="25"/>
      <c r="N232" s="25"/>
      <c r="O232" s="25"/>
      <c r="P232" s="25"/>
      <c r="Q232" s="25"/>
      <c r="R232" s="169"/>
      <c r="T232" s="25" t="s">
        <v>169</v>
      </c>
      <c r="U232" s="172" t="s">
        <v>789</v>
      </c>
    </row>
    <row r="233" spans="1:21" ht="18" hidden="1">
      <c r="A233" s="21">
        <v>2025</v>
      </c>
      <c r="B233" s="21" t="s">
        <v>790</v>
      </c>
      <c r="C233" s="21" t="s">
        <v>91</v>
      </c>
      <c r="D233" s="22">
        <v>145</v>
      </c>
      <c r="E233" s="23">
        <v>1</v>
      </c>
      <c r="F233" s="24" t="s">
        <v>813</v>
      </c>
      <c r="G233" s="25"/>
      <c r="H233" s="25"/>
      <c r="I233" s="25"/>
      <c r="J233" s="25"/>
      <c r="K233" s="25"/>
      <c r="L233" s="25"/>
      <c r="M233" s="25"/>
      <c r="N233" s="25"/>
      <c r="O233" s="25"/>
      <c r="P233" s="25"/>
      <c r="Q233" s="25"/>
      <c r="R233" s="169"/>
      <c r="T233" s="25" t="s">
        <v>169</v>
      </c>
      <c r="U233" s="172" t="s">
        <v>791</v>
      </c>
    </row>
    <row r="234" spans="1:21" ht="18" hidden="1">
      <c r="A234" s="21">
        <v>2025</v>
      </c>
      <c r="B234" s="21" t="s">
        <v>792</v>
      </c>
      <c r="C234" s="21" t="s">
        <v>88</v>
      </c>
      <c r="D234" s="22">
        <v>1718</v>
      </c>
      <c r="E234" s="23">
        <v>0.97</v>
      </c>
      <c r="F234" s="24" t="s">
        <v>811</v>
      </c>
      <c r="G234" s="25"/>
      <c r="H234" s="25"/>
      <c r="I234" s="25"/>
      <c r="J234" s="25"/>
      <c r="K234" s="25"/>
      <c r="L234" s="25"/>
      <c r="M234" s="25"/>
      <c r="N234" s="25"/>
      <c r="O234" s="25"/>
      <c r="P234" s="25"/>
      <c r="Q234" s="25"/>
      <c r="R234" s="169"/>
      <c r="T234" s="25" t="s">
        <v>169</v>
      </c>
      <c r="U234" s="172"/>
    </row>
    <row r="235" spans="1:21" ht="18" hidden="1">
      <c r="A235" s="21">
        <v>2025</v>
      </c>
      <c r="B235" s="21" t="s">
        <v>793</v>
      </c>
      <c r="C235" s="21" t="s">
        <v>93</v>
      </c>
      <c r="D235" s="22">
        <v>122</v>
      </c>
      <c r="E235" s="23">
        <v>1</v>
      </c>
      <c r="F235" s="24" t="s">
        <v>810</v>
      </c>
      <c r="G235" s="25"/>
      <c r="H235" s="25"/>
      <c r="I235" s="25"/>
      <c r="J235" s="25"/>
      <c r="K235" s="25"/>
      <c r="L235" s="25"/>
      <c r="M235" s="25"/>
      <c r="N235" s="25"/>
      <c r="O235" s="25"/>
      <c r="P235" s="25"/>
      <c r="Q235" s="25"/>
      <c r="R235" s="169"/>
      <c r="T235" s="25" t="s">
        <v>169</v>
      </c>
      <c r="U235" s="172"/>
    </row>
    <row r="236" spans="1:21" ht="18" hidden="1">
      <c r="A236" s="21">
        <v>2025</v>
      </c>
      <c r="B236" s="21" t="s">
        <v>794</v>
      </c>
      <c r="C236" s="21" t="s">
        <v>110</v>
      </c>
      <c r="D236" s="22">
        <v>75</v>
      </c>
      <c r="E236" s="23">
        <v>0.1</v>
      </c>
      <c r="F236" s="24" t="s">
        <v>797</v>
      </c>
      <c r="G236" s="25"/>
      <c r="H236" s="25"/>
      <c r="I236" s="25"/>
      <c r="J236" s="25"/>
      <c r="K236" s="25"/>
      <c r="L236" s="25"/>
      <c r="M236" s="25"/>
      <c r="N236" s="25"/>
      <c r="O236" s="25"/>
      <c r="P236" s="25"/>
      <c r="Q236" s="25"/>
      <c r="R236" s="169"/>
      <c r="T236" s="25" t="s">
        <v>169</v>
      </c>
      <c r="U236" s="172" t="s">
        <v>820</v>
      </c>
    </row>
    <row r="237" spans="1:21" ht="18" hidden="1">
      <c r="A237" s="21">
        <v>2025</v>
      </c>
      <c r="B237" s="21" t="s">
        <v>795</v>
      </c>
      <c r="C237" s="21" t="s">
        <v>93</v>
      </c>
      <c r="D237" s="22">
        <v>223</v>
      </c>
      <c r="E237" s="23">
        <v>1</v>
      </c>
      <c r="F237" s="24" t="s">
        <v>812</v>
      </c>
      <c r="G237" s="25"/>
      <c r="H237" s="25"/>
      <c r="I237" s="25"/>
      <c r="J237" s="25"/>
      <c r="K237" s="25"/>
      <c r="L237" s="25"/>
      <c r="M237" s="25"/>
      <c r="N237" s="25"/>
      <c r="O237" s="25"/>
      <c r="P237" s="25"/>
      <c r="Q237" s="25"/>
      <c r="R237" s="169"/>
      <c r="T237" s="25" t="s">
        <v>169</v>
      </c>
      <c r="U237" s="172" t="s">
        <v>796</v>
      </c>
    </row>
    <row r="238" spans="1:21" ht="18" hidden="1">
      <c r="A238" s="21">
        <v>2025</v>
      </c>
      <c r="B238" s="21" t="s">
        <v>798</v>
      </c>
      <c r="C238" s="21" t="s">
        <v>112</v>
      </c>
      <c r="D238" s="22">
        <v>42842</v>
      </c>
      <c r="E238" s="23">
        <v>0.97</v>
      </c>
      <c r="F238" s="24" t="s">
        <v>799</v>
      </c>
      <c r="G238" s="25"/>
      <c r="H238" s="25"/>
      <c r="I238" s="25"/>
      <c r="J238" s="25"/>
      <c r="K238" s="25"/>
      <c r="L238" s="25"/>
      <c r="M238" s="25"/>
      <c r="N238" s="25"/>
      <c r="O238" s="25"/>
      <c r="P238" s="25"/>
      <c r="Q238" s="25"/>
      <c r="R238" s="169"/>
      <c r="T238" s="25" t="s">
        <v>169</v>
      </c>
      <c r="U238" s="172"/>
    </row>
    <row r="239" spans="1:21" ht="18" hidden="1">
      <c r="A239" s="21">
        <v>2025</v>
      </c>
      <c r="B239" s="21" t="s">
        <v>800</v>
      </c>
      <c r="C239" s="21" t="s">
        <v>89</v>
      </c>
      <c r="D239" s="22">
        <v>19520</v>
      </c>
      <c r="E239" s="23">
        <v>0.42</v>
      </c>
      <c r="F239" s="24" t="s">
        <v>801</v>
      </c>
      <c r="G239" s="25"/>
      <c r="H239" s="25"/>
      <c r="I239" s="25"/>
      <c r="J239" s="25"/>
      <c r="K239" s="25"/>
      <c r="L239" s="25"/>
      <c r="M239" s="25"/>
      <c r="N239" s="25"/>
      <c r="O239" s="25"/>
      <c r="P239" s="25"/>
      <c r="Q239" s="25"/>
      <c r="R239" s="169"/>
      <c r="T239" s="25" t="s">
        <v>169</v>
      </c>
      <c r="U239" s="172"/>
    </row>
    <row r="240" spans="1:21" ht="18" hidden="1">
      <c r="A240" s="21">
        <v>2025</v>
      </c>
      <c r="B240" s="21" t="s">
        <v>802</v>
      </c>
      <c r="C240" s="21" t="s">
        <v>89</v>
      </c>
      <c r="D240" s="22">
        <v>1039</v>
      </c>
      <c r="E240" s="23">
        <v>0.97</v>
      </c>
      <c r="F240" s="24" t="s">
        <v>803</v>
      </c>
      <c r="G240" s="25"/>
      <c r="H240" s="25"/>
      <c r="I240" s="25"/>
      <c r="J240" s="25"/>
      <c r="K240" s="25"/>
      <c r="L240" s="25"/>
      <c r="M240" s="25"/>
      <c r="N240" s="25"/>
      <c r="O240" s="25"/>
      <c r="P240" s="25"/>
      <c r="Q240" s="25"/>
      <c r="R240" s="169"/>
      <c r="T240" s="25" t="s">
        <v>169</v>
      </c>
      <c r="U240" s="172"/>
    </row>
    <row r="241" spans="1:21" ht="18" hidden="1">
      <c r="A241" s="21">
        <v>2025</v>
      </c>
      <c r="B241" s="21" t="s">
        <v>804</v>
      </c>
      <c r="C241" s="21" t="s">
        <v>109</v>
      </c>
      <c r="D241" s="22">
        <v>400</v>
      </c>
      <c r="E241" s="23">
        <v>1</v>
      </c>
      <c r="F241" s="24" t="s">
        <v>809</v>
      </c>
      <c r="G241" s="25"/>
      <c r="H241" s="25"/>
      <c r="I241" s="25"/>
      <c r="J241" s="25"/>
      <c r="K241" s="25"/>
      <c r="L241" s="25"/>
      <c r="M241" s="25"/>
      <c r="N241" s="25"/>
      <c r="O241" s="25"/>
      <c r="P241" s="25"/>
      <c r="Q241" s="25"/>
      <c r="R241" s="169"/>
      <c r="S241" s="46" t="s">
        <v>666</v>
      </c>
      <c r="T241" s="25" t="s">
        <v>169</v>
      </c>
      <c r="U241" s="172"/>
    </row>
    <row r="242" spans="1:21" ht="18" hidden="1">
      <c r="A242" s="21">
        <v>2025</v>
      </c>
      <c r="B242" s="21" t="s">
        <v>805</v>
      </c>
      <c r="C242" s="21" t="s">
        <v>112</v>
      </c>
      <c r="D242" s="22">
        <v>500</v>
      </c>
      <c r="E242" s="23">
        <v>1</v>
      </c>
      <c r="F242" s="24" t="s">
        <v>806</v>
      </c>
      <c r="G242" s="25"/>
      <c r="H242" s="25"/>
      <c r="I242" s="25"/>
      <c r="J242" s="25"/>
      <c r="K242" s="25"/>
      <c r="L242" s="25"/>
      <c r="M242" s="25"/>
      <c r="N242" s="25"/>
      <c r="O242" s="25"/>
      <c r="P242" s="25"/>
      <c r="Q242" s="25"/>
      <c r="R242" s="169"/>
      <c r="T242" s="25" t="s">
        <v>169</v>
      </c>
      <c r="U242" s="172"/>
    </row>
    <row r="243" spans="1:21" ht="18" hidden="1">
      <c r="A243" s="21">
        <v>2025</v>
      </c>
      <c r="B243" s="21" t="s">
        <v>807</v>
      </c>
      <c r="C243" s="21" t="s">
        <v>105</v>
      </c>
      <c r="D243" s="22">
        <v>454</v>
      </c>
      <c r="E243" s="23">
        <v>0.9</v>
      </c>
      <c r="F243" s="24" t="s">
        <v>808</v>
      </c>
      <c r="G243" s="25"/>
      <c r="H243" s="25"/>
      <c r="I243" s="25"/>
      <c r="J243" s="25"/>
      <c r="K243" s="25"/>
      <c r="L243" s="25"/>
      <c r="M243" s="25"/>
      <c r="N243" s="25"/>
      <c r="O243" s="25"/>
      <c r="P243" s="25"/>
      <c r="Q243" s="25"/>
      <c r="R243" s="169"/>
      <c r="T243" s="25" t="s">
        <v>169</v>
      </c>
      <c r="U243" s="172"/>
    </row>
    <row r="244" spans="1:21" ht="18" hidden="1">
      <c r="A244" s="21">
        <v>2025</v>
      </c>
      <c r="B244" s="21" t="s">
        <v>815</v>
      </c>
      <c r="C244" s="21" t="s">
        <v>100</v>
      </c>
      <c r="D244" s="22">
        <v>497</v>
      </c>
      <c r="E244" s="23">
        <v>0.95</v>
      </c>
      <c r="F244" s="24" t="s">
        <v>814</v>
      </c>
      <c r="G244" s="25"/>
      <c r="H244" s="25"/>
      <c r="I244" s="25"/>
      <c r="J244" s="25"/>
      <c r="K244" s="25"/>
      <c r="L244" s="25"/>
      <c r="M244" s="25"/>
      <c r="N244" s="25"/>
      <c r="O244" s="25"/>
      <c r="P244" s="25"/>
      <c r="Q244" s="25"/>
      <c r="R244" s="169"/>
      <c r="T244" s="25" t="s">
        <v>169</v>
      </c>
      <c r="U244" s="172"/>
    </row>
    <row r="245" spans="1:21" ht="18" hidden="1">
      <c r="A245" s="21">
        <v>2025</v>
      </c>
      <c r="B245" s="21" t="s">
        <v>818</v>
      </c>
      <c r="C245" s="21" t="s">
        <v>96</v>
      </c>
      <c r="D245" s="22">
        <v>3788</v>
      </c>
      <c r="E245" s="23">
        <v>1</v>
      </c>
      <c r="F245" s="24" t="s">
        <v>819</v>
      </c>
      <c r="G245" s="25"/>
      <c r="H245" s="25"/>
      <c r="I245" s="25"/>
      <c r="J245" s="25"/>
      <c r="K245" s="25"/>
      <c r="L245" s="25"/>
      <c r="M245" s="25"/>
      <c r="N245" s="25"/>
      <c r="O245" s="25"/>
      <c r="P245" s="25"/>
      <c r="Q245" s="25"/>
      <c r="R245" s="169"/>
      <c r="T245" s="25" t="s">
        <v>169</v>
      </c>
      <c r="U245" s="172"/>
    </row>
    <row r="246" spans="1:21" ht="18" hidden="1">
      <c r="A246" s="21">
        <v>2025</v>
      </c>
      <c r="B246" s="21" t="s">
        <v>822</v>
      </c>
      <c r="C246" s="21" t="s">
        <v>85</v>
      </c>
      <c r="D246" s="22">
        <v>100</v>
      </c>
      <c r="E246" s="23">
        <v>0.8</v>
      </c>
      <c r="F246" s="24" t="s">
        <v>823</v>
      </c>
      <c r="G246" s="25"/>
      <c r="H246" s="25"/>
      <c r="I246" s="25"/>
      <c r="J246" s="25"/>
      <c r="K246" s="25"/>
      <c r="L246" s="25"/>
      <c r="M246" s="25"/>
      <c r="N246" s="25"/>
      <c r="O246" s="25"/>
      <c r="P246" s="25"/>
      <c r="Q246" s="25"/>
      <c r="R246" s="169"/>
      <c r="T246" s="25" t="s">
        <v>169</v>
      </c>
      <c r="U246" s="172"/>
    </row>
    <row r="247" spans="1:21" ht="18">
      <c r="A247" s="21">
        <v>2026</v>
      </c>
      <c r="B247" s="225" t="s">
        <v>985</v>
      </c>
      <c r="C247" s="21" t="s">
        <v>112</v>
      </c>
      <c r="D247" s="22">
        <v>1634</v>
      </c>
      <c r="E247" s="23">
        <v>1</v>
      </c>
      <c r="F247" s="24" t="s">
        <v>837</v>
      </c>
      <c r="G247" s="25"/>
      <c r="H247" s="25"/>
      <c r="I247" s="25"/>
      <c r="J247" s="25"/>
      <c r="K247" s="25"/>
      <c r="L247" s="25"/>
      <c r="M247" s="25"/>
      <c r="N247" s="25"/>
      <c r="O247" s="25"/>
      <c r="P247" s="25"/>
      <c r="Q247" s="25"/>
      <c r="R247" s="169"/>
      <c r="T247" s="25" t="s">
        <v>169</v>
      </c>
      <c r="U247" s="172"/>
    </row>
    <row r="248" spans="1:21" ht="18">
      <c r="A248" s="21">
        <v>2026</v>
      </c>
      <c r="B248" s="225" t="s">
        <v>983</v>
      </c>
      <c r="C248" s="21" t="s">
        <v>92</v>
      </c>
      <c r="D248" s="22">
        <v>440</v>
      </c>
      <c r="E248" s="23">
        <v>1</v>
      </c>
      <c r="F248" s="24" t="s">
        <v>857</v>
      </c>
      <c r="G248" s="25"/>
      <c r="H248" s="25"/>
      <c r="I248" s="25"/>
      <c r="J248" s="25"/>
      <c r="K248" s="25"/>
      <c r="L248" s="25"/>
      <c r="M248" s="25"/>
      <c r="N248" s="25"/>
      <c r="O248" s="25"/>
      <c r="P248" s="25"/>
      <c r="Q248" s="25"/>
      <c r="R248" s="169"/>
      <c r="T248" s="25" t="s">
        <v>169</v>
      </c>
      <c r="U248" s="172"/>
    </row>
    <row r="249" spans="1:21" ht="18">
      <c r="A249" s="21">
        <v>2026</v>
      </c>
      <c r="B249" s="225" t="s">
        <v>982</v>
      </c>
      <c r="C249" s="21" t="s">
        <v>112</v>
      </c>
      <c r="D249" s="22">
        <v>1347</v>
      </c>
      <c r="E249" s="23">
        <v>1</v>
      </c>
      <c r="F249" s="24" t="s">
        <v>863</v>
      </c>
      <c r="G249" s="25">
        <v>0</v>
      </c>
      <c r="H249" s="25"/>
      <c r="I249" s="25"/>
      <c r="J249" s="25"/>
      <c r="K249" s="25"/>
      <c r="L249" s="25"/>
      <c r="M249" s="25"/>
      <c r="N249" s="25"/>
      <c r="O249" s="25"/>
      <c r="P249" s="25"/>
      <c r="Q249" s="25"/>
      <c r="R249" s="169"/>
      <c r="T249" s="25" t="s">
        <v>169</v>
      </c>
      <c r="U249" s="172"/>
    </row>
    <row r="250" spans="1:21" ht="18">
      <c r="A250" s="21">
        <v>2026</v>
      </c>
      <c r="B250" s="225" t="s">
        <v>984</v>
      </c>
      <c r="C250" s="21" t="s">
        <v>90</v>
      </c>
      <c r="D250" s="22">
        <v>20</v>
      </c>
      <c r="E250" s="23">
        <v>1</v>
      </c>
      <c r="F250" s="24" t="s">
        <v>864</v>
      </c>
      <c r="G250" s="25">
        <v>0</v>
      </c>
      <c r="H250" s="25"/>
      <c r="I250" s="25"/>
      <c r="J250" s="25"/>
      <c r="K250" s="25"/>
      <c r="L250" s="25"/>
      <c r="M250" s="25"/>
      <c r="N250" s="25"/>
      <c r="O250" s="25"/>
      <c r="P250" s="25"/>
      <c r="Q250" s="25"/>
      <c r="R250" s="169"/>
      <c r="T250" s="25" t="s">
        <v>169</v>
      </c>
      <c r="U250" s="172"/>
    </row>
    <row r="251" spans="1:21" ht="18">
      <c r="A251" s="21">
        <v>2026</v>
      </c>
      <c r="B251" s="225" t="s">
        <v>907</v>
      </c>
      <c r="C251" s="21" t="s">
        <v>96</v>
      </c>
      <c r="D251" s="22">
        <v>27222</v>
      </c>
      <c r="E251" s="23">
        <v>0.05</v>
      </c>
      <c r="F251" s="24" t="s">
        <v>895</v>
      </c>
      <c r="G251" s="25">
        <v>3898</v>
      </c>
      <c r="H251" s="25">
        <v>396</v>
      </c>
      <c r="I251" s="25">
        <v>460</v>
      </c>
      <c r="J251" s="25">
        <v>4812</v>
      </c>
      <c r="K251" s="25"/>
      <c r="L251" s="25"/>
      <c r="M251" s="25">
        <v>2</v>
      </c>
      <c r="N251" s="25"/>
      <c r="O251" s="25"/>
      <c r="P251" s="25"/>
      <c r="Q251" s="25"/>
      <c r="R251" s="169"/>
      <c r="T251" s="25" t="s">
        <v>847</v>
      </c>
      <c r="U251" s="172" t="s">
        <v>851</v>
      </c>
    </row>
    <row r="252" spans="1:21" ht="18">
      <c r="A252" s="21">
        <v>2026</v>
      </c>
      <c r="B252" s="225" t="s">
        <v>908</v>
      </c>
      <c r="C252" s="21" t="s">
        <v>88</v>
      </c>
      <c r="D252" s="22">
        <v>350</v>
      </c>
      <c r="E252" s="23">
        <v>1</v>
      </c>
      <c r="F252" s="24" t="s">
        <v>936</v>
      </c>
      <c r="G252" s="25"/>
      <c r="H252" s="25"/>
      <c r="I252" s="25"/>
      <c r="J252" s="25"/>
      <c r="K252" s="25"/>
      <c r="L252" s="25"/>
      <c r="M252" s="25"/>
      <c r="N252" s="25"/>
      <c r="O252" s="25"/>
      <c r="P252" s="25"/>
      <c r="Q252" s="25"/>
      <c r="R252" s="169"/>
      <c r="T252" s="25" t="s">
        <v>169</v>
      </c>
      <c r="U252" s="172"/>
    </row>
    <row r="253" spans="1:21" ht="18">
      <c r="A253" s="21">
        <v>2026</v>
      </c>
      <c r="B253" s="225" t="s">
        <v>909</v>
      </c>
      <c r="C253" s="21" t="s">
        <v>88</v>
      </c>
      <c r="D253" s="22">
        <v>28827</v>
      </c>
      <c r="E253" s="23">
        <v>0.35</v>
      </c>
      <c r="F253" s="24" t="s">
        <v>899</v>
      </c>
      <c r="G253" s="25"/>
      <c r="H253" s="25"/>
      <c r="I253" s="25"/>
      <c r="J253" s="25">
        <v>8</v>
      </c>
      <c r="K253" s="25"/>
      <c r="L253" s="25"/>
      <c r="M253" s="25"/>
      <c r="N253" s="25"/>
      <c r="O253" s="25"/>
      <c r="P253" s="25"/>
      <c r="Q253" s="25"/>
      <c r="R253" s="169"/>
      <c r="T253" s="25" t="s">
        <v>847</v>
      </c>
      <c r="U253" s="172" t="s">
        <v>860</v>
      </c>
    </row>
    <row r="254" spans="1:21" ht="18">
      <c r="A254" s="21">
        <v>2026</v>
      </c>
      <c r="B254" s="225" t="s">
        <v>910</v>
      </c>
      <c r="C254" s="21" t="s">
        <v>88</v>
      </c>
      <c r="D254" s="22">
        <v>17447</v>
      </c>
      <c r="E254" s="23">
        <v>0.56999999999999995</v>
      </c>
      <c r="F254" s="24" t="s">
        <v>898</v>
      </c>
      <c r="G254" s="25"/>
      <c r="H254" s="25"/>
      <c r="I254" s="25"/>
      <c r="J254" s="25">
        <v>100</v>
      </c>
      <c r="K254" s="25"/>
      <c r="L254" s="25"/>
      <c r="M254" s="25"/>
      <c r="N254" s="25"/>
      <c r="O254" s="25"/>
      <c r="P254" s="25"/>
      <c r="Q254" s="25"/>
      <c r="R254" s="169"/>
      <c r="T254" s="25" t="s">
        <v>847</v>
      </c>
      <c r="U254" s="172"/>
    </row>
    <row r="255" spans="1:21" s="33" customFormat="1" ht="18">
      <c r="A255" s="21">
        <v>2026</v>
      </c>
      <c r="B255" s="225" t="s">
        <v>944</v>
      </c>
      <c r="C255" s="21" t="s">
        <v>96</v>
      </c>
      <c r="D255" s="22">
        <v>4834</v>
      </c>
      <c r="E255" s="23">
        <v>0.77</v>
      </c>
      <c r="F255" s="24" t="s">
        <v>945</v>
      </c>
      <c r="G255" s="25"/>
      <c r="H255" s="25"/>
      <c r="I255" s="25"/>
      <c r="J255" s="25">
        <v>30</v>
      </c>
      <c r="K255" s="25"/>
      <c r="L255" s="25"/>
      <c r="M255" s="25"/>
      <c r="N255" s="25"/>
      <c r="O255" s="25"/>
      <c r="P255" s="25"/>
      <c r="Q255" s="25"/>
      <c r="R255" s="169"/>
      <c r="S255" s="46"/>
      <c r="T255" s="25" t="s">
        <v>847</v>
      </c>
      <c r="U255" s="172" t="s">
        <v>958</v>
      </c>
    </row>
    <row r="256" spans="1:21" ht="18">
      <c r="A256" s="21">
        <v>2026</v>
      </c>
      <c r="B256" s="225" t="s">
        <v>963</v>
      </c>
      <c r="C256" s="21" t="s">
        <v>112</v>
      </c>
      <c r="D256" s="22">
        <v>191</v>
      </c>
      <c r="E256" s="23">
        <v>0</v>
      </c>
      <c r="F256" s="24" t="s">
        <v>964</v>
      </c>
      <c r="G256" s="25">
        <v>308</v>
      </c>
      <c r="H256" s="25">
        <v>1068</v>
      </c>
      <c r="I256" s="25">
        <v>61</v>
      </c>
      <c r="J256" s="25"/>
      <c r="K256" s="25"/>
      <c r="L256" s="25"/>
      <c r="M256" s="25"/>
      <c r="N256" s="25"/>
      <c r="O256" s="25"/>
      <c r="P256" s="25"/>
      <c r="Q256" s="25"/>
      <c r="R256" s="169"/>
      <c r="T256" s="25" t="s">
        <v>847</v>
      </c>
      <c r="U256" s="172"/>
    </row>
    <row r="257" spans="1:21" ht="18">
      <c r="A257" s="21">
        <v>2026</v>
      </c>
      <c r="B257" s="225" t="s">
        <v>946</v>
      </c>
      <c r="C257" s="21" t="s">
        <v>114</v>
      </c>
      <c r="D257" s="22">
        <v>53976</v>
      </c>
      <c r="E257" s="23">
        <v>0</v>
      </c>
      <c r="F257" s="24" t="s">
        <v>947</v>
      </c>
      <c r="G257" s="25">
        <v>0</v>
      </c>
      <c r="H257" s="25">
        <v>5</v>
      </c>
      <c r="I257" s="25">
        <v>17</v>
      </c>
      <c r="J257" s="25"/>
      <c r="K257" s="25"/>
      <c r="L257" s="25"/>
      <c r="M257" s="25">
        <v>3</v>
      </c>
      <c r="N257" s="25"/>
      <c r="O257" s="25"/>
      <c r="P257" s="25"/>
      <c r="Q257" s="25"/>
      <c r="R257" s="169"/>
      <c r="T257" s="25" t="s">
        <v>847</v>
      </c>
      <c r="U257" s="172"/>
    </row>
    <row r="258" spans="1:21" ht="18">
      <c r="A258" s="21">
        <v>2026</v>
      </c>
      <c r="B258" s="225" t="s">
        <v>965</v>
      </c>
      <c r="C258" s="21" t="s">
        <v>88</v>
      </c>
      <c r="D258" s="22">
        <v>2136</v>
      </c>
      <c r="E258" s="23">
        <v>0</v>
      </c>
      <c r="F258" s="24" t="s">
        <v>685</v>
      </c>
      <c r="G258" s="25"/>
      <c r="H258" s="25"/>
      <c r="I258" s="25"/>
      <c r="J258" s="25"/>
      <c r="K258" s="25"/>
      <c r="L258" s="25"/>
      <c r="M258" s="25"/>
      <c r="N258" s="25"/>
      <c r="O258" s="25"/>
      <c r="P258" s="25"/>
      <c r="Q258" s="25"/>
      <c r="R258" s="169"/>
      <c r="T258" s="25" t="s">
        <v>847</v>
      </c>
      <c r="U258" s="172"/>
    </row>
    <row r="259" spans="1:21" ht="18">
      <c r="A259" s="21">
        <v>2026</v>
      </c>
      <c r="B259" s="225" t="s">
        <v>949</v>
      </c>
      <c r="C259" s="21" t="s">
        <v>94</v>
      </c>
      <c r="D259" s="22">
        <v>745</v>
      </c>
      <c r="E259" s="23">
        <v>0.8</v>
      </c>
      <c r="F259" s="24" t="s">
        <v>948</v>
      </c>
      <c r="G259" s="25"/>
      <c r="H259" s="25"/>
      <c r="I259" s="25"/>
      <c r="J259" s="25">
        <v>15</v>
      </c>
      <c r="K259" s="25"/>
      <c r="L259" s="25"/>
      <c r="M259" s="25"/>
      <c r="N259" s="25"/>
      <c r="O259" s="25"/>
      <c r="P259" s="25"/>
      <c r="Q259" s="25"/>
      <c r="R259" s="169"/>
      <c r="T259" s="25" t="s">
        <v>847</v>
      </c>
      <c r="U259" s="172"/>
    </row>
    <row r="260" spans="1:21" ht="18">
      <c r="A260" s="21">
        <v>2026</v>
      </c>
      <c r="B260" s="225" t="s">
        <v>911</v>
      </c>
      <c r="C260" s="21" t="s">
        <v>92</v>
      </c>
      <c r="D260" s="22">
        <v>640</v>
      </c>
      <c r="E260" s="23">
        <v>10</v>
      </c>
      <c r="F260" s="24" t="s">
        <v>912</v>
      </c>
      <c r="G260" s="25">
        <v>15</v>
      </c>
      <c r="H260" s="25"/>
      <c r="I260" s="25"/>
      <c r="J260" s="25"/>
      <c r="K260" s="25"/>
      <c r="L260" s="25"/>
      <c r="M260" s="25"/>
      <c r="N260" s="25"/>
      <c r="O260" s="25"/>
      <c r="P260" s="25"/>
      <c r="Q260" s="25"/>
      <c r="R260" s="169"/>
      <c r="T260" s="25" t="s">
        <v>169</v>
      </c>
      <c r="U260" s="172" t="s">
        <v>894</v>
      </c>
    </row>
    <row r="261" spans="1:21" ht="18">
      <c r="A261" s="21">
        <v>2026</v>
      </c>
      <c r="B261" s="21" t="s">
        <v>967</v>
      </c>
      <c r="C261" s="21" t="s">
        <v>112</v>
      </c>
      <c r="D261" s="22">
        <v>532</v>
      </c>
      <c r="E261" s="23">
        <v>0</v>
      </c>
      <c r="F261" s="24" t="s">
        <v>966</v>
      </c>
      <c r="G261" s="25"/>
      <c r="H261" s="25"/>
      <c r="I261" s="25"/>
      <c r="J261" s="25"/>
      <c r="K261" s="25"/>
      <c r="L261" s="25"/>
      <c r="M261" s="25"/>
      <c r="N261" s="25"/>
      <c r="O261" s="25"/>
      <c r="P261" s="25"/>
      <c r="Q261" s="25"/>
      <c r="R261" s="169"/>
      <c r="T261" s="25" t="s">
        <v>847</v>
      </c>
      <c r="U261" s="172"/>
    </row>
    <row r="262" spans="1:21" ht="18">
      <c r="A262" s="21">
        <v>2026</v>
      </c>
      <c r="B262" s="21" t="s">
        <v>928</v>
      </c>
      <c r="C262" s="21" t="s">
        <v>103</v>
      </c>
      <c r="D262" s="22">
        <v>0</v>
      </c>
      <c r="E262" s="23">
        <v>1</v>
      </c>
      <c r="F262" s="24" t="s">
        <v>929</v>
      </c>
      <c r="G262" s="25">
        <v>0</v>
      </c>
      <c r="H262" s="25"/>
      <c r="I262" s="25"/>
      <c r="J262" s="25"/>
      <c r="K262" s="25"/>
      <c r="L262" s="25"/>
      <c r="M262" s="25"/>
      <c r="N262" s="25"/>
      <c r="O262" s="25"/>
      <c r="P262" s="25"/>
      <c r="Q262" s="25"/>
      <c r="R262" s="169"/>
      <c r="T262" s="25" t="s">
        <v>169</v>
      </c>
      <c r="U262" s="172"/>
    </row>
    <row r="263" spans="1:21" ht="18">
      <c r="A263" s="21">
        <v>2026</v>
      </c>
      <c r="B263" s="21" t="s">
        <v>873</v>
      </c>
      <c r="C263" s="21" t="s">
        <v>82</v>
      </c>
      <c r="D263" s="22">
        <v>2550</v>
      </c>
      <c r="E263" s="23">
        <v>0.89</v>
      </c>
      <c r="F263" s="24" t="s">
        <v>875</v>
      </c>
      <c r="G263" s="25">
        <v>24</v>
      </c>
      <c r="H263" s="25">
        <v>12</v>
      </c>
      <c r="I263" s="25"/>
      <c r="J263" s="25">
        <v>50</v>
      </c>
      <c r="K263" s="25"/>
      <c r="L263" s="25"/>
      <c r="M263" s="25"/>
      <c r="N263" s="25"/>
      <c r="O263" s="25"/>
      <c r="P263" s="25"/>
      <c r="Q263" s="25"/>
      <c r="R263" s="169"/>
      <c r="T263" s="25" t="s">
        <v>847</v>
      </c>
      <c r="U263" s="172"/>
    </row>
    <row r="264" spans="1:21" ht="18">
      <c r="A264" s="21">
        <v>2026</v>
      </c>
      <c r="B264" s="21" t="s">
        <v>968</v>
      </c>
      <c r="C264" s="21" t="s">
        <v>94</v>
      </c>
      <c r="D264" s="22">
        <v>25992</v>
      </c>
      <c r="E264" s="23">
        <v>0.01</v>
      </c>
      <c r="F264" s="24" t="s">
        <v>969</v>
      </c>
      <c r="G264" s="25"/>
      <c r="H264" s="25"/>
      <c r="I264" s="25"/>
      <c r="J264" s="25">
        <v>104</v>
      </c>
      <c r="K264" s="25"/>
      <c r="L264" s="25"/>
      <c r="M264" s="25"/>
      <c r="N264" s="25"/>
      <c r="O264" s="25"/>
      <c r="P264" s="25"/>
      <c r="Q264" s="25"/>
      <c r="R264" s="169"/>
      <c r="T264" s="25" t="s">
        <v>847</v>
      </c>
      <c r="U264" s="172"/>
    </row>
    <row r="265" spans="1:21" ht="18">
      <c r="A265" s="21">
        <v>2026</v>
      </c>
      <c r="B265" s="21" t="s">
        <v>970</v>
      </c>
      <c r="C265" s="21" t="s">
        <v>96</v>
      </c>
      <c r="D265" s="22">
        <v>13648</v>
      </c>
      <c r="E265" s="23">
        <v>0</v>
      </c>
      <c r="F265" s="24" t="s">
        <v>971</v>
      </c>
      <c r="G265" s="25"/>
      <c r="H265" s="25"/>
      <c r="I265" s="25"/>
      <c r="J265" s="25"/>
      <c r="K265" s="25">
        <v>44</v>
      </c>
      <c r="L265" s="25"/>
      <c r="M265" s="25"/>
      <c r="N265" s="25"/>
      <c r="O265" s="25"/>
      <c r="P265" s="25"/>
      <c r="Q265" s="25"/>
      <c r="R265" s="169"/>
      <c r="T265" s="25" t="s">
        <v>847</v>
      </c>
      <c r="U265" s="172"/>
    </row>
    <row r="266" spans="1:21" ht="18">
      <c r="A266" s="21">
        <v>2026</v>
      </c>
      <c r="B266" s="21" t="s">
        <v>950</v>
      </c>
      <c r="C266" s="21" t="s">
        <v>96</v>
      </c>
      <c r="D266" s="22">
        <v>20180</v>
      </c>
      <c r="E266" s="23">
        <v>0</v>
      </c>
      <c r="F266" s="24" t="s">
        <v>951</v>
      </c>
      <c r="G266" s="25">
        <v>609</v>
      </c>
      <c r="H266" s="25">
        <v>327</v>
      </c>
      <c r="I266" s="25">
        <v>120</v>
      </c>
      <c r="J266" s="25">
        <v>18</v>
      </c>
      <c r="K266" s="25"/>
      <c r="L266" s="25"/>
      <c r="M266" s="25"/>
      <c r="N266" s="25"/>
      <c r="O266" s="25"/>
      <c r="P266" s="25"/>
      <c r="Q266" s="25"/>
      <c r="R266" s="169"/>
      <c r="T266" s="25" t="s">
        <v>847</v>
      </c>
      <c r="U266" s="172"/>
    </row>
    <row r="267" spans="1:21" ht="18">
      <c r="A267" s="21">
        <v>2026</v>
      </c>
      <c r="B267" s="21" t="s">
        <v>952</v>
      </c>
      <c r="C267" s="21" t="s">
        <v>103</v>
      </c>
      <c r="D267" s="22">
        <v>280000</v>
      </c>
      <c r="E267" s="23">
        <v>0.05</v>
      </c>
      <c r="F267" s="24" t="s">
        <v>953</v>
      </c>
      <c r="G267" s="25"/>
      <c r="H267" s="25"/>
      <c r="I267" s="25"/>
      <c r="J267" s="25">
        <v>336</v>
      </c>
      <c r="K267" s="25"/>
      <c r="L267" s="25"/>
      <c r="M267" s="25"/>
      <c r="N267" s="25"/>
      <c r="O267" s="25"/>
      <c r="P267" s="25"/>
      <c r="Q267" s="25"/>
      <c r="R267" s="169"/>
      <c r="T267" s="25" t="s">
        <v>847</v>
      </c>
      <c r="U267" s="172" t="s">
        <v>958</v>
      </c>
    </row>
    <row r="268" spans="1:21" ht="18">
      <c r="A268" s="21">
        <v>2026</v>
      </c>
      <c r="B268" s="21" t="s">
        <v>833</v>
      </c>
      <c r="C268" s="21" t="s">
        <v>95</v>
      </c>
      <c r="D268" s="22">
        <v>48.2</v>
      </c>
      <c r="E268" s="23">
        <v>1</v>
      </c>
      <c r="F268" s="24" t="s">
        <v>836</v>
      </c>
      <c r="G268" s="25">
        <v>0</v>
      </c>
      <c r="H268" s="25"/>
      <c r="I268" s="25"/>
      <c r="J268" s="25"/>
      <c r="K268" s="25"/>
      <c r="L268" s="25"/>
      <c r="M268" s="25"/>
      <c r="N268" s="25"/>
      <c r="O268" s="25"/>
      <c r="P268" s="25"/>
      <c r="Q268" s="25"/>
      <c r="R268" s="169"/>
      <c r="T268" s="25" t="s">
        <v>169</v>
      </c>
      <c r="U268" s="172"/>
    </row>
    <row r="269" spans="1:21" ht="18">
      <c r="A269" s="21">
        <v>2026</v>
      </c>
      <c r="B269" s="21" t="s">
        <v>972</v>
      </c>
      <c r="C269" s="21" t="s">
        <v>82</v>
      </c>
      <c r="D269" s="22">
        <v>600</v>
      </c>
      <c r="E269" s="23">
        <v>0</v>
      </c>
      <c r="F269" s="24" t="s">
        <v>973</v>
      </c>
      <c r="G269" s="25"/>
      <c r="H269" s="25"/>
      <c r="I269" s="25"/>
      <c r="J269" s="25">
        <v>3</v>
      </c>
      <c r="K269" s="25"/>
      <c r="L269" s="25"/>
      <c r="M269" s="25"/>
      <c r="N269" s="25"/>
      <c r="O269" s="25"/>
      <c r="P269" s="25"/>
      <c r="Q269" s="25"/>
      <c r="R269" s="169"/>
      <c r="T269" s="25" t="s">
        <v>847</v>
      </c>
      <c r="U269" s="172" t="s">
        <v>933</v>
      </c>
    </row>
    <row r="270" spans="1:21" ht="18">
      <c r="A270" s="21">
        <v>2026</v>
      </c>
      <c r="B270" s="21" t="s">
        <v>913</v>
      </c>
      <c r="C270" s="21" t="s">
        <v>93</v>
      </c>
      <c r="D270" s="22">
        <v>2425</v>
      </c>
      <c r="E270" s="23">
        <v>0.44</v>
      </c>
      <c r="F270" s="24" t="s">
        <v>914</v>
      </c>
      <c r="G270" s="25"/>
      <c r="H270" s="25"/>
      <c r="I270" s="25"/>
      <c r="J270" s="25">
        <v>5</v>
      </c>
      <c r="K270" s="25"/>
      <c r="L270" s="25"/>
      <c r="M270" s="25">
        <v>1</v>
      </c>
      <c r="N270" s="25"/>
      <c r="O270" s="25"/>
      <c r="P270" s="25"/>
      <c r="Q270" s="25"/>
      <c r="R270" s="169"/>
      <c r="T270" s="25" t="s">
        <v>847</v>
      </c>
      <c r="U270" s="172"/>
    </row>
    <row r="271" spans="1:21" ht="18">
      <c r="A271" s="21">
        <v>2026</v>
      </c>
      <c r="B271" s="21" t="s">
        <v>896</v>
      </c>
      <c r="C271" s="21" t="s">
        <v>96</v>
      </c>
      <c r="D271" s="22">
        <v>51308</v>
      </c>
      <c r="E271" s="23">
        <v>0.05</v>
      </c>
      <c r="F271" s="24" t="s">
        <v>897</v>
      </c>
      <c r="G271" s="25">
        <v>126</v>
      </c>
      <c r="H271" s="25">
        <v>335</v>
      </c>
      <c r="I271" s="25">
        <v>75</v>
      </c>
      <c r="J271" s="25">
        <v>1784</v>
      </c>
      <c r="K271" s="25"/>
      <c r="L271" s="25"/>
      <c r="M271" s="25"/>
      <c r="N271" s="25"/>
      <c r="O271" s="25">
        <v>15</v>
      </c>
      <c r="P271" s="25"/>
      <c r="Q271" s="25"/>
      <c r="R271" s="169"/>
      <c r="T271" s="25" t="s">
        <v>847</v>
      </c>
      <c r="U271" s="172"/>
    </row>
    <row r="272" spans="1:21" ht="18">
      <c r="A272" s="21">
        <v>2026</v>
      </c>
      <c r="B272" s="21" t="s">
        <v>915</v>
      </c>
      <c r="C272" s="21" t="s">
        <v>96</v>
      </c>
      <c r="D272" s="22">
        <v>3015</v>
      </c>
      <c r="E272" s="23">
        <v>0</v>
      </c>
      <c r="F272" s="24" t="s">
        <v>916</v>
      </c>
      <c r="G272" s="25">
        <v>18</v>
      </c>
      <c r="H272" s="25"/>
      <c r="I272" s="25"/>
      <c r="J272" s="25">
        <v>46</v>
      </c>
      <c r="K272" s="25"/>
      <c r="L272" s="25"/>
      <c r="M272" s="25"/>
      <c r="N272" s="25"/>
      <c r="O272" s="25"/>
      <c r="P272" s="25"/>
      <c r="Q272" s="25"/>
      <c r="R272" s="169"/>
      <c r="T272" s="25" t="s">
        <v>847</v>
      </c>
      <c r="U272" s="172"/>
    </row>
    <row r="273" spans="1:21" ht="18">
      <c r="A273" s="21">
        <v>2026</v>
      </c>
      <c r="B273" s="21" t="s">
        <v>858</v>
      </c>
      <c r="C273" s="21" t="s">
        <v>103</v>
      </c>
      <c r="D273" s="22">
        <v>2750</v>
      </c>
      <c r="E273" s="23">
        <v>1</v>
      </c>
      <c r="F273" s="24" t="s">
        <v>859</v>
      </c>
      <c r="G273" s="25"/>
      <c r="H273" s="25"/>
      <c r="I273" s="25"/>
      <c r="J273" s="25"/>
      <c r="K273" s="25"/>
      <c r="L273" s="25"/>
      <c r="M273" s="25"/>
      <c r="N273" s="25"/>
      <c r="O273" s="25"/>
      <c r="P273" s="25"/>
      <c r="Q273" s="25"/>
      <c r="R273" s="169"/>
      <c r="T273" s="25" t="s">
        <v>169</v>
      </c>
      <c r="U273" s="172"/>
    </row>
    <row r="274" spans="1:21" ht="18">
      <c r="A274" s="21">
        <v>2026</v>
      </c>
      <c r="B274" s="21" t="s">
        <v>854</v>
      </c>
      <c r="C274" s="21" t="s">
        <v>109</v>
      </c>
      <c r="D274" s="22">
        <v>610</v>
      </c>
      <c r="E274" s="23">
        <v>1</v>
      </c>
      <c r="F274" s="24" t="s">
        <v>850</v>
      </c>
      <c r="G274" s="25"/>
      <c r="H274" s="25"/>
      <c r="I274" s="25"/>
      <c r="J274" s="25"/>
      <c r="K274" s="25"/>
      <c r="L274" s="25"/>
      <c r="M274" s="25"/>
      <c r="N274" s="25"/>
      <c r="O274" s="25"/>
      <c r="P274" s="25"/>
      <c r="Q274" s="25"/>
      <c r="R274" s="169"/>
      <c r="T274" s="25" t="s">
        <v>169</v>
      </c>
      <c r="U274" s="172"/>
    </row>
    <row r="275" spans="1:21" ht="18">
      <c r="A275" s="21">
        <v>2026</v>
      </c>
      <c r="B275" s="21" t="s">
        <v>974</v>
      </c>
      <c r="C275" s="21" t="s">
        <v>91</v>
      </c>
      <c r="D275" s="22">
        <v>1400</v>
      </c>
      <c r="E275" s="23">
        <v>0</v>
      </c>
      <c r="F275" s="24"/>
      <c r="G275" s="25"/>
      <c r="H275" s="25"/>
      <c r="I275" s="25"/>
      <c r="J275" s="25"/>
      <c r="K275" s="25"/>
      <c r="L275" s="25"/>
      <c r="M275" s="25"/>
      <c r="N275" s="25"/>
      <c r="O275" s="25"/>
      <c r="P275" s="25"/>
      <c r="Q275" s="25"/>
      <c r="R275" s="169"/>
      <c r="T275" s="25" t="s">
        <v>847</v>
      </c>
      <c r="U275" s="172"/>
    </row>
    <row r="276" spans="1:21" ht="18">
      <c r="A276" s="21">
        <v>2026</v>
      </c>
      <c r="B276" s="21" t="s">
        <v>960</v>
      </c>
      <c r="C276" s="21" t="s">
        <v>94</v>
      </c>
      <c r="D276" s="22">
        <v>130000</v>
      </c>
      <c r="E276" s="23">
        <v>0</v>
      </c>
      <c r="F276" s="24" t="s">
        <v>961</v>
      </c>
      <c r="G276" s="25"/>
      <c r="H276" s="25"/>
      <c r="I276" s="25"/>
      <c r="J276" s="25"/>
      <c r="K276" s="25"/>
      <c r="L276" s="25"/>
      <c r="M276" s="25"/>
      <c r="N276" s="25"/>
      <c r="O276" s="25"/>
      <c r="P276" s="25"/>
      <c r="Q276" s="25"/>
      <c r="R276" s="169"/>
      <c r="T276" s="25" t="s">
        <v>847</v>
      </c>
      <c r="U276" s="172"/>
    </row>
    <row r="277" spans="1:21" ht="18">
      <c r="A277" s="21">
        <v>2026</v>
      </c>
      <c r="B277" s="21" t="s">
        <v>937</v>
      </c>
      <c r="C277" s="21" t="s">
        <v>97</v>
      </c>
      <c r="D277" s="22"/>
      <c r="E277" s="23"/>
      <c r="F277" s="24"/>
      <c r="G277" s="25"/>
      <c r="H277" s="25"/>
      <c r="I277" s="25"/>
      <c r="J277" s="25"/>
      <c r="K277" s="25"/>
      <c r="L277" s="25"/>
      <c r="M277" s="25"/>
      <c r="N277" s="25"/>
      <c r="O277" s="25"/>
      <c r="P277" s="25"/>
      <c r="Q277" s="25"/>
      <c r="R277" s="169"/>
      <c r="T277" s="25" t="s">
        <v>940</v>
      </c>
      <c r="U277" s="172"/>
    </row>
    <row r="278" spans="1:21" ht="18">
      <c r="A278" s="21">
        <v>2026</v>
      </c>
      <c r="B278" s="21" t="s">
        <v>937</v>
      </c>
      <c r="C278" s="21" t="s">
        <v>109</v>
      </c>
      <c r="D278" s="22"/>
      <c r="E278" s="23"/>
      <c r="F278" s="24"/>
      <c r="G278" s="25">
        <v>56</v>
      </c>
      <c r="H278" s="25">
        <v>667</v>
      </c>
      <c r="I278" s="25">
        <v>102</v>
      </c>
      <c r="J278" s="25"/>
      <c r="K278" s="25"/>
      <c r="L278" s="25"/>
      <c r="M278" s="25"/>
      <c r="N278" s="25"/>
      <c r="O278" s="25"/>
      <c r="P278" s="25"/>
      <c r="Q278" s="25"/>
      <c r="R278" s="169"/>
      <c r="T278" s="25" t="s">
        <v>940</v>
      </c>
      <c r="U278" s="172"/>
    </row>
    <row r="279" spans="1:21" ht="18">
      <c r="A279" s="21">
        <v>2026</v>
      </c>
      <c r="B279" s="21" t="s">
        <v>937</v>
      </c>
      <c r="C279" s="21" t="s">
        <v>114</v>
      </c>
      <c r="D279" s="22"/>
      <c r="E279" s="23"/>
      <c r="F279" s="24"/>
      <c r="G279" s="25">
        <v>160</v>
      </c>
      <c r="H279" s="25">
        <v>42</v>
      </c>
      <c r="I279" s="25">
        <v>160</v>
      </c>
      <c r="J279" s="25"/>
      <c r="K279" s="25"/>
      <c r="L279" s="25"/>
      <c r="M279" s="25"/>
      <c r="N279" s="25"/>
      <c r="O279" s="25"/>
      <c r="P279" s="25"/>
      <c r="Q279" s="25"/>
      <c r="R279" s="169"/>
      <c r="T279" s="25" t="s">
        <v>940</v>
      </c>
      <c r="U279" s="172"/>
    </row>
    <row r="280" spans="1:21" ht="18">
      <c r="A280" s="21">
        <v>2026</v>
      </c>
      <c r="B280" s="21" t="s">
        <v>937</v>
      </c>
      <c r="C280" s="21" t="s">
        <v>92</v>
      </c>
      <c r="D280" s="22"/>
      <c r="E280" s="23"/>
      <c r="F280" s="24"/>
      <c r="G280" s="25">
        <v>107</v>
      </c>
      <c r="H280" s="25"/>
      <c r="I280" s="25"/>
      <c r="J280" s="25"/>
      <c r="K280" s="25"/>
      <c r="L280" s="25"/>
      <c r="M280" s="25"/>
      <c r="N280" s="25"/>
      <c r="O280" s="25"/>
      <c r="P280" s="25"/>
      <c r="Q280" s="25"/>
      <c r="R280" s="169"/>
      <c r="T280" s="25" t="s">
        <v>940</v>
      </c>
      <c r="U280" s="172"/>
    </row>
    <row r="281" spans="1:21" ht="18">
      <c r="A281" s="21">
        <v>2026</v>
      </c>
      <c r="B281" s="21" t="s">
        <v>937</v>
      </c>
      <c r="C281" s="21" t="s">
        <v>90</v>
      </c>
      <c r="D281" s="22"/>
      <c r="E281" s="23"/>
      <c r="F281" s="24"/>
      <c r="G281" s="25">
        <v>20</v>
      </c>
      <c r="H281" s="25">
        <v>192</v>
      </c>
      <c r="I281" s="25">
        <v>24</v>
      </c>
      <c r="J281" s="25"/>
      <c r="K281" s="25"/>
      <c r="L281" s="25"/>
      <c r="M281" s="25"/>
      <c r="N281" s="25"/>
      <c r="O281" s="25"/>
      <c r="P281" s="25"/>
      <c r="Q281" s="25"/>
      <c r="R281" s="169"/>
      <c r="T281" s="25" t="s">
        <v>940</v>
      </c>
      <c r="U281" s="172"/>
    </row>
    <row r="282" spans="1:21" ht="18">
      <c r="A282" s="21">
        <v>2026</v>
      </c>
      <c r="B282" s="21" t="s">
        <v>937</v>
      </c>
      <c r="C282" s="21" t="s">
        <v>93</v>
      </c>
      <c r="D282" s="22"/>
      <c r="E282" s="23"/>
      <c r="F282" s="24"/>
      <c r="G282" s="25">
        <v>56</v>
      </c>
      <c r="H282" s="25">
        <v>119</v>
      </c>
      <c r="I282" s="25">
        <v>24</v>
      </c>
      <c r="J282" s="25"/>
      <c r="K282" s="25"/>
      <c r="L282" s="25"/>
      <c r="M282" s="25"/>
      <c r="N282" s="25"/>
      <c r="O282" s="25"/>
      <c r="P282" s="25"/>
      <c r="Q282" s="25"/>
      <c r="R282" s="169"/>
      <c r="T282" s="25" t="s">
        <v>940</v>
      </c>
      <c r="U282" s="172"/>
    </row>
    <row r="283" spans="1:21" ht="18">
      <c r="A283" s="21">
        <v>2026</v>
      </c>
      <c r="B283" s="21" t="s">
        <v>937</v>
      </c>
      <c r="C283" s="21" t="s">
        <v>112</v>
      </c>
      <c r="D283" s="22"/>
      <c r="E283" s="23"/>
      <c r="F283" s="24"/>
      <c r="G283" s="25">
        <v>24</v>
      </c>
      <c r="H283" s="25">
        <v>306</v>
      </c>
      <c r="I283" s="25">
        <v>1132</v>
      </c>
      <c r="J283" s="25"/>
      <c r="K283" s="25"/>
      <c r="L283" s="25"/>
      <c r="M283" s="25"/>
      <c r="N283" s="25"/>
      <c r="O283" s="25"/>
      <c r="P283" s="25"/>
      <c r="Q283" s="25"/>
      <c r="R283" s="169"/>
      <c r="T283" s="25" t="s">
        <v>940</v>
      </c>
      <c r="U283" s="172" t="s">
        <v>930</v>
      </c>
    </row>
    <row r="284" spans="1:21" ht="18">
      <c r="A284" s="21">
        <v>2026</v>
      </c>
      <c r="B284" s="21" t="s">
        <v>937</v>
      </c>
      <c r="C284" s="21" t="s">
        <v>82</v>
      </c>
      <c r="D284" s="22"/>
      <c r="E284" s="23"/>
      <c r="F284" s="24"/>
      <c r="G284" s="25">
        <v>6</v>
      </c>
      <c r="H284" s="25">
        <v>28</v>
      </c>
      <c r="I284" s="25">
        <v>345</v>
      </c>
      <c r="J284" s="25"/>
      <c r="K284" s="25"/>
      <c r="L284" s="25"/>
      <c r="M284" s="25"/>
      <c r="N284" s="25"/>
      <c r="O284" s="25"/>
      <c r="P284" s="25"/>
      <c r="Q284" s="25"/>
      <c r="R284" s="169"/>
      <c r="T284" s="25" t="s">
        <v>940</v>
      </c>
      <c r="U284" s="172"/>
    </row>
    <row r="285" spans="1:21" ht="18">
      <c r="A285" s="21">
        <v>2026</v>
      </c>
      <c r="B285" s="21" t="s">
        <v>937</v>
      </c>
      <c r="C285" s="21" t="s">
        <v>88</v>
      </c>
      <c r="D285" s="22"/>
      <c r="E285" s="23"/>
      <c r="F285" s="24"/>
      <c r="G285" s="25">
        <v>151</v>
      </c>
      <c r="H285" s="25">
        <v>84</v>
      </c>
      <c r="I285" s="25">
        <v>172</v>
      </c>
      <c r="J285" s="25"/>
      <c r="K285" s="25"/>
      <c r="L285" s="25"/>
      <c r="M285" s="25"/>
      <c r="N285" s="25"/>
      <c r="O285" s="25"/>
      <c r="P285" s="25"/>
      <c r="Q285" s="25"/>
      <c r="R285" s="169"/>
      <c r="T285" s="25" t="s">
        <v>940</v>
      </c>
      <c r="U285" s="172"/>
    </row>
    <row r="286" spans="1:21" ht="18">
      <c r="A286" s="21">
        <v>2026</v>
      </c>
      <c r="B286" s="21" t="s">
        <v>937</v>
      </c>
      <c r="C286" s="21" t="s">
        <v>110</v>
      </c>
      <c r="D286" s="22"/>
      <c r="E286" s="23"/>
      <c r="F286" s="24"/>
      <c r="G286" s="25">
        <v>1</v>
      </c>
      <c r="H286" s="25">
        <v>64</v>
      </c>
      <c r="I286" s="25"/>
      <c r="J286" s="25"/>
      <c r="K286" s="25"/>
      <c r="L286" s="25"/>
      <c r="M286" s="25"/>
      <c r="N286" s="25"/>
      <c r="O286" s="25"/>
      <c r="P286" s="25"/>
      <c r="Q286" s="25"/>
      <c r="R286" s="169"/>
      <c r="T286" s="25" t="s">
        <v>940</v>
      </c>
      <c r="U286" s="172"/>
    </row>
    <row r="287" spans="1:21" ht="18">
      <c r="A287" s="21">
        <v>2026</v>
      </c>
      <c r="B287" s="21" t="s">
        <v>937</v>
      </c>
      <c r="C287" s="21" t="s">
        <v>94</v>
      </c>
      <c r="D287" s="22"/>
      <c r="E287" s="23"/>
      <c r="F287" s="24"/>
      <c r="G287" s="25">
        <v>1604</v>
      </c>
      <c r="H287" s="25">
        <v>126</v>
      </c>
      <c r="I287" s="25">
        <v>82</v>
      </c>
      <c r="J287" s="25"/>
      <c r="K287" s="25"/>
      <c r="L287" s="25"/>
      <c r="M287" s="25"/>
      <c r="N287" s="25"/>
      <c r="O287" s="25"/>
      <c r="P287" s="25"/>
      <c r="Q287" s="25"/>
      <c r="R287" s="169"/>
      <c r="T287" s="25" t="s">
        <v>940</v>
      </c>
      <c r="U287" s="172"/>
    </row>
    <row r="288" spans="1:21" ht="18">
      <c r="A288" s="21">
        <v>2026</v>
      </c>
      <c r="B288" s="21" t="s">
        <v>937</v>
      </c>
      <c r="C288" s="21" t="s">
        <v>96</v>
      </c>
      <c r="D288" s="22"/>
      <c r="E288" s="23"/>
      <c r="F288" s="24"/>
      <c r="G288" s="25">
        <v>3</v>
      </c>
      <c r="H288" s="25">
        <v>15</v>
      </c>
      <c r="I288" s="25">
        <v>21</v>
      </c>
      <c r="J288" s="25"/>
      <c r="K288" s="25"/>
      <c r="L288" s="25"/>
      <c r="M288" s="25"/>
      <c r="N288" s="25"/>
      <c r="O288" s="25"/>
      <c r="P288" s="25"/>
      <c r="Q288" s="25"/>
      <c r="R288" s="169"/>
      <c r="T288" s="25" t="s">
        <v>940</v>
      </c>
      <c r="U288" s="172"/>
    </row>
    <row r="289" spans="1:21" ht="18">
      <c r="A289" s="21">
        <v>2026</v>
      </c>
      <c r="B289" s="21" t="s">
        <v>938</v>
      </c>
      <c r="C289" s="21" t="s">
        <v>103</v>
      </c>
      <c r="D289" s="22">
        <v>8044</v>
      </c>
      <c r="E289" s="23">
        <v>1</v>
      </c>
      <c r="F289" s="224" t="s">
        <v>939</v>
      </c>
      <c r="G289" s="25"/>
      <c r="H289" s="25"/>
      <c r="I289" s="25"/>
      <c r="J289" s="25"/>
      <c r="K289" s="25"/>
      <c r="L289" s="25"/>
      <c r="M289" s="25"/>
      <c r="N289" s="25"/>
      <c r="O289" s="25"/>
      <c r="P289" s="25"/>
      <c r="Q289" s="25"/>
      <c r="R289" s="169"/>
      <c r="T289" s="25" t="s">
        <v>169</v>
      </c>
      <c r="U289" s="172"/>
    </row>
    <row r="290" spans="1:21" ht="18">
      <c r="A290" s="21">
        <v>2026</v>
      </c>
      <c r="B290" s="21" t="s">
        <v>954</v>
      </c>
      <c r="C290" s="21" t="s">
        <v>103</v>
      </c>
      <c r="D290" s="22">
        <v>1500</v>
      </c>
      <c r="E290" s="23">
        <v>10</v>
      </c>
      <c r="F290" s="24" t="s">
        <v>955</v>
      </c>
      <c r="G290" s="25"/>
      <c r="H290" s="25"/>
      <c r="I290" s="25"/>
      <c r="J290" s="25"/>
      <c r="K290" s="25"/>
      <c r="L290" s="25"/>
      <c r="M290" s="25"/>
      <c r="N290" s="25"/>
      <c r="O290" s="25"/>
      <c r="P290" s="25"/>
      <c r="Q290" s="25"/>
      <c r="R290" s="169"/>
      <c r="T290" s="25" t="s">
        <v>169</v>
      </c>
      <c r="U290" s="172"/>
    </row>
    <row r="291" spans="1:21" ht="18">
      <c r="A291" s="21">
        <v>2026</v>
      </c>
      <c r="B291" s="21" t="s">
        <v>917</v>
      </c>
      <c r="C291" s="21" t="s">
        <v>95</v>
      </c>
      <c r="D291" s="22">
        <v>15580</v>
      </c>
      <c r="E291" s="23">
        <v>0.66</v>
      </c>
      <c r="F291" s="24" t="s">
        <v>878</v>
      </c>
      <c r="G291" s="25">
        <v>388</v>
      </c>
      <c r="H291" s="25">
        <v>0</v>
      </c>
      <c r="I291" s="25">
        <v>0</v>
      </c>
      <c r="J291" s="25">
        <v>2347</v>
      </c>
      <c r="K291" s="25"/>
      <c r="L291" s="25"/>
      <c r="M291" s="25">
        <v>1</v>
      </c>
      <c r="N291" s="25"/>
      <c r="O291" s="25">
        <v>6</v>
      </c>
      <c r="P291" s="25"/>
      <c r="Q291" s="25"/>
      <c r="R291" s="169"/>
      <c r="T291" s="25" t="s">
        <v>847</v>
      </c>
      <c r="U291" s="172"/>
    </row>
    <row r="292" spans="1:21" ht="18">
      <c r="A292" s="21">
        <v>2026</v>
      </c>
      <c r="B292" s="21" t="s">
        <v>901</v>
      </c>
      <c r="C292" s="21" t="s">
        <v>94</v>
      </c>
      <c r="D292" s="22">
        <v>4553</v>
      </c>
      <c r="E292" s="23">
        <v>0.8</v>
      </c>
      <c r="F292" s="24" t="s">
        <v>902</v>
      </c>
      <c r="G292" s="25"/>
      <c r="H292" s="25"/>
      <c r="I292" s="25"/>
      <c r="J292" s="25"/>
      <c r="K292" s="25"/>
      <c r="L292" s="25"/>
      <c r="M292" s="25"/>
      <c r="N292" s="25"/>
      <c r="O292" s="25"/>
      <c r="P292" s="25"/>
      <c r="Q292" s="25"/>
      <c r="R292" s="169"/>
      <c r="T292" s="25" t="s">
        <v>847</v>
      </c>
      <c r="U292" s="172"/>
    </row>
    <row r="293" spans="1:21" ht="18">
      <c r="A293" s="21">
        <v>2026</v>
      </c>
      <c r="B293" s="21" t="s">
        <v>975</v>
      </c>
      <c r="C293" s="21" t="s">
        <v>93</v>
      </c>
      <c r="D293" s="22">
        <v>26445</v>
      </c>
      <c r="E293" s="23">
        <v>0</v>
      </c>
      <c r="F293" s="24" t="s">
        <v>976</v>
      </c>
      <c r="G293" s="25"/>
      <c r="H293" s="25"/>
      <c r="I293" s="25"/>
      <c r="J293" s="25"/>
      <c r="K293" s="25"/>
      <c r="L293" s="25"/>
      <c r="M293" s="25"/>
      <c r="N293" s="25"/>
      <c r="O293" s="25"/>
      <c r="P293" s="25"/>
      <c r="Q293" s="25"/>
      <c r="R293" s="169"/>
      <c r="T293" s="25" t="s">
        <v>847</v>
      </c>
      <c r="U293" s="172"/>
    </row>
    <row r="294" spans="1:21" ht="18">
      <c r="A294" s="21">
        <v>2026</v>
      </c>
      <c r="B294" s="21" t="s">
        <v>843</v>
      </c>
      <c r="C294" s="21" t="s">
        <v>82</v>
      </c>
      <c r="D294" s="22">
        <v>1938</v>
      </c>
      <c r="E294" s="23">
        <v>1</v>
      </c>
      <c r="F294" s="24" t="s">
        <v>845</v>
      </c>
      <c r="G294" s="25"/>
      <c r="H294" s="25"/>
      <c r="I294" s="25"/>
      <c r="J294" s="25"/>
      <c r="K294" s="25"/>
      <c r="L294" s="25"/>
      <c r="M294" s="25"/>
      <c r="N294" s="25"/>
      <c r="O294" s="25"/>
      <c r="P294" s="25"/>
      <c r="Q294" s="25"/>
      <c r="R294" s="169"/>
      <c r="T294" s="25" t="s">
        <v>169</v>
      </c>
      <c r="U294" s="172"/>
    </row>
    <row r="295" spans="1:21" ht="18">
      <c r="A295" s="21">
        <v>2026</v>
      </c>
      <c r="B295" s="21" t="s">
        <v>233</v>
      </c>
      <c r="C295" s="21" t="s">
        <v>91</v>
      </c>
      <c r="D295" s="22">
        <v>15000</v>
      </c>
      <c r="E295" s="23">
        <v>0</v>
      </c>
      <c r="F295" s="24"/>
      <c r="G295" s="25"/>
      <c r="H295" s="25"/>
      <c r="I295" s="25"/>
      <c r="J295" s="25">
        <v>800</v>
      </c>
      <c r="K295" s="25"/>
      <c r="L295" s="25"/>
      <c r="M295" s="25"/>
      <c r="N295" s="25"/>
      <c r="O295" s="25"/>
      <c r="P295" s="25"/>
      <c r="Q295" s="25"/>
      <c r="R295" s="169"/>
      <c r="T295" s="25" t="s">
        <v>847</v>
      </c>
      <c r="U295" s="172"/>
    </row>
    <row r="296" spans="1:21" ht="18">
      <c r="A296" s="21">
        <v>2026</v>
      </c>
      <c r="B296" s="21" t="s">
        <v>918</v>
      </c>
      <c r="C296" s="21" t="s">
        <v>109</v>
      </c>
      <c r="D296" s="22">
        <v>24038</v>
      </c>
      <c r="E296" s="23">
        <v>0</v>
      </c>
      <c r="F296" s="24" t="s">
        <v>919</v>
      </c>
      <c r="G296" s="25"/>
      <c r="H296" s="25"/>
      <c r="I296" s="25"/>
      <c r="J296" s="25">
        <v>1467</v>
      </c>
      <c r="K296" s="25"/>
      <c r="L296" s="25"/>
      <c r="M296" s="25"/>
      <c r="N296" s="25"/>
      <c r="O296" s="25"/>
      <c r="P296" s="25"/>
      <c r="Q296" s="25"/>
      <c r="R296" s="169"/>
      <c r="T296" s="25" t="s">
        <v>847</v>
      </c>
      <c r="U296" s="172"/>
    </row>
    <row r="297" spans="1:21" ht="18">
      <c r="A297" s="21">
        <v>2026</v>
      </c>
      <c r="B297" s="21" t="s">
        <v>977</v>
      </c>
      <c r="C297" s="21" t="s">
        <v>103</v>
      </c>
      <c r="D297" s="22">
        <v>42000</v>
      </c>
      <c r="E297" s="23">
        <v>0.35</v>
      </c>
      <c r="F297" s="24" t="s">
        <v>978</v>
      </c>
      <c r="G297" s="25"/>
      <c r="H297" s="25"/>
      <c r="I297" s="25"/>
      <c r="J297" s="25">
        <v>32</v>
      </c>
      <c r="K297" s="25"/>
      <c r="L297" s="25"/>
      <c r="M297" s="25"/>
      <c r="N297" s="25"/>
      <c r="O297" s="25"/>
      <c r="P297" s="25"/>
      <c r="Q297" s="25"/>
      <c r="R297" s="169"/>
      <c r="T297" s="25" t="s">
        <v>847</v>
      </c>
      <c r="U297" s="172"/>
    </row>
    <row r="298" spans="1:21" ht="18">
      <c r="A298" s="21">
        <v>2026</v>
      </c>
      <c r="B298" s="225" t="s">
        <v>927</v>
      </c>
      <c r="C298" s="21" t="s">
        <v>92</v>
      </c>
      <c r="D298" s="22">
        <v>181821</v>
      </c>
      <c r="E298" s="23">
        <v>0.6</v>
      </c>
      <c r="F298" s="24" t="s">
        <v>925</v>
      </c>
      <c r="G298" s="25">
        <v>217</v>
      </c>
      <c r="H298" s="25">
        <v>95</v>
      </c>
      <c r="I298" s="25">
        <v>0</v>
      </c>
      <c r="J298" s="25"/>
      <c r="K298" s="25"/>
      <c r="L298" s="25"/>
      <c r="M298" s="25">
        <v>13</v>
      </c>
      <c r="N298" s="25"/>
      <c r="O298" s="25">
        <v>5</v>
      </c>
      <c r="P298" s="25"/>
      <c r="Q298" s="25"/>
      <c r="R298" s="169"/>
      <c r="T298" s="25" t="s">
        <v>847</v>
      </c>
      <c r="U298" s="172"/>
    </row>
    <row r="299" spans="1:21" ht="18">
      <c r="A299" s="21">
        <v>2026</v>
      </c>
      <c r="B299" s="21" t="s">
        <v>840</v>
      </c>
      <c r="C299" s="21" t="s">
        <v>95</v>
      </c>
      <c r="D299" s="22">
        <v>9.8000000000000007</v>
      </c>
      <c r="E299" s="23">
        <v>1</v>
      </c>
      <c r="F299" s="24" t="s">
        <v>841</v>
      </c>
      <c r="G299" s="25">
        <v>0</v>
      </c>
      <c r="H299" s="25"/>
      <c r="I299" s="25"/>
      <c r="J299" s="25"/>
      <c r="K299" s="25"/>
      <c r="L299" s="25"/>
      <c r="M299" s="25"/>
      <c r="N299" s="25"/>
      <c r="O299" s="25"/>
      <c r="P299" s="25"/>
      <c r="Q299" s="25"/>
      <c r="R299" s="169"/>
      <c r="T299" s="25" t="s">
        <v>169</v>
      </c>
      <c r="U299" s="172"/>
    </row>
    <row r="300" spans="1:21" ht="18">
      <c r="A300" s="21">
        <v>2026</v>
      </c>
      <c r="B300" s="21" t="s">
        <v>866</v>
      </c>
      <c r="C300" s="21" t="s">
        <v>94</v>
      </c>
      <c r="D300" s="22">
        <v>960</v>
      </c>
      <c r="E300" s="23">
        <v>1</v>
      </c>
      <c r="F300" s="24" t="s">
        <v>867</v>
      </c>
      <c r="G300" s="25"/>
      <c r="H300" s="25"/>
      <c r="I300" s="25"/>
      <c r="J300" s="25"/>
      <c r="K300" s="25"/>
      <c r="L300" s="25"/>
      <c r="M300" s="25"/>
      <c r="N300" s="25"/>
      <c r="O300" s="25"/>
      <c r="P300" s="25"/>
      <c r="Q300" s="25"/>
      <c r="R300" s="169"/>
      <c r="T300" s="25" t="s">
        <v>169</v>
      </c>
      <c r="U300" s="172"/>
    </row>
    <row r="301" spans="1:21" ht="18">
      <c r="A301" s="21">
        <v>2026</v>
      </c>
      <c r="B301" s="21" t="s">
        <v>906</v>
      </c>
      <c r="C301" s="21" t="s">
        <v>109</v>
      </c>
      <c r="D301" s="22">
        <v>831</v>
      </c>
      <c r="E301" s="23">
        <v>0.6</v>
      </c>
      <c r="F301" s="24" t="s">
        <v>934</v>
      </c>
      <c r="G301" s="25"/>
      <c r="H301" s="25"/>
      <c r="I301" s="25"/>
      <c r="J301" s="25">
        <v>60</v>
      </c>
      <c r="K301" s="25"/>
      <c r="L301" s="25"/>
      <c r="M301" s="25"/>
      <c r="N301" s="25"/>
      <c r="O301" s="25"/>
      <c r="P301" s="25"/>
      <c r="Q301" s="25"/>
      <c r="R301" s="169"/>
      <c r="T301" s="25" t="s">
        <v>847</v>
      </c>
      <c r="U301" s="172"/>
    </row>
    <row r="302" spans="1:21" ht="18">
      <c r="A302" s="21">
        <v>2026</v>
      </c>
      <c r="B302" s="21" t="s">
        <v>920</v>
      </c>
      <c r="C302" s="21" t="s">
        <v>111</v>
      </c>
      <c r="D302" s="22">
        <v>740</v>
      </c>
      <c r="E302" s="23">
        <v>0</v>
      </c>
      <c r="F302" s="24" t="s">
        <v>921</v>
      </c>
      <c r="G302" s="25"/>
      <c r="H302" s="25"/>
      <c r="I302" s="25"/>
      <c r="J302" s="25"/>
      <c r="K302" s="25"/>
      <c r="L302" s="25"/>
      <c r="M302" s="25"/>
      <c r="N302" s="25"/>
      <c r="O302" s="25"/>
      <c r="P302" s="25"/>
      <c r="Q302" s="25"/>
      <c r="R302" s="169"/>
      <c r="T302" s="25" t="s">
        <v>847</v>
      </c>
      <c r="U302" s="172"/>
    </row>
    <row r="303" spans="1:21" ht="18">
      <c r="A303" s="21">
        <v>2026</v>
      </c>
      <c r="B303" s="21" t="s">
        <v>979</v>
      </c>
      <c r="C303" s="21" t="s">
        <v>94</v>
      </c>
      <c r="D303" s="22">
        <v>18539</v>
      </c>
      <c r="E303" s="23">
        <v>0.3</v>
      </c>
      <c r="F303" s="24" t="s">
        <v>980</v>
      </c>
      <c r="G303" s="25"/>
      <c r="H303" s="25"/>
      <c r="I303" s="25"/>
      <c r="J303" s="25">
        <v>34</v>
      </c>
      <c r="K303" s="25"/>
      <c r="L303" s="25"/>
      <c r="M303" s="25"/>
      <c r="N303" s="25"/>
      <c r="O303" s="25">
        <v>2</v>
      </c>
      <c r="P303" s="25"/>
      <c r="Q303" s="25"/>
      <c r="R303" s="169"/>
      <c r="T303" s="25" t="s">
        <v>847</v>
      </c>
      <c r="U303" s="172"/>
    </row>
    <row r="304" spans="1:21" ht="18">
      <c r="A304" s="21">
        <v>2026</v>
      </c>
      <c r="B304" s="21" t="s">
        <v>922</v>
      </c>
      <c r="C304" s="21" t="s">
        <v>98</v>
      </c>
      <c r="D304" s="22">
        <v>247</v>
      </c>
      <c r="E304" s="23">
        <v>1</v>
      </c>
      <c r="F304" s="24" t="s">
        <v>923</v>
      </c>
      <c r="G304" s="25"/>
      <c r="H304" s="25"/>
      <c r="I304" s="25"/>
      <c r="J304" s="25"/>
      <c r="K304" s="25"/>
      <c r="L304" s="25"/>
      <c r="M304" s="25"/>
      <c r="N304" s="25"/>
      <c r="O304" s="25"/>
      <c r="P304" s="25"/>
      <c r="Q304" s="25"/>
      <c r="R304" s="169"/>
      <c r="T304" s="25" t="s">
        <v>169</v>
      </c>
      <c r="U304" s="172"/>
    </row>
    <row r="305" spans="1:21" ht="18">
      <c r="A305" s="21">
        <v>2026</v>
      </c>
      <c r="B305" s="21" t="s">
        <v>931</v>
      </c>
      <c r="C305" s="21" t="s">
        <v>109</v>
      </c>
      <c r="D305" s="22">
        <v>8096</v>
      </c>
      <c r="E305" s="23">
        <v>1</v>
      </c>
      <c r="F305" s="24" t="s">
        <v>932</v>
      </c>
      <c r="G305" s="25"/>
      <c r="H305" s="25"/>
      <c r="I305" s="25"/>
      <c r="J305" s="25"/>
      <c r="K305" s="25"/>
      <c r="L305" s="25"/>
      <c r="M305" s="25">
        <v>6</v>
      </c>
      <c r="N305" s="25"/>
      <c r="O305" s="25">
        <v>40</v>
      </c>
      <c r="P305" s="25"/>
      <c r="Q305" s="25"/>
      <c r="R305" s="169"/>
      <c r="T305" s="25" t="s">
        <v>634</v>
      </c>
      <c r="U305" s="172"/>
    </row>
    <row r="306" spans="1:21" ht="18">
      <c r="A306" s="21">
        <v>2026</v>
      </c>
      <c r="B306" s="21" t="s">
        <v>855</v>
      </c>
      <c r="C306" s="21" t="s">
        <v>103</v>
      </c>
      <c r="D306" s="22">
        <v>6052</v>
      </c>
      <c r="E306" s="23">
        <v>1</v>
      </c>
      <c r="F306" s="24" t="s">
        <v>856</v>
      </c>
      <c r="G306" s="25">
        <v>0</v>
      </c>
      <c r="H306" s="25"/>
      <c r="I306" s="25"/>
      <c r="J306" s="25"/>
      <c r="K306" s="25"/>
      <c r="L306" s="25"/>
      <c r="M306" s="25"/>
      <c r="N306" s="25"/>
      <c r="O306" s="25"/>
      <c r="P306" s="25"/>
      <c r="Q306" s="25"/>
      <c r="R306" s="169"/>
      <c r="T306" s="25" t="s">
        <v>169</v>
      </c>
      <c r="U306" s="172"/>
    </row>
    <row r="307" spans="1:21" ht="18">
      <c r="A307" s="21">
        <v>2026</v>
      </c>
      <c r="B307" s="21" t="s">
        <v>861</v>
      </c>
      <c r="C307" s="21" t="s">
        <v>109</v>
      </c>
      <c r="D307" s="22">
        <v>4887</v>
      </c>
      <c r="E307" s="23">
        <v>0.96</v>
      </c>
      <c r="F307" s="24" t="s">
        <v>862</v>
      </c>
      <c r="G307" s="25">
        <v>21</v>
      </c>
      <c r="H307" s="25">
        <v>0</v>
      </c>
      <c r="I307" s="25">
        <v>0</v>
      </c>
      <c r="J307" s="25"/>
      <c r="K307" s="25"/>
      <c r="L307" s="25"/>
      <c r="M307" s="25"/>
      <c r="N307" s="25"/>
      <c r="O307" s="25"/>
      <c r="P307" s="25"/>
      <c r="Q307" s="25"/>
      <c r="R307" s="169"/>
      <c r="S307" s="46" t="s">
        <v>665</v>
      </c>
      <c r="T307" s="25" t="s">
        <v>847</v>
      </c>
      <c r="U307" s="172"/>
    </row>
    <row r="308" spans="1:21" ht="18">
      <c r="A308" s="21">
        <v>2026</v>
      </c>
      <c r="B308" s="21" t="s">
        <v>849</v>
      </c>
      <c r="C308" s="21" t="s">
        <v>109</v>
      </c>
      <c r="D308" s="22">
        <v>1495</v>
      </c>
      <c r="E308" s="23">
        <v>1</v>
      </c>
      <c r="F308" s="24" t="s">
        <v>850</v>
      </c>
      <c r="G308" s="25">
        <v>0</v>
      </c>
      <c r="H308" s="25"/>
      <c r="I308" s="25"/>
      <c r="J308" s="25"/>
      <c r="K308" s="25"/>
      <c r="L308" s="25"/>
      <c r="M308" s="25"/>
      <c r="N308" s="25"/>
      <c r="O308" s="25"/>
      <c r="P308" s="25"/>
      <c r="Q308" s="25"/>
      <c r="R308" s="169"/>
      <c r="S308" s="46" t="s">
        <v>665</v>
      </c>
      <c r="T308" s="25" t="s">
        <v>169</v>
      </c>
      <c r="U308" s="172"/>
    </row>
    <row r="309" spans="1:21" ht="18">
      <c r="A309" s="21">
        <v>2026</v>
      </c>
      <c r="B309" s="21" t="s">
        <v>876</v>
      </c>
      <c r="C309" s="21" t="s">
        <v>93</v>
      </c>
      <c r="D309" s="22">
        <v>3054</v>
      </c>
      <c r="E309" s="23">
        <v>0.6</v>
      </c>
      <c r="F309" s="24" t="s">
        <v>872</v>
      </c>
      <c r="G309" s="25">
        <v>0</v>
      </c>
      <c r="H309" s="25">
        <v>99</v>
      </c>
      <c r="I309" s="25">
        <v>27</v>
      </c>
      <c r="J309" s="25">
        <v>38</v>
      </c>
      <c r="K309" s="25"/>
      <c r="L309" s="25"/>
      <c r="M309" s="25"/>
      <c r="N309" s="25"/>
      <c r="O309" s="25"/>
      <c r="P309" s="25"/>
      <c r="Q309" s="25"/>
      <c r="R309" s="169"/>
      <c r="T309" s="25" t="s">
        <v>847</v>
      </c>
      <c r="U309" s="172"/>
    </row>
    <row r="310" spans="1:21" ht="18">
      <c r="A310" s="21">
        <v>2026</v>
      </c>
      <c r="B310" s="21" t="s">
        <v>831</v>
      </c>
      <c r="C310" s="21" t="s">
        <v>90</v>
      </c>
      <c r="D310" s="22">
        <v>2589</v>
      </c>
      <c r="E310" s="23">
        <v>1</v>
      </c>
      <c r="F310" s="24" t="s">
        <v>832</v>
      </c>
      <c r="G310" s="25"/>
      <c r="H310" s="25"/>
      <c r="I310" s="25"/>
      <c r="J310" s="25"/>
      <c r="K310" s="25"/>
      <c r="L310" s="25"/>
      <c r="M310" s="25"/>
      <c r="N310" s="25"/>
      <c r="O310" s="25"/>
      <c r="P310" s="25"/>
      <c r="Q310" s="25"/>
      <c r="R310" s="169"/>
      <c r="T310" s="25" t="s">
        <v>169</v>
      </c>
      <c r="U310" s="172"/>
    </row>
    <row r="311" spans="1:21" ht="18">
      <c r="A311" s="21">
        <v>2026</v>
      </c>
      <c r="B311" s="21" t="s">
        <v>900</v>
      </c>
      <c r="C311" s="21" t="s">
        <v>82</v>
      </c>
      <c r="D311" s="22">
        <v>21026</v>
      </c>
      <c r="E311" s="23">
        <v>0.84</v>
      </c>
      <c r="F311" s="24" t="s">
        <v>935</v>
      </c>
      <c r="G311" s="25"/>
      <c r="H311" s="25"/>
      <c r="I311" s="25"/>
      <c r="J311" s="25">
        <v>3</v>
      </c>
      <c r="K311" s="25"/>
      <c r="L311" s="25"/>
      <c r="M311" s="25"/>
      <c r="N311" s="25"/>
      <c r="O311" s="25"/>
      <c r="P311" s="25"/>
      <c r="Q311" s="25"/>
      <c r="R311" s="169"/>
      <c r="T311" s="25" t="s">
        <v>847</v>
      </c>
      <c r="U311" s="172"/>
    </row>
    <row r="312" spans="1:21" ht="18">
      <c r="A312" s="21">
        <v>2026</v>
      </c>
      <c r="B312" s="225" t="s">
        <v>986</v>
      </c>
      <c r="C312" s="21" t="s">
        <v>92</v>
      </c>
      <c r="D312" s="22">
        <v>450</v>
      </c>
      <c r="E312" s="23">
        <v>1</v>
      </c>
      <c r="F312" s="24" t="s">
        <v>838</v>
      </c>
      <c r="G312" s="25"/>
      <c r="H312" s="25"/>
      <c r="I312" s="25"/>
      <c r="J312" s="25"/>
      <c r="K312" s="25"/>
      <c r="L312" s="25"/>
      <c r="M312" s="25"/>
      <c r="N312" s="25"/>
      <c r="O312" s="25"/>
      <c r="P312" s="25"/>
      <c r="Q312" s="25"/>
      <c r="R312" s="169"/>
      <c r="T312" s="25" t="s">
        <v>169</v>
      </c>
      <c r="U312" s="172"/>
    </row>
    <row r="313" spans="1:21" ht="18">
      <c r="A313" s="21">
        <v>2026</v>
      </c>
      <c r="B313" s="21" t="s">
        <v>826</v>
      </c>
      <c r="C313" s="21" t="s">
        <v>90</v>
      </c>
      <c r="D313" s="22">
        <v>12</v>
      </c>
      <c r="E313" s="23">
        <v>1</v>
      </c>
      <c r="F313" s="24" t="s">
        <v>827</v>
      </c>
      <c r="G313" s="25">
        <v>0</v>
      </c>
      <c r="H313" s="25"/>
      <c r="I313" s="25"/>
      <c r="J313" s="25"/>
      <c r="K313" s="25"/>
      <c r="L313" s="25"/>
      <c r="M313" s="25"/>
      <c r="N313" s="25"/>
      <c r="O313" s="25"/>
      <c r="P313" s="25"/>
      <c r="Q313" s="25"/>
      <c r="R313" s="169"/>
      <c r="T313" s="25" t="s">
        <v>169</v>
      </c>
      <c r="U313" s="172"/>
    </row>
    <row r="314" spans="1:21" ht="18">
      <c r="A314" s="21">
        <v>2026</v>
      </c>
      <c r="B314" s="225" t="s">
        <v>926</v>
      </c>
      <c r="C314" s="21" t="s">
        <v>114</v>
      </c>
      <c r="D314" s="22">
        <v>208759</v>
      </c>
      <c r="E314" s="23">
        <v>0.31</v>
      </c>
      <c r="F314" s="24" t="s">
        <v>889</v>
      </c>
      <c r="G314" s="25">
        <v>4</v>
      </c>
      <c r="H314" s="25">
        <v>0</v>
      </c>
      <c r="I314" s="25">
        <v>9</v>
      </c>
      <c r="J314" s="25"/>
      <c r="K314" s="25"/>
      <c r="L314" s="25"/>
      <c r="M314" s="25"/>
      <c r="N314" s="25"/>
      <c r="O314" s="25"/>
      <c r="P314" s="25"/>
      <c r="Q314" s="25"/>
      <c r="R314" s="169"/>
      <c r="T314" s="25" t="s">
        <v>847</v>
      </c>
      <c r="U314" s="172"/>
    </row>
    <row r="315" spans="1:21" ht="18">
      <c r="A315" s="21">
        <v>2026</v>
      </c>
      <c r="B315" s="21" t="s">
        <v>871</v>
      </c>
      <c r="C315" s="21" t="s">
        <v>93</v>
      </c>
      <c r="D315" s="22">
        <v>1426</v>
      </c>
      <c r="E315" s="23">
        <v>0.6</v>
      </c>
      <c r="F315" s="24" t="s">
        <v>872</v>
      </c>
      <c r="G315" s="25">
        <v>0</v>
      </c>
      <c r="H315" s="25">
        <v>20</v>
      </c>
      <c r="I315" s="25">
        <v>0</v>
      </c>
      <c r="J315" s="25">
        <v>38</v>
      </c>
      <c r="K315" s="25"/>
      <c r="L315" s="25"/>
      <c r="M315" s="25"/>
      <c r="N315" s="25"/>
      <c r="O315" s="25">
        <v>2</v>
      </c>
      <c r="P315" s="25"/>
      <c r="Q315" s="25"/>
      <c r="R315" s="169"/>
      <c r="T315" s="25" t="s">
        <v>847</v>
      </c>
      <c r="U315" s="172"/>
    </row>
    <row r="316" spans="1:21" ht="18">
      <c r="A316" s="21">
        <v>2026</v>
      </c>
      <c r="B316" s="21" t="s">
        <v>962</v>
      </c>
      <c r="C316" s="21" t="s">
        <v>94</v>
      </c>
      <c r="D316" s="22">
        <v>76958</v>
      </c>
      <c r="E316" s="23">
        <v>0.05</v>
      </c>
      <c r="F316" s="24" t="s">
        <v>981</v>
      </c>
      <c r="G316" s="25"/>
      <c r="H316" s="25"/>
      <c r="I316" s="25"/>
      <c r="J316" s="25">
        <v>1721</v>
      </c>
      <c r="K316" s="25"/>
      <c r="L316" s="25"/>
      <c r="M316" s="25"/>
      <c r="N316" s="25"/>
      <c r="O316" s="25">
        <v>2</v>
      </c>
      <c r="P316" s="25"/>
      <c r="Q316" s="25"/>
      <c r="R316" s="169"/>
      <c r="T316" s="25" t="s">
        <v>847</v>
      </c>
      <c r="U316" s="172"/>
    </row>
    <row r="317" spans="1:21" ht="18">
      <c r="A317" s="21">
        <v>2026</v>
      </c>
      <c r="B317" s="21" t="s">
        <v>956</v>
      </c>
      <c r="C317" s="21" t="s">
        <v>94</v>
      </c>
      <c r="D317" s="22">
        <v>15673</v>
      </c>
      <c r="E317" s="23">
        <v>0.8</v>
      </c>
      <c r="F317" s="223" t="s">
        <v>957</v>
      </c>
      <c r="G317" s="25"/>
      <c r="H317" s="25"/>
      <c r="I317" s="25"/>
      <c r="J317" s="25">
        <v>76</v>
      </c>
      <c r="K317" s="25"/>
      <c r="L317" s="25"/>
      <c r="M317" s="25"/>
      <c r="N317" s="25"/>
      <c r="O317" s="25"/>
      <c r="P317" s="25"/>
      <c r="Q317" s="25"/>
      <c r="R317" s="169"/>
      <c r="T317" s="25" t="s">
        <v>847</v>
      </c>
      <c r="U317" s="172"/>
    </row>
    <row r="318" spans="1:21" ht="18">
      <c r="A318" s="21">
        <v>2026</v>
      </c>
      <c r="B318" s="21" t="s">
        <v>846</v>
      </c>
      <c r="C318" s="21" t="s">
        <v>95</v>
      </c>
      <c r="D318" s="22">
        <v>1</v>
      </c>
      <c r="E318" s="23">
        <v>1</v>
      </c>
      <c r="F318" s="24" t="s">
        <v>841</v>
      </c>
      <c r="G318" s="25">
        <v>0</v>
      </c>
      <c r="H318" s="25"/>
      <c r="I318" s="25"/>
      <c r="J318" s="25"/>
      <c r="K318" s="25"/>
      <c r="L318" s="25"/>
      <c r="M318" s="25"/>
      <c r="N318" s="25"/>
      <c r="O318" s="25"/>
      <c r="P318" s="25"/>
      <c r="Q318" s="25"/>
      <c r="R318" s="169"/>
      <c r="T318" s="25" t="s">
        <v>169</v>
      </c>
      <c r="U318" s="172"/>
    </row>
    <row r="319" spans="1:21" ht="18">
      <c r="A319" s="21">
        <v>2026</v>
      </c>
      <c r="B319" s="21" t="s">
        <v>869</v>
      </c>
      <c r="C319" s="21" t="s">
        <v>103</v>
      </c>
      <c r="D319" s="22">
        <v>999</v>
      </c>
      <c r="E319" s="23">
        <v>1</v>
      </c>
      <c r="F319" s="24" t="s">
        <v>870</v>
      </c>
      <c r="G319" s="25"/>
      <c r="H319" s="25"/>
      <c r="I319" s="25"/>
      <c r="J319" s="25"/>
      <c r="K319" s="25"/>
      <c r="L319" s="25"/>
      <c r="M319" s="25"/>
      <c r="N319" s="25"/>
      <c r="O319" s="25"/>
      <c r="P319" s="25"/>
      <c r="Q319" s="25"/>
      <c r="R319" s="169"/>
      <c r="T319" s="25" t="s">
        <v>169</v>
      </c>
      <c r="U319" s="172"/>
    </row>
    <row r="320" spans="1:21" ht="18">
      <c r="A320" s="21"/>
      <c r="B320" s="21"/>
      <c r="C320" s="21"/>
      <c r="D320" s="22"/>
      <c r="E320" s="23"/>
      <c r="F320" s="24"/>
      <c r="G320" s="25"/>
      <c r="H320" s="25"/>
      <c r="I320" s="25"/>
      <c r="J320" s="25"/>
      <c r="K320" s="25"/>
      <c r="L320" s="25"/>
      <c r="M320" s="25"/>
      <c r="N320" s="25"/>
      <c r="O320" s="25"/>
      <c r="P320" s="25"/>
      <c r="Q320" s="25"/>
      <c r="R320" s="169"/>
      <c r="T320" s="25"/>
      <c r="U320" s="172"/>
    </row>
    <row r="321" spans="1:21" ht="18">
      <c r="A321" s="21"/>
      <c r="B321" s="21"/>
      <c r="C321" s="21"/>
      <c r="D321" s="22"/>
      <c r="E321" s="23"/>
      <c r="F321" s="24"/>
      <c r="G321" s="25"/>
      <c r="H321" s="25"/>
      <c r="I321" s="25"/>
      <c r="J321" s="25"/>
      <c r="K321" s="25"/>
      <c r="L321" s="25"/>
      <c r="M321" s="25"/>
      <c r="N321" s="25"/>
      <c r="O321" s="25"/>
      <c r="P321" s="25"/>
      <c r="Q321" s="25"/>
      <c r="R321" s="169"/>
      <c r="T321" s="25"/>
      <c r="U321" s="172"/>
    </row>
    <row r="322" spans="1:21" ht="18">
      <c r="A322" s="21"/>
      <c r="B322" s="21"/>
      <c r="C322" s="21"/>
      <c r="D322" s="22"/>
      <c r="E322" s="23"/>
      <c r="F322" s="24"/>
      <c r="G322" s="25"/>
      <c r="H322" s="25"/>
      <c r="I322" s="25"/>
      <c r="J322" s="25"/>
      <c r="K322" s="25"/>
      <c r="L322" s="25"/>
      <c r="M322" s="25"/>
      <c r="N322" s="25"/>
      <c r="O322" s="25"/>
      <c r="P322" s="25"/>
      <c r="Q322" s="25"/>
      <c r="R322" s="169"/>
      <c r="T322" s="25"/>
      <c r="U322" s="172"/>
    </row>
    <row r="323" spans="1:21" ht="18">
      <c r="A323" s="21"/>
      <c r="B323" s="21"/>
      <c r="C323" s="21"/>
      <c r="D323" s="22"/>
      <c r="E323" s="23"/>
      <c r="F323" s="24"/>
      <c r="G323" s="25"/>
      <c r="H323" s="25"/>
      <c r="I323" s="25"/>
      <c r="J323" s="25"/>
      <c r="K323" s="25"/>
      <c r="L323" s="25"/>
      <c r="M323" s="25"/>
      <c r="N323" s="25"/>
      <c r="O323" s="25"/>
      <c r="P323" s="25"/>
      <c r="Q323" s="25"/>
      <c r="R323" s="169"/>
      <c r="T323" s="25"/>
      <c r="U323" s="172"/>
    </row>
    <row r="324" spans="1:21" ht="18">
      <c r="A324" s="21"/>
      <c r="B324" s="21"/>
      <c r="C324" s="21"/>
      <c r="D324" s="22"/>
      <c r="E324" s="23"/>
      <c r="F324" s="24"/>
      <c r="G324" s="25"/>
      <c r="H324" s="25"/>
      <c r="I324" s="25"/>
      <c r="J324" s="25"/>
      <c r="K324" s="25"/>
      <c r="L324" s="25"/>
      <c r="M324" s="25"/>
      <c r="N324" s="25"/>
      <c r="O324" s="25"/>
      <c r="P324" s="25"/>
      <c r="Q324" s="25"/>
      <c r="R324" s="169"/>
      <c r="T324" s="25"/>
      <c r="U324" s="172"/>
    </row>
    <row r="325" spans="1:21" ht="18">
      <c r="A325" s="21"/>
      <c r="B325" s="21"/>
      <c r="C325" s="21"/>
      <c r="D325" s="22"/>
      <c r="E325" s="23"/>
      <c r="F325" s="24"/>
      <c r="G325" s="25"/>
      <c r="H325" s="25"/>
      <c r="I325" s="25"/>
      <c r="J325" s="25"/>
      <c r="K325" s="25"/>
      <c r="L325" s="25"/>
      <c r="M325" s="25"/>
      <c r="N325" s="25"/>
      <c r="O325" s="25"/>
      <c r="P325" s="25"/>
      <c r="Q325" s="25"/>
      <c r="R325" s="169"/>
      <c r="T325" s="25"/>
      <c r="U325" s="172"/>
    </row>
    <row r="326" spans="1:21" ht="18">
      <c r="A326" s="21"/>
      <c r="B326" s="21"/>
      <c r="C326" s="21"/>
      <c r="D326" s="22"/>
      <c r="E326" s="23"/>
      <c r="F326" s="24"/>
      <c r="G326" s="25"/>
      <c r="H326" s="25"/>
      <c r="I326" s="25"/>
      <c r="J326" s="25"/>
      <c r="K326" s="25"/>
      <c r="L326" s="25"/>
      <c r="M326" s="25"/>
      <c r="N326" s="25"/>
      <c r="O326" s="25"/>
      <c r="P326" s="25"/>
      <c r="Q326" s="25"/>
      <c r="R326" s="169"/>
      <c r="T326" s="25"/>
      <c r="U326" s="172"/>
    </row>
    <row r="327" spans="1:21" ht="18">
      <c r="A327" s="21"/>
      <c r="B327" s="21"/>
      <c r="C327" s="21"/>
      <c r="D327" s="22"/>
      <c r="E327" s="23"/>
      <c r="F327" s="24"/>
      <c r="G327" s="25"/>
      <c r="H327" s="25"/>
      <c r="I327" s="25"/>
      <c r="J327" s="25"/>
      <c r="K327" s="25"/>
      <c r="L327" s="25"/>
      <c r="M327" s="25"/>
      <c r="N327" s="25"/>
      <c r="O327" s="25"/>
      <c r="P327" s="25"/>
      <c r="Q327" s="25"/>
      <c r="R327" s="169"/>
      <c r="T327" s="25"/>
      <c r="U327" s="172"/>
    </row>
    <row r="328" spans="1:21" ht="18">
      <c r="A328" s="21"/>
      <c r="B328" s="21"/>
      <c r="C328" s="21"/>
      <c r="D328" s="22"/>
      <c r="E328" s="23"/>
      <c r="F328" s="24"/>
      <c r="G328" s="25"/>
      <c r="H328" s="25"/>
      <c r="I328" s="25"/>
      <c r="J328" s="25"/>
      <c r="K328" s="25"/>
      <c r="L328" s="25"/>
      <c r="M328" s="25"/>
      <c r="N328" s="25"/>
      <c r="O328" s="25"/>
      <c r="P328" s="25"/>
      <c r="Q328" s="25"/>
      <c r="R328" s="169"/>
      <c r="T328" s="25"/>
      <c r="U328" s="172"/>
    </row>
    <row r="329" spans="1:21" ht="18">
      <c r="A329" s="21"/>
      <c r="B329" s="21"/>
      <c r="C329" s="21"/>
      <c r="D329" s="22"/>
      <c r="E329" s="23"/>
      <c r="F329" s="24"/>
      <c r="G329" s="25"/>
      <c r="H329" s="25"/>
      <c r="I329" s="25"/>
      <c r="J329" s="25"/>
      <c r="K329" s="25"/>
      <c r="L329" s="25"/>
      <c r="M329" s="25"/>
      <c r="N329" s="25"/>
      <c r="O329" s="25"/>
      <c r="P329" s="25"/>
      <c r="Q329" s="25"/>
      <c r="R329" s="169"/>
      <c r="T329" s="25"/>
      <c r="U329" s="172"/>
    </row>
    <row r="330" spans="1:21" ht="18">
      <c r="A330" s="21"/>
      <c r="B330" s="21"/>
      <c r="C330" s="21"/>
      <c r="D330" s="22"/>
      <c r="E330" s="23"/>
      <c r="F330" s="24"/>
      <c r="G330" s="25"/>
      <c r="H330" s="25"/>
      <c r="I330" s="25"/>
      <c r="J330" s="25"/>
      <c r="K330" s="25"/>
      <c r="L330" s="25"/>
      <c r="M330" s="25"/>
      <c r="N330" s="25"/>
      <c r="O330" s="25"/>
      <c r="P330" s="25"/>
      <c r="Q330" s="25"/>
      <c r="R330" s="169"/>
      <c r="T330" s="25"/>
      <c r="U330" s="172"/>
    </row>
    <row r="331" spans="1:21" ht="18">
      <c r="A331" s="21"/>
      <c r="B331" s="21"/>
      <c r="C331" s="21"/>
      <c r="D331" s="22"/>
      <c r="E331" s="23"/>
      <c r="F331" s="24"/>
      <c r="G331" s="25"/>
      <c r="H331" s="25"/>
      <c r="I331" s="25"/>
      <c r="J331" s="25"/>
      <c r="K331" s="25"/>
      <c r="L331" s="25"/>
      <c r="M331" s="25"/>
      <c r="N331" s="25"/>
      <c r="O331" s="25"/>
      <c r="P331" s="25"/>
      <c r="Q331" s="25"/>
      <c r="R331" s="169"/>
      <c r="T331" s="25"/>
      <c r="U331" s="172"/>
    </row>
    <row r="332" spans="1:21" ht="18">
      <c r="A332" s="21"/>
      <c r="B332" s="21"/>
      <c r="C332" s="21"/>
      <c r="D332" s="22"/>
      <c r="E332" s="23"/>
      <c r="F332" s="24"/>
      <c r="G332" s="25"/>
      <c r="H332" s="25"/>
      <c r="I332" s="25"/>
      <c r="J332" s="25"/>
      <c r="K332" s="25"/>
      <c r="L332" s="25"/>
      <c r="M332" s="25"/>
      <c r="N332" s="25"/>
      <c r="O332" s="25"/>
      <c r="P332" s="25"/>
      <c r="Q332" s="25"/>
      <c r="R332" s="169"/>
      <c r="T332" s="25"/>
      <c r="U332" s="172"/>
    </row>
    <row r="333" spans="1:21" ht="18">
      <c r="A333" s="21"/>
      <c r="B333" s="21"/>
      <c r="C333" s="21"/>
      <c r="D333" s="22"/>
      <c r="E333" s="23"/>
      <c r="F333" s="24"/>
      <c r="G333" s="25"/>
      <c r="H333" s="25"/>
      <c r="I333" s="25"/>
      <c r="J333" s="25"/>
      <c r="K333" s="25"/>
      <c r="L333" s="25"/>
      <c r="M333" s="25"/>
      <c r="N333" s="25"/>
      <c r="O333" s="25"/>
      <c r="P333" s="25"/>
      <c r="Q333" s="25"/>
      <c r="R333" s="169"/>
      <c r="T333" s="25"/>
      <c r="U333" s="172"/>
    </row>
    <row r="334" spans="1:21" ht="18">
      <c r="A334" s="21"/>
      <c r="B334" s="21"/>
      <c r="C334" s="21"/>
      <c r="D334" s="22"/>
      <c r="E334" s="23"/>
      <c r="F334" s="24"/>
      <c r="G334" s="25"/>
      <c r="H334" s="25"/>
      <c r="I334" s="25"/>
      <c r="J334" s="25"/>
      <c r="K334" s="25"/>
      <c r="L334" s="25"/>
      <c r="M334" s="25"/>
      <c r="N334" s="25"/>
      <c r="O334" s="25"/>
      <c r="P334" s="25"/>
      <c r="Q334" s="25"/>
      <c r="R334" s="169"/>
      <c r="T334" s="25"/>
      <c r="U334" s="172"/>
    </row>
    <row r="335" spans="1:21" ht="18">
      <c r="A335" s="21"/>
      <c r="B335" s="21"/>
      <c r="C335" s="21"/>
      <c r="D335" s="22"/>
      <c r="E335" s="23"/>
      <c r="F335" s="24"/>
      <c r="G335" s="25"/>
      <c r="H335" s="25"/>
      <c r="I335" s="25"/>
      <c r="J335" s="25"/>
      <c r="K335" s="25"/>
      <c r="L335" s="25"/>
      <c r="M335" s="25"/>
      <c r="N335" s="25"/>
      <c r="O335" s="25"/>
      <c r="P335" s="25"/>
      <c r="Q335" s="25"/>
      <c r="R335" s="169"/>
      <c r="T335" s="25"/>
      <c r="U335" s="172"/>
    </row>
    <row r="336" spans="1:21" ht="18">
      <c r="A336" s="21"/>
      <c r="B336" s="21"/>
      <c r="C336" s="21"/>
      <c r="D336" s="22"/>
      <c r="E336" s="23"/>
      <c r="F336" s="24"/>
      <c r="G336" s="25"/>
      <c r="H336" s="25"/>
      <c r="I336" s="25"/>
      <c r="J336" s="25"/>
      <c r="K336" s="25"/>
      <c r="L336" s="25"/>
      <c r="M336" s="25"/>
      <c r="N336" s="25"/>
      <c r="O336" s="25"/>
      <c r="P336" s="25"/>
      <c r="Q336" s="25"/>
      <c r="R336" s="169"/>
      <c r="T336" s="25"/>
      <c r="U336" s="172"/>
    </row>
    <row r="337" spans="1:21" ht="18">
      <c r="A337" s="21"/>
      <c r="B337" s="21"/>
      <c r="C337" s="21"/>
      <c r="D337" s="22"/>
      <c r="E337" s="23"/>
      <c r="F337" s="24"/>
      <c r="G337" s="25"/>
      <c r="H337" s="25"/>
      <c r="I337" s="25"/>
      <c r="J337" s="25"/>
      <c r="K337" s="25"/>
      <c r="L337" s="25"/>
      <c r="M337" s="25"/>
      <c r="N337" s="25"/>
      <c r="O337" s="25"/>
      <c r="P337" s="25"/>
      <c r="Q337" s="25"/>
      <c r="R337" s="169"/>
      <c r="T337" s="25"/>
      <c r="U337" s="172"/>
    </row>
    <row r="338" spans="1:21" ht="18">
      <c r="A338" s="21"/>
      <c r="B338" s="21"/>
      <c r="C338" s="21"/>
      <c r="D338" s="22"/>
      <c r="E338" s="23"/>
      <c r="F338" s="24"/>
      <c r="G338" s="25"/>
      <c r="H338" s="25"/>
      <c r="I338" s="25"/>
      <c r="J338" s="25"/>
      <c r="K338" s="25"/>
      <c r="L338" s="25"/>
      <c r="M338" s="25"/>
      <c r="N338" s="25"/>
      <c r="O338" s="25"/>
      <c r="P338" s="25"/>
      <c r="Q338" s="25"/>
      <c r="R338" s="169"/>
      <c r="T338" s="25"/>
      <c r="U338" s="172"/>
    </row>
    <row r="339" spans="1:21" ht="18">
      <c r="A339" s="21"/>
      <c r="B339" s="21"/>
      <c r="C339" s="21"/>
      <c r="D339" s="22"/>
      <c r="E339" s="23"/>
      <c r="F339" s="24"/>
      <c r="G339" s="25"/>
      <c r="H339" s="25"/>
      <c r="I339" s="25"/>
      <c r="J339" s="25"/>
      <c r="K339" s="25"/>
      <c r="L339" s="25"/>
      <c r="M339" s="25"/>
      <c r="N339" s="25"/>
      <c r="O339" s="25"/>
      <c r="P339" s="25"/>
      <c r="Q339" s="25"/>
      <c r="R339" s="169"/>
      <c r="T339" s="25"/>
      <c r="U339" s="172"/>
    </row>
    <row r="340" spans="1:21" ht="18">
      <c r="A340" s="21"/>
      <c r="B340" s="21"/>
      <c r="C340" s="21"/>
      <c r="D340" s="22"/>
      <c r="E340" s="23"/>
      <c r="F340" s="24"/>
      <c r="G340" s="25"/>
      <c r="H340" s="25"/>
      <c r="I340" s="25"/>
      <c r="J340" s="25"/>
      <c r="K340" s="25"/>
      <c r="L340" s="25"/>
      <c r="M340" s="25"/>
      <c r="N340" s="25"/>
      <c r="O340" s="25"/>
      <c r="P340" s="25"/>
      <c r="Q340" s="25"/>
      <c r="R340" s="169"/>
      <c r="T340" s="25"/>
      <c r="U340" s="172"/>
    </row>
    <row r="341" spans="1:21" ht="18">
      <c r="A341" s="21"/>
      <c r="B341" s="21"/>
      <c r="C341" s="21"/>
      <c r="D341" s="22"/>
      <c r="E341" s="23"/>
      <c r="F341" s="24"/>
      <c r="G341" s="25"/>
      <c r="H341" s="25"/>
      <c r="I341" s="25"/>
      <c r="J341" s="25"/>
      <c r="K341" s="25"/>
      <c r="L341" s="25"/>
      <c r="M341" s="25"/>
      <c r="N341" s="25"/>
      <c r="O341" s="25"/>
      <c r="P341" s="25"/>
      <c r="Q341" s="25"/>
      <c r="R341" s="169"/>
      <c r="T341" s="25"/>
      <c r="U341" s="172"/>
    </row>
    <row r="342" spans="1:21" ht="18">
      <c r="A342" s="21"/>
      <c r="B342" s="21"/>
      <c r="C342" s="21"/>
      <c r="D342" s="22"/>
      <c r="E342" s="23"/>
      <c r="F342" s="24"/>
      <c r="G342" s="25"/>
      <c r="H342" s="25"/>
      <c r="I342" s="25"/>
      <c r="J342" s="25"/>
      <c r="K342" s="25"/>
      <c r="L342" s="25"/>
      <c r="M342" s="25"/>
      <c r="N342" s="25"/>
      <c r="O342" s="25"/>
      <c r="P342" s="25"/>
      <c r="Q342" s="25"/>
      <c r="R342" s="169"/>
      <c r="T342" s="25"/>
      <c r="U342" s="172"/>
    </row>
    <row r="343" spans="1:21" ht="18">
      <c r="A343" s="21"/>
      <c r="B343" s="21"/>
      <c r="C343" s="21"/>
      <c r="D343" s="22"/>
      <c r="E343" s="23"/>
      <c r="F343" s="24"/>
      <c r="G343" s="25"/>
      <c r="H343" s="25"/>
      <c r="I343" s="25"/>
      <c r="J343" s="25"/>
      <c r="K343" s="25"/>
      <c r="L343" s="25"/>
      <c r="M343" s="25"/>
      <c r="N343" s="25"/>
      <c r="O343" s="25"/>
      <c r="P343" s="25"/>
      <c r="Q343" s="25"/>
      <c r="R343" s="169"/>
      <c r="T343" s="25"/>
      <c r="U343" s="172"/>
    </row>
    <row r="344" spans="1:21" ht="18">
      <c r="A344" s="21"/>
      <c r="B344" s="21"/>
      <c r="C344" s="21"/>
      <c r="D344" s="22"/>
      <c r="E344" s="23"/>
      <c r="F344" s="24"/>
      <c r="G344" s="25"/>
      <c r="H344" s="25"/>
      <c r="I344" s="25"/>
      <c r="J344" s="25"/>
      <c r="K344" s="25"/>
      <c r="L344" s="25"/>
      <c r="M344" s="25"/>
      <c r="N344" s="25"/>
      <c r="O344" s="25"/>
      <c r="P344" s="25"/>
      <c r="Q344" s="25"/>
      <c r="R344" s="169"/>
      <c r="T344" s="25"/>
      <c r="U344" s="172"/>
    </row>
    <row r="345" spans="1:21" ht="18">
      <c r="A345" s="21"/>
      <c r="B345" s="21"/>
      <c r="C345" s="21"/>
      <c r="D345" s="22"/>
      <c r="E345" s="23"/>
      <c r="F345" s="24"/>
      <c r="G345" s="25"/>
      <c r="H345" s="25"/>
      <c r="I345" s="25"/>
      <c r="J345" s="25"/>
      <c r="K345" s="25"/>
      <c r="L345" s="25"/>
      <c r="M345" s="25"/>
      <c r="N345" s="25"/>
      <c r="O345" s="25"/>
      <c r="P345" s="25"/>
      <c r="Q345" s="25"/>
      <c r="R345" s="169"/>
      <c r="T345" s="25"/>
      <c r="U345" s="172"/>
    </row>
    <row r="346" spans="1:21" ht="18">
      <c r="A346" s="21"/>
      <c r="B346" s="21"/>
      <c r="C346" s="21"/>
      <c r="D346" s="22"/>
      <c r="E346" s="23"/>
      <c r="F346" s="24"/>
      <c r="G346" s="25"/>
      <c r="H346" s="25"/>
      <c r="I346" s="25"/>
      <c r="J346" s="25"/>
      <c r="K346" s="25"/>
      <c r="L346" s="25"/>
      <c r="M346" s="25"/>
      <c r="N346" s="25"/>
      <c r="O346" s="25"/>
      <c r="P346" s="25"/>
      <c r="Q346" s="25"/>
      <c r="R346" s="169"/>
      <c r="T346" s="25"/>
      <c r="U346" s="172"/>
    </row>
    <row r="347" spans="1:21" ht="18">
      <c r="A347" s="21"/>
      <c r="B347" s="21"/>
      <c r="C347" s="21"/>
      <c r="D347" s="22"/>
      <c r="E347" s="23"/>
      <c r="F347" s="24"/>
      <c r="G347" s="25"/>
      <c r="H347" s="25"/>
      <c r="I347" s="25"/>
      <c r="J347" s="25"/>
      <c r="K347" s="25"/>
      <c r="L347" s="25"/>
      <c r="M347" s="25"/>
      <c r="N347" s="25"/>
      <c r="O347" s="25"/>
      <c r="P347" s="25"/>
      <c r="Q347" s="25"/>
      <c r="R347" s="169"/>
      <c r="T347" s="25"/>
      <c r="U347" s="172"/>
    </row>
    <row r="348" spans="1:21" ht="18">
      <c r="A348" s="21"/>
      <c r="B348" s="21"/>
      <c r="C348" s="21"/>
      <c r="D348" s="22"/>
      <c r="E348" s="23"/>
      <c r="F348" s="24"/>
      <c r="G348" s="25"/>
      <c r="H348" s="25"/>
      <c r="I348" s="25"/>
      <c r="J348" s="25"/>
      <c r="K348" s="25"/>
      <c r="L348" s="25"/>
      <c r="M348" s="25"/>
      <c r="N348" s="25"/>
      <c r="O348" s="25"/>
      <c r="P348" s="25"/>
      <c r="Q348" s="25"/>
      <c r="R348" s="169"/>
      <c r="T348" s="25"/>
      <c r="U348" s="172"/>
    </row>
    <row r="349" spans="1:21" ht="18">
      <c r="A349" s="21"/>
      <c r="B349" s="21"/>
      <c r="C349" s="21"/>
      <c r="D349" s="22"/>
      <c r="E349" s="23"/>
      <c r="F349" s="24"/>
      <c r="G349" s="25"/>
      <c r="H349" s="25"/>
      <c r="I349" s="25"/>
      <c r="J349" s="25"/>
      <c r="K349" s="25"/>
      <c r="L349" s="25"/>
      <c r="M349" s="25"/>
      <c r="N349" s="25"/>
      <c r="O349" s="25"/>
      <c r="P349" s="25"/>
      <c r="Q349" s="25"/>
      <c r="R349" s="169"/>
      <c r="T349" s="25"/>
      <c r="U349" s="172"/>
    </row>
    <row r="350" spans="1:21" ht="18">
      <c r="A350" s="21"/>
      <c r="B350" s="21"/>
      <c r="C350" s="21"/>
      <c r="D350" s="22"/>
      <c r="E350" s="23"/>
      <c r="F350" s="24"/>
      <c r="G350" s="25"/>
      <c r="H350" s="25"/>
      <c r="I350" s="25"/>
      <c r="J350" s="25"/>
      <c r="K350" s="25"/>
      <c r="L350" s="25"/>
      <c r="M350" s="25"/>
      <c r="N350" s="25"/>
      <c r="O350" s="25"/>
      <c r="P350" s="25"/>
      <c r="Q350" s="25"/>
      <c r="R350" s="169"/>
      <c r="T350" s="25"/>
      <c r="U350" s="172"/>
    </row>
    <row r="351" spans="1:21" ht="18">
      <c r="A351" s="21"/>
      <c r="B351" s="21"/>
      <c r="C351" s="21"/>
      <c r="D351" s="22"/>
      <c r="E351" s="23"/>
      <c r="F351" s="24"/>
      <c r="G351" s="25"/>
      <c r="H351" s="25"/>
      <c r="I351" s="25"/>
      <c r="J351" s="25"/>
      <c r="K351" s="25"/>
      <c r="L351" s="25"/>
      <c r="M351" s="25"/>
      <c r="N351" s="25"/>
      <c r="O351" s="25"/>
      <c r="P351" s="25"/>
      <c r="Q351" s="25"/>
      <c r="R351" s="169"/>
      <c r="T351" s="25"/>
      <c r="U351" s="172"/>
    </row>
    <row r="352" spans="1:21" ht="18">
      <c r="A352" s="21"/>
      <c r="B352" s="21"/>
      <c r="C352" s="21"/>
      <c r="D352" s="22"/>
      <c r="E352" s="23"/>
      <c r="F352" s="24"/>
      <c r="G352" s="25"/>
      <c r="H352" s="25"/>
      <c r="I352" s="25"/>
      <c r="J352" s="25"/>
      <c r="K352" s="25"/>
      <c r="L352" s="25"/>
      <c r="M352" s="25"/>
      <c r="N352" s="25"/>
      <c r="O352" s="25"/>
      <c r="P352" s="25"/>
      <c r="Q352" s="25"/>
      <c r="R352" s="169"/>
      <c r="T352" s="25"/>
      <c r="U352" s="172"/>
    </row>
    <row r="353" spans="1:21" ht="18">
      <c r="A353" s="21"/>
      <c r="B353" s="21"/>
      <c r="C353" s="21"/>
      <c r="D353" s="22"/>
      <c r="E353" s="23"/>
      <c r="F353" s="24"/>
      <c r="G353" s="25"/>
      <c r="H353" s="25"/>
      <c r="I353" s="25"/>
      <c r="J353" s="25"/>
      <c r="K353" s="25"/>
      <c r="L353" s="25"/>
      <c r="M353" s="25"/>
      <c r="N353" s="25"/>
      <c r="O353" s="25"/>
      <c r="P353" s="25"/>
      <c r="Q353" s="25"/>
      <c r="R353" s="169"/>
      <c r="T353" s="25"/>
      <c r="U353" s="172"/>
    </row>
    <row r="354" spans="1:21" ht="18">
      <c r="A354" s="21"/>
      <c r="B354" s="21"/>
      <c r="C354" s="21"/>
      <c r="D354" s="22"/>
      <c r="E354" s="23"/>
      <c r="F354" s="24"/>
      <c r="G354" s="25"/>
      <c r="H354" s="25"/>
      <c r="I354" s="25"/>
      <c r="J354" s="25"/>
      <c r="K354" s="25"/>
      <c r="L354" s="25"/>
      <c r="M354" s="25"/>
      <c r="N354" s="25"/>
      <c r="O354" s="25"/>
      <c r="P354" s="25"/>
      <c r="Q354" s="25"/>
      <c r="R354" s="169"/>
      <c r="T354" s="25"/>
      <c r="U354" s="172"/>
    </row>
    <row r="355" spans="1:21" ht="18">
      <c r="A355" s="21"/>
      <c r="B355" s="21"/>
      <c r="C355" s="21"/>
      <c r="D355" s="22"/>
      <c r="E355" s="23"/>
      <c r="F355" s="24"/>
      <c r="G355" s="25"/>
      <c r="H355" s="25"/>
      <c r="I355" s="25"/>
      <c r="J355" s="25"/>
      <c r="K355" s="25"/>
      <c r="L355" s="25"/>
      <c r="M355" s="25"/>
      <c r="N355" s="25"/>
      <c r="O355" s="25"/>
      <c r="P355" s="25"/>
      <c r="Q355" s="25"/>
      <c r="R355" s="169"/>
      <c r="T355" s="25"/>
      <c r="U355" s="172"/>
    </row>
    <row r="356" spans="1:21" ht="18">
      <c r="A356" s="21"/>
      <c r="B356" s="21"/>
      <c r="C356" s="21"/>
      <c r="D356" s="22"/>
      <c r="E356" s="23"/>
      <c r="F356" s="24"/>
      <c r="G356" s="25"/>
      <c r="H356" s="25"/>
      <c r="I356" s="25"/>
      <c r="J356" s="25"/>
      <c r="K356" s="25"/>
      <c r="L356" s="25"/>
      <c r="M356" s="25"/>
      <c r="N356" s="25"/>
      <c r="O356" s="25"/>
      <c r="P356" s="25"/>
      <c r="Q356" s="25"/>
      <c r="R356" s="169"/>
      <c r="T356" s="25"/>
      <c r="U356" s="172"/>
    </row>
    <row r="357" spans="1:21" ht="18">
      <c r="A357" s="21"/>
      <c r="B357" s="21"/>
      <c r="C357" s="21"/>
      <c r="D357" s="22"/>
      <c r="E357" s="23"/>
      <c r="F357" s="24"/>
      <c r="G357" s="25"/>
      <c r="H357" s="25"/>
      <c r="I357" s="25"/>
      <c r="J357" s="25"/>
      <c r="K357" s="25"/>
      <c r="L357" s="25"/>
      <c r="M357" s="25"/>
      <c r="N357" s="25"/>
      <c r="O357" s="25"/>
      <c r="P357" s="25"/>
      <c r="Q357" s="25"/>
      <c r="R357" s="169"/>
      <c r="T357" s="25"/>
      <c r="U357" s="172"/>
    </row>
    <row r="358" spans="1:21" ht="18">
      <c r="A358" s="21"/>
      <c r="B358" s="21"/>
      <c r="C358" s="21"/>
      <c r="D358" s="22"/>
      <c r="E358" s="23"/>
      <c r="F358" s="24"/>
      <c r="G358" s="25"/>
      <c r="H358" s="25"/>
      <c r="I358" s="25"/>
      <c r="J358" s="25"/>
      <c r="K358" s="25"/>
      <c r="L358" s="25"/>
      <c r="M358" s="25"/>
      <c r="N358" s="25"/>
      <c r="O358" s="25"/>
      <c r="P358" s="25"/>
      <c r="Q358" s="25"/>
      <c r="R358" s="169"/>
      <c r="T358" s="25"/>
      <c r="U358" s="172"/>
    </row>
    <row r="359" spans="1:21" ht="18">
      <c r="A359" s="21"/>
      <c r="B359" s="21"/>
      <c r="C359" s="21"/>
      <c r="D359" s="22"/>
      <c r="E359" s="23"/>
      <c r="F359" s="24"/>
      <c r="G359" s="25"/>
      <c r="H359" s="25"/>
      <c r="I359" s="25"/>
      <c r="J359" s="25"/>
      <c r="K359" s="25"/>
      <c r="L359" s="25"/>
      <c r="M359" s="25"/>
      <c r="N359" s="25"/>
      <c r="O359" s="25"/>
      <c r="P359" s="25"/>
      <c r="Q359" s="25"/>
      <c r="R359" s="169"/>
      <c r="T359" s="25"/>
      <c r="U359" s="172"/>
    </row>
    <row r="360" spans="1:21" ht="18">
      <c r="A360" s="21"/>
      <c r="B360" s="21"/>
      <c r="C360" s="21"/>
      <c r="D360" s="22"/>
      <c r="E360" s="23"/>
      <c r="F360" s="24"/>
      <c r="G360" s="25"/>
      <c r="H360" s="25"/>
      <c r="I360" s="25"/>
      <c r="J360" s="25"/>
      <c r="K360" s="25"/>
      <c r="L360" s="25"/>
      <c r="M360" s="25"/>
      <c r="N360" s="25"/>
      <c r="O360" s="25"/>
      <c r="P360" s="25"/>
      <c r="Q360" s="25"/>
      <c r="R360" s="169"/>
      <c r="T360" s="25"/>
      <c r="U360" s="172"/>
    </row>
    <row r="361" spans="1:21" ht="18">
      <c r="A361" s="21"/>
      <c r="B361" s="21"/>
      <c r="C361" s="21"/>
      <c r="D361" s="22"/>
      <c r="E361" s="23"/>
      <c r="F361" s="24"/>
      <c r="G361" s="25"/>
      <c r="H361" s="25"/>
      <c r="I361" s="25"/>
      <c r="J361" s="25"/>
      <c r="K361" s="25"/>
      <c r="L361" s="25"/>
      <c r="M361" s="25"/>
      <c r="N361" s="25"/>
      <c r="O361" s="25"/>
      <c r="P361" s="25"/>
      <c r="Q361" s="25"/>
      <c r="R361" s="169"/>
      <c r="T361" s="25"/>
      <c r="U361" s="172"/>
    </row>
    <row r="362" spans="1:21" ht="18">
      <c r="A362" s="21"/>
      <c r="B362" s="21"/>
      <c r="C362" s="21"/>
      <c r="D362" s="22"/>
      <c r="E362" s="23"/>
      <c r="F362" s="24"/>
      <c r="G362" s="25"/>
      <c r="H362" s="25"/>
      <c r="I362" s="25"/>
      <c r="J362" s="25"/>
      <c r="K362" s="25"/>
      <c r="L362" s="25"/>
      <c r="M362" s="25"/>
      <c r="N362" s="25"/>
      <c r="O362" s="25"/>
      <c r="P362" s="25"/>
      <c r="Q362" s="25"/>
      <c r="R362" s="169"/>
      <c r="T362" s="25"/>
      <c r="U362" s="172"/>
    </row>
    <row r="363" spans="1:21" ht="18">
      <c r="A363" s="21"/>
      <c r="B363" s="21"/>
      <c r="C363" s="21"/>
      <c r="D363" s="22"/>
      <c r="E363" s="23"/>
      <c r="F363" s="24"/>
      <c r="G363" s="25"/>
      <c r="H363" s="25"/>
      <c r="I363" s="25"/>
      <c r="J363" s="25"/>
      <c r="K363" s="25"/>
      <c r="L363" s="25"/>
      <c r="M363" s="25"/>
      <c r="N363" s="25"/>
      <c r="O363" s="25"/>
      <c r="P363" s="25"/>
      <c r="Q363" s="25"/>
      <c r="R363" s="169"/>
      <c r="T363" s="25"/>
      <c r="U363" s="172"/>
    </row>
    <row r="364" spans="1:21" ht="18">
      <c r="A364" s="21"/>
      <c r="B364" s="21"/>
      <c r="C364" s="21"/>
      <c r="D364" s="22"/>
      <c r="E364" s="23"/>
      <c r="F364" s="24"/>
      <c r="G364" s="25"/>
      <c r="H364" s="25"/>
      <c r="I364" s="25"/>
      <c r="J364" s="25"/>
      <c r="K364" s="25"/>
      <c r="L364" s="25"/>
      <c r="M364" s="25"/>
      <c r="N364" s="25"/>
      <c r="O364" s="25"/>
      <c r="P364" s="25"/>
      <c r="Q364" s="25"/>
      <c r="R364" s="169"/>
      <c r="T364" s="25"/>
      <c r="U364" s="172"/>
    </row>
    <row r="365" spans="1:21" ht="18">
      <c r="A365" s="21"/>
      <c r="B365" s="21"/>
      <c r="C365" s="21"/>
      <c r="D365" s="22"/>
      <c r="E365" s="23"/>
      <c r="F365" s="24"/>
      <c r="G365" s="25"/>
      <c r="H365" s="25"/>
      <c r="I365" s="25"/>
      <c r="J365" s="25"/>
      <c r="K365" s="25"/>
      <c r="L365" s="25"/>
      <c r="M365" s="25"/>
      <c r="N365" s="25"/>
      <c r="O365" s="25"/>
      <c r="P365" s="25"/>
      <c r="Q365" s="25"/>
      <c r="R365" s="169"/>
      <c r="T365" s="25"/>
      <c r="U365" s="172"/>
    </row>
    <row r="366" spans="1:21" ht="18">
      <c r="A366" s="21"/>
      <c r="B366" s="21"/>
      <c r="C366" s="21"/>
      <c r="D366" s="22"/>
      <c r="E366" s="23"/>
      <c r="F366" s="24"/>
      <c r="G366" s="25"/>
      <c r="H366" s="25"/>
      <c r="I366" s="25"/>
      <c r="J366" s="25"/>
      <c r="K366" s="25"/>
      <c r="L366" s="25"/>
      <c r="M366" s="25"/>
      <c r="N366" s="25"/>
      <c r="O366" s="25"/>
      <c r="P366" s="25"/>
      <c r="Q366" s="25"/>
      <c r="R366" s="169"/>
      <c r="T366" s="25"/>
      <c r="U366" s="172"/>
    </row>
    <row r="367" spans="1:21" ht="18">
      <c r="A367" s="21"/>
      <c r="B367" s="21"/>
      <c r="C367" s="21"/>
      <c r="D367" s="22"/>
      <c r="E367" s="23"/>
      <c r="F367" s="24"/>
      <c r="G367" s="25"/>
      <c r="H367" s="25"/>
      <c r="I367" s="25"/>
      <c r="J367" s="25"/>
      <c r="K367" s="25"/>
      <c r="L367" s="25"/>
      <c r="M367" s="25"/>
      <c r="N367" s="25"/>
      <c r="O367" s="25"/>
      <c r="P367" s="25"/>
      <c r="Q367" s="25"/>
      <c r="R367" s="169"/>
      <c r="T367" s="25"/>
      <c r="U367" s="172"/>
    </row>
    <row r="368" spans="1:21" ht="18">
      <c r="A368" s="21"/>
      <c r="B368" s="21"/>
      <c r="C368" s="21"/>
      <c r="D368" s="22"/>
      <c r="E368" s="23"/>
      <c r="F368" s="24"/>
      <c r="G368" s="25"/>
      <c r="H368" s="25"/>
      <c r="I368" s="25"/>
      <c r="J368" s="25"/>
      <c r="K368" s="25"/>
      <c r="L368" s="25"/>
      <c r="M368" s="25"/>
      <c r="N368" s="25"/>
      <c r="O368" s="25"/>
      <c r="P368" s="25"/>
      <c r="Q368" s="25"/>
      <c r="R368" s="169"/>
      <c r="T368" s="25"/>
      <c r="U368" s="172"/>
    </row>
    <row r="369" spans="1:21" ht="18">
      <c r="A369" s="21"/>
      <c r="B369" s="21"/>
      <c r="C369" s="21"/>
      <c r="D369" s="22"/>
      <c r="E369" s="23"/>
      <c r="F369" s="24"/>
      <c r="G369" s="25"/>
      <c r="H369" s="25"/>
      <c r="I369" s="25"/>
      <c r="J369" s="25"/>
      <c r="K369" s="25"/>
      <c r="L369" s="25"/>
      <c r="M369" s="25"/>
      <c r="N369" s="25"/>
      <c r="O369" s="25"/>
      <c r="P369" s="25"/>
      <c r="Q369" s="25"/>
      <c r="R369" s="169"/>
      <c r="T369" s="25"/>
      <c r="U369" s="172"/>
    </row>
    <row r="370" spans="1:21" ht="18">
      <c r="A370" s="21"/>
      <c r="B370" s="21"/>
      <c r="C370" s="21"/>
      <c r="D370" s="22"/>
      <c r="E370" s="23"/>
      <c r="F370" s="24"/>
      <c r="G370" s="25"/>
      <c r="H370" s="25"/>
      <c r="I370" s="25"/>
      <c r="J370" s="25"/>
      <c r="K370" s="25"/>
      <c r="L370" s="25"/>
      <c r="M370" s="25"/>
      <c r="N370" s="25"/>
      <c r="O370" s="25"/>
      <c r="P370" s="25"/>
      <c r="Q370" s="25"/>
      <c r="R370" s="169"/>
      <c r="T370" s="25"/>
      <c r="U370" s="172"/>
    </row>
    <row r="371" spans="1:21" ht="18">
      <c r="A371" s="21"/>
      <c r="B371" s="21"/>
      <c r="C371" s="21"/>
      <c r="D371" s="22"/>
      <c r="E371" s="23"/>
      <c r="F371" s="24"/>
      <c r="G371" s="25"/>
      <c r="H371" s="25"/>
      <c r="I371" s="25"/>
      <c r="J371" s="25"/>
      <c r="K371" s="25"/>
      <c r="L371" s="25"/>
      <c r="M371" s="25"/>
      <c r="N371" s="25"/>
      <c r="O371" s="25"/>
      <c r="P371" s="25"/>
      <c r="Q371" s="25"/>
      <c r="R371" s="169"/>
      <c r="T371" s="25"/>
      <c r="U371" s="172"/>
    </row>
    <row r="372" spans="1:21" ht="18">
      <c r="A372" s="21"/>
      <c r="B372" s="21"/>
      <c r="C372" s="21"/>
      <c r="D372" s="22"/>
      <c r="E372" s="23"/>
      <c r="F372" s="24"/>
      <c r="G372" s="25"/>
      <c r="H372" s="25"/>
      <c r="I372" s="25"/>
      <c r="J372" s="25"/>
      <c r="K372" s="25"/>
      <c r="L372" s="25"/>
      <c r="M372" s="25"/>
      <c r="N372" s="25"/>
      <c r="O372" s="25"/>
      <c r="P372" s="25"/>
      <c r="Q372" s="25"/>
      <c r="R372" s="169"/>
      <c r="T372" s="25"/>
      <c r="U372" s="172"/>
    </row>
    <row r="373" spans="1:21" ht="18">
      <c r="A373" s="21"/>
      <c r="B373" s="21"/>
      <c r="C373" s="21"/>
      <c r="D373" s="22"/>
      <c r="E373" s="23"/>
      <c r="F373" s="24"/>
      <c r="G373" s="25"/>
      <c r="H373" s="25"/>
      <c r="I373" s="25"/>
      <c r="J373" s="25"/>
      <c r="K373" s="25"/>
      <c r="L373" s="25"/>
      <c r="M373" s="25"/>
      <c r="N373" s="25"/>
      <c r="O373" s="25"/>
      <c r="P373" s="25"/>
      <c r="Q373" s="25"/>
      <c r="R373" s="169"/>
      <c r="T373" s="25"/>
      <c r="U373" s="172"/>
    </row>
    <row r="374" spans="1:21" ht="18">
      <c r="A374" s="21"/>
      <c r="B374" s="21"/>
      <c r="C374" s="21"/>
      <c r="D374" s="22"/>
      <c r="E374" s="23"/>
      <c r="F374" s="24"/>
      <c r="G374" s="25"/>
      <c r="H374" s="25"/>
      <c r="I374" s="25"/>
      <c r="J374" s="25"/>
      <c r="K374" s="25"/>
      <c r="L374" s="25"/>
      <c r="M374" s="25"/>
      <c r="N374" s="25"/>
      <c r="O374" s="25"/>
      <c r="P374" s="25"/>
      <c r="Q374" s="25"/>
      <c r="R374" s="169"/>
      <c r="T374" s="25"/>
      <c r="U374" s="172"/>
    </row>
    <row r="375" spans="1:21" ht="18">
      <c r="A375" s="21"/>
      <c r="B375" s="21"/>
      <c r="C375" s="21"/>
      <c r="D375" s="22"/>
      <c r="E375" s="23"/>
      <c r="F375" s="24"/>
      <c r="G375" s="25"/>
      <c r="H375" s="25"/>
      <c r="I375" s="25"/>
      <c r="J375" s="25"/>
      <c r="K375" s="25"/>
      <c r="L375" s="25"/>
      <c r="M375" s="25"/>
      <c r="N375" s="25"/>
      <c r="O375" s="25"/>
      <c r="P375" s="25"/>
      <c r="Q375" s="25"/>
      <c r="R375" s="169"/>
      <c r="T375" s="25"/>
      <c r="U375" s="172"/>
    </row>
    <row r="376" spans="1:21" ht="18">
      <c r="A376" s="21"/>
      <c r="B376" s="21"/>
      <c r="C376" s="21"/>
      <c r="D376" s="22"/>
      <c r="E376" s="23"/>
      <c r="F376" s="24"/>
      <c r="G376" s="25"/>
      <c r="H376" s="25"/>
      <c r="I376" s="25"/>
      <c r="J376" s="25"/>
      <c r="K376" s="25"/>
      <c r="L376" s="25"/>
      <c r="M376" s="25"/>
      <c r="N376" s="25"/>
      <c r="O376" s="25"/>
      <c r="P376" s="25"/>
      <c r="Q376" s="25"/>
      <c r="R376" s="169"/>
      <c r="T376" s="25"/>
      <c r="U376" s="172"/>
    </row>
    <row r="377" spans="1:21" ht="18">
      <c r="A377" s="21"/>
      <c r="B377" s="21"/>
      <c r="C377" s="21"/>
      <c r="D377" s="22"/>
      <c r="E377" s="23"/>
      <c r="F377" s="24"/>
      <c r="G377" s="25"/>
      <c r="H377" s="25"/>
      <c r="I377" s="25"/>
      <c r="J377" s="25"/>
      <c r="K377" s="25"/>
      <c r="L377" s="25"/>
      <c r="M377" s="25"/>
      <c r="N377" s="25"/>
      <c r="O377" s="25"/>
      <c r="P377" s="25"/>
      <c r="Q377" s="25"/>
      <c r="R377" s="169"/>
      <c r="T377" s="25"/>
      <c r="U377" s="172"/>
    </row>
    <row r="378" spans="1:21" ht="18">
      <c r="A378" s="21"/>
      <c r="B378" s="21"/>
      <c r="C378" s="21"/>
      <c r="D378" s="22"/>
      <c r="E378" s="23"/>
      <c r="F378" s="24"/>
      <c r="G378" s="25"/>
      <c r="H378" s="25"/>
      <c r="I378" s="25"/>
      <c r="J378" s="25"/>
      <c r="K378" s="25"/>
      <c r="L378" s="25"/>
      <c r="M378" s="25"/>
      <c r="N378" s="25"/>
      <c r="O378" s="25"/>
      <c r="P378" s="25"/>
      <c r="Q378" s="25"/>
      <c r="R378" s="169"/>
      <c r="T378" s="25"/>
      <c r="U378" s="172"/>
    </row>
    <row r="379" spans="1:21" ht="18">
      <c r="A379" s="21"/>
      <c r="B379" s="21"/>
      <c r="C379" s="21"/>
      <c r="D379" s="22"/>
      <c r="E379" s="23"/>
      <c r="F379" s="24"/>
      <c r="G379" s="25"/>
      <c r="H379" s="25"/>
      <c r="I379" s="25"/>
      <c r="J379" s="25"/>
      <c r="K379" s="25"/>
      <c r="L379" s="25"/>
      <c r="M379" s="25"/>
      <c r="N379" s="25"/>
      <c r="O379" s="25"/>
      <c r="P379" s="25"/>
      <c r="Q379" s="25"/>
      <c r="R379" s="169"/>
      <c r="T379" s="25"/>
      <c r="U379" s="172"/>
    </row>
    <row r="380" spans="1:21" ht="18">
      <c r="A380" s="21"/>
      <c r="B380" s="21"/>
      <c r="C380" s="21"/>
      <c r="D380" s="22"/>
      <c r="E380" s="23"/>
      <c r="F380" s="24"/>
      <c r="G380" s="25"/>
      <c r="H380" s="25"/>
      <c r="I380" s="25"/>
      <c r="J380" s="25"/>
      <c r="K380" s="25"/>
      <c r="L380" s="25"/>
      <c r="M380" s="25"/>
      <c r="N380" s="25"/>
      <c r="O380" s="25"/>
      <c r="P380" s="25"/>
      <c r="Q380" s="25"/>
      <c r="R380" s="169"/>
      <c r="T380" s="25"/>
      <c r="U380" s="172"/>
    </row>
    <row r="381" spans="1:21" ht="18">
      <c r="A381" s="21"/>
      <c r="B381" s="21"/>
      <c r="C381" s="21"/>
      <c r="D381" s="22"/>
      <c r="E381" s="23"/>
      <c r="F381" s="24"/>
      <c r="G381" s="25"/>
      <c r="H381" s="25"/>
      <c r="I381" s="25"/>
      <c r="J381" s="25"/>
      <c r="K381" s="25"/>
      <c r="L381" s="25"/>
      <c r="M381" s="25"/>
      <c r="N381" s="25"/>
      <c r="O381" s="25"/>
      <c r="P381" s="25"/>
      <c r="Q381" s="25"/>
      <c r="R381" s="169"/>
      <c r="T381" s="25"/>
      <c r="U381" s="172"/>
    </row>
    <row r="382" spans="1:21" ht="18">
      <c r="A382" s="21"/>
      <c r="B382" s="21"/>
      <c r="C382" s="21"/>
      <c r="D382" s="22"/>
      <c r="E382" s="23"/>
      <c r="F382" s="24"/>
      <c r="G382" s="25"/>
      <c r="H382" s="25"/>
      <c r="I382" s="25"/>
      <c r="J382" s="25"/>
      <c r="K382" s="25"/>
      <c r="L382" s="25"/>
      <c r="M382" s="25"/>
      <c r="N382" s="25"/>
      <c r="O382" s="25"/>
      <c r="P382" s="25"/>
      <c r="Q382" s="25"/>
      <c r="R382" s="169"/>
      <c r="T382" s="25"/>
      <c r="U382" s="172"/>
    </row>
    <row r="383" spans="1:21" ht="18">
      <c r="A383" s="21"/>
      <c r="B383" s="21"/>
      <c r="C383" s="21"/>
      <c r="D383" s="22"/>
      <c r="E383" s="23"/>
      <c r="F383" s="24"/>
      <c r="G383" s="25"/>
      <c r="H383" s="25"/>
      <c r="I383" s="25"/>
      <c r="J383" s="25"/>
      <c r="K383" s="25"/>
      <c r="L383" s="25"/>
      <c r="M383" s="25"/>
      <c r="N383" s="25"/>
      <c r="O383" s="25"/>
      <c r="P383" s="25"/>
      <c r="Q383" s="25"/>
      <c r="R383" s="169"/>
      <c r="T383" s="25"/>
      <c r="U383" s="172"/>
    </row>
    <row r="384" spans="1:21" ht="18">
      <c r="A384" s="21"/>
      <c r="B384" s="21"/>
      <c r="C384" s="21"/>
      <c r="D384" s="22"/>
      <c r="E384" s="23"/>
      <c r="F384" s="24"/>
      <c r="G384" s="25"/>
      <c r="H384" s="25"/>
      <c r="I384" s="25"/>
      <c r="J384" s="25"/>
      <c r="K384" s="25"/>
      <c r="L384" s="25"/>
      <c r="M384" s="25"/>
      <c r="N384" s="25"/>
      <c r="O384" s="25"/>
      <c r="P384" s="25"/>
      <c r="Q384" s="25"/>
      <c r="R384" s="169"/>
      <c r="T384" s="25"/>
      <c r="U384" s="172"/>
    </row>
    <row r="385" spans="1:21" ht="18">
      <c r="A385" s="21"/>
      <c r="B385" s="21"/>
      <c r="C385" s="21"/>
      <c r="D385" s="22"/>
      <c r="E385" s="23"/>
      <c r="F385" s="24"/>
      <c r="G385" s="25"/>
      <c r="H385" s="25"/>
      <c r="I385" s="25"/>
      <c r="J385" s="25"/>
      <c r="K385" s="25"/>
      <c r="L385" s="25"/>
      <c r="M385" s="25"/>
      <c r="N385" s="25"/>
      <c r="O385" s="25"/>
      <c r="P385" s="25"/>
      <c r="Q385" s="25"/>
      <c r="R385" s="169"/>
      <c r="T385" s="25"/>
      <c r="U385" s="172"/>
    </row>
    <row r="386" spans="1:21" ht="18">
      <c r="A386" s="21"/>
      <c r="B386" s="21"/>
      <c r="C386" s="21"/>
      <c r="D386" s="22"/>
      <c r="E386" s="23"/>
      <c r="F386" s="24"/>
      <c r="G386" s="25"/>
      <c r="H386" s="25"/>
      <c r="I386" s="25"/>
      <c r="J386" s="25"/>
      <c r="K386" s="25"/>
      <c r="L386" s="25"/>
      <c r="M386" s="25"/>
      <c r="N386" s="25"/>
      <c r="O386" s="25"/>
      <c r="P386" s="25"/>
      <c r="Q386" s="25"/>
      <c r="R386" s="169"/>
      <c r="T386" s="25"/>
      <c r="U386" s="172"/>
    </row>
    <row r="387" spans="1:21" ht="18">
      <c r="A387" s="21"/>
      <c r="B387" s="21"/>
      <c r="C387" s="21"/>
      <c r="D387" s="22"/>
      <c r="E387" s="23"/>
      <c r="F387" s="24"/>
      <c r="G387" s="25"/>
      <c r="H387" s="25"/>
      <c r="I387" s="25"/>
      <c r="J387" s="25"/>
      <c r="K387" s="25"/>
      <c r="L387" s="25"/>
      <c r="M387" s="25"/>
      <c r="N387" s="25"/>
      <c r="O387" s="25"/>
      <c r="P387" s="25"/>
      <c r="Q387" s="25"/>
      <c r="R387" s="169"/>
      <c r="T387" s="25"/>
      <c r="U387" s="172"/>
    </row>
    <row r="388" spans="1:21" ht="18">
      <c r="A388" s="21"/>
      <c r="B388" s="21"/>
      <c r="C388" s="21"/>
      <c r="D388" s="22"/>
      <c r="E388" s="23"/>
      <c r="F388" s="24"/>
      <c r="G388" s="25"/>
      <c r="H388" s="25"/>
      <c r="I388" s="25"/>
      <c r="J388" s="25"/>
      <c r="K388" s="25"/>
      <c r="L388" s="25"/>
      <c r="M388" s="25"/>
      <c r="N388" s="25"/>
      <c r="O388" s="25"/>
      <c r="P388" s="25"/>
      <c r="Q388" s="25"/>
      <c r="R388" s="169"/>
      <c r="T388" s="25"/>
      <c r="U388" s="172"/>
    </row>
    <row r="389" spans="1:21" ht="18">
      <c r="A389" s="21"/>
      <c r="B389" s="21"/>
      <c r="C389" s="21"/>
      <c r="D389" s="22"/>
      <c r="E389" s="23"/>
      <c r="F389" s="24"/>
      <c r="G389" s="25"/>
      <c r="H389" s="25"/>
      <c r="I389" s="25"/>
      <c r="J389" s="25"/>
      <c r="K389" s="25"/>
      <c r="L389" s="25"/>
      <c r="M389" s="25"/>
      <c r="N389" s="25"/>
      <c r="O389" s="25"/>
      <c r="P389" s="25"/>
      <c r="Q389" s="25"/>
      <c r="R389" s="169"/>
      <c r="T389" s="25"/>
      <c r="U389" s="172"/>
    </row>
    <row r="390" spans="1:21" ht="18">
      <c r="A390" s="21"/>
      <c r="B390" s="21"/>
      <c r="C390" s="21"/>
      <c r="D390" s="22"/>
      <c r="E390" s="23"/>
      <c r="F390" s="24"/>
      <c r="G390" s="25"/>
      <c r="H390" s="25"/>
      <c r="I390" s="25"/>
      <c r="J390" s="25"/>
      <c r="K390" s="25"/>
      <c r="L390" s="25"/>
      <c r="M390" s="25"/>
      <c r="N390" s="25"/>
      <c r="O390" s="25"/>
      <c r="P390" s="25"/>
      <c r="Q390" s="25"/>
      <c r="R390" s="169"/>
      <c r="T390" s="25"/>
      <c r="U390" s="172"/>
    </row>
    <row r="391" spans="1:21" ht="18">
      <c r="A391" s="21"/>
      <c r="B391" s="21"/>
      <c r="C391" s="21"/>
      <c r="D391" s="22"/>
      <c r="E391" s="23"/>
      <c r="F391" s="24"/>
      <c r="G391" s="25"/>
      <c r="H391" s="25"/>
      <c r="I391" s="25"/>
      <c r="J391" s="25"/>
      <c r="K391" s="25"/>
      <c r="L391" s="25"/>
      <c r="M391" s="25"/>
      <c r="N391" s="25"/>
      <c r="O391" s="25"/>
      <c r="P391" s="25"/>
      <c r="Q391" s="25"/>
      <c r="R391" s="169"/>
      <c r="T391" s="25"/>
      <c r="U391" s="172"/>
    </row>
    <row r="392" spans="1:21" ht="18">
      <c r="A392" s="21"/>
      <c r="B392" s="21"/>
      <c r="C392" s="21"/>
      <c r="D392" s="22"/>
      <c r="E392" s="23"/>
      <c r="F392" s="24"/>
      <c r="G392" s="25"/>
      <c r="H392" s="25"/>
      <c r="I392" s="25"/>
      <c r="J392" s="25"/>
      <c r="K392" s="25"/>
      <c r="L392" s="25"/>
      <c r="M392" s="25"/>
      <c r="N392" s="25"/>
      <c r="O392" s="25"/>
      <c r="P392" s="25"/>
      <c r="Q392" s="25"/>
      <c r="R392" s="169"/>
      <c r="T392" s="25"/>
      <c r="U392" s="172"/>
    </row>
    <row r="393" spans="1:21" ht="18">
      <c r="A393" s="21"/>
      <c r="B393" s="21"/>
      <c r="C393" s="21"/>
      <c r="D393" s="22"/>
      <c r="E393" s="23"/>
      <c r="F393" s="24"/>
      <c r="G393" s="25"/>
      <c r="H393" s="25"/>
      <c r="I393" s="25"/>
      <c r="J393" s="25"/>
      <c r="K393" s="25"/>
      <c r="L393" s="25"/>
      <c r="M393" s="25"/>
      <c r="N393" s="25"/>
      <c r="O393" s="25"/>
      <c r="P393" s="25"/>
      <c r="Q393" s="25"/>
      <c r="R393" s="169"/>
      <c r="T393" s="25"/>
      <c r="U393" s="172"/>
    </row>
    <row r="394" spans="1:21" ht="18">
      <c r="A394" s="21"/>
      <c r="B394" s="21"/>
      <c r="C394" s="21"/>
      <c r="D394" s="22"/>
      <c r="E394" s="23"/>
      <c r="F394" s="24"/>
      <c r="G394" s="25"/>
      <c r="H394" s="25"/>
      <c r="I394" s="25"/>
      <c r="J394" s="25"/>
      <c r="K394" s="25"/>
      <c r="L394" s="25"/>
      <c r="M394" s="25"/>
      <c r="N394" s="25"/>
      <c r="O394" s="25"/>
      <c r="P394" s="25"/>
      <c r="Q394" s="25"/>
      <c r="R394" s="169"/>
      <c r="T394" s="25"/>
      <c r="U394" s="172"/>
    </row>
    <row r="395" spans="1:21" ht="18">
      <c r="A395" s="21"/>
      <c r="B395" s="21"/>
      <c r="C395" s="21"/>
      <c r="D395" s="22"/>
      <c r="E395" s="23"/>
      <c r="F395" s="24"/>
      <c r="G395" s="25"/>
      <c r="H395" s="25"/>
      <c r="I395" s="25"/>
      <c r="J395" s="25"/>
      <c r="K395" s="25"/>
      <c r="L395" s="25"/>
      <c r="M395" s="25"/>
      <c r="N395" s="25"/>
      <c r="O395" s="25"/>
      <c r="P395" s="25"/>
      <c r="Q395" s="25"/>
      <c r="R395" s="169"/>
      <c r="T395" s="25"/>
      <c r="U395" s="172"/>
    </row>
    <row r="396" spans="1:21" ht="18">
      <c r="A396" s="21"/>
      <c r="B396" s="21"/>
      <c r="C396" s="21"/>
      <c r="D396" s="22"/>
      <c r="E396" s="23"/>
      <c r="F396" s="24"/>
      <c r="G396" s="25"/>
      <c r="H396" s="25"/>
      <c r="I396" s="25"/>
      <c r="J396" s="25"/>
      <c r="K396" s="25"/>
      <c r="L396" s="25"/>
      <c r="M396" s="25"/>
      <c r="N396" s="25"/>
      <c r="O396" s="25"/>
      <c r="P396" s="25"/>
      <c r="Q396" s="25"/>
      <c r="R396" s="169"/>
      <c r="T396" s="25"/>
      <c r="U396" s="172"/>
    </row>
    <row r="397" spans="1:21" ht="18">
      <c r="A397" s="21"/>
      <c r="B397" s="21"/>
      <c r="C397" s="21"/>
      <c r="D397" s="22"/>
      <c r="E397" s="23"/>
      <c r="F397" s="24"/>
      <c r="G397" s="25"/>
      <c r="H397" s="25"/>
      <c r="I397" s="25"/>
      <c r="J397" s="25"/>
      <c r="K397" s="25"/>
      <c r="L397" s="25"/>
      <c r="M397" s="25"/>
      <c r="N397" s="25"/>
      <c r="O397" s="25"/>
      <c r="P397" s="25"/>
      <c r="Q397" s="25"/>
      <c r="R397" s="169"/>
      <c r="T397" s="25"/>
      <c r="U397" s="172"/>
    </row>
    <row r="398" spans="1:21" ht="18">
      <c r="A398" s="21"/>
      <c r="B398" s="21"/>
      <c r="C398" s="21"/>
      <c r="D398" s="22"/>
      <c r="E398" s="23"/>
      <c r="F398" s="24"/>
      <c r="G398" s="25"/>
      <c r="H398" s="25"/>
      <c r="I398" s="25"/>
      <c r="J398" s="25"/>
      <c r="K398" s="25"/>
      <c r="L398" s="25"/>
      <c r="M398" s="25"/>
      <c r="N398" s="25"/>
      <c r="O398" s="25"/>
      <c r="P398" s="25"/>
      <c r="Q398" s="25"/>
      <c r="R398" s="169"/>
      <c r="T398" s="25"/>
      <c r="U398" s="172"/>
    </row>
    <row r="399" spans="1:21" ht="18">
      <c r="A399" s="21"/>
      <c r="B399" s="21"/>
      <c r="C399" s="21"/>
      <c r="D399" s="22"/>
      <c r="E399" s="23"/>
      <c r="F399" s="24"/>
      <c r="G399" s="25"/>
      <c r="H399" s="25"/>
      <c r="I399" s="25"/>
      <c r="J399" s="25"/>
      <c r="K399" s="25"/>
      <c r="L399" s="25"/>
      <c r="M399" s="25"/>
      <c r="N399" s="25"/>
      <c r="O399" s="25"/>
      <c r="P399" s="25"/>
      <c r="Q399" s="25"/>
      <c r="R399" s="169"/>
      <c r="T399" s="25"/>
      <c r="U399" s="172"/>
    </row>
    <row r="400" spans="1:21" ht="18">
      <c r="A400" s="21"/>
      <c r="B400" s="21"/>
      <c r="C400" s="21"/>
      <c r="D400" s="22"/>
      <c r="E400" s="23"/>
      <c r="F400" s="24"/>
      <c r="G400" s="25"/>
      <c r="H400" s="25"/>
      <c r="I400" s="25"/>
      <c r="J400" s="25"/>
      <c r="K400" s="25"/>
      <c r="L400" s="25"/>
      <c r="M400" s="25"/>
      <c r="N400" s="25"/>
      <c r="O400" s="25"/>
      <c r="P400" s="25"/>
      <c r="Q400" s="25"/>
      <c r="R400" s="169"/>
      <c r="T400" s="25"/>
      <c r="U400" s="172"/>
    </row>
    <row r="401" spans="1:21" ht="18">
      <c r="A401" s="21"/>
      <c r="B401" s="21"/>
      <c r="C401" s="21"/>
      <c r="D401" s="22"/>
      <c r="E401" s="23"/>
      <c r="F401" s="24"/>
      <c r="G401" s="25"/>
      <c r="H401" s="25"/>
      <c r="I401" s="25"/>
      <c r="J401" s="25"/>
      <c r="K401" s="25"/>
      <c r="L401" s="25"/>
      <c r="M401" s="25"/>
      <c r="N401" s="25"/>
      <c r="O401" s="25"/>
      <c r="P401" s="25"/>
      <c r="Q401" s="25"/>
      <c r="R401" s="169"/>
      <c r="T401" s="25"/>
      <c r="U401" s="172"/>
    </row>
    <row r="402" spans="1:21" ht="18">
      <c r="A402" s="21"/>
      <c r="B402" s="21"/>
      <c r="C402" s="21"/>
      <c r="D402" s="22"/>
      <c r="E402" s="23"/>
      <c r="F402" s="24"/>
      <c r="G402" s="25"/>
      <c r="H402" s="25"/>
      <c r="I402" s="25"/>
      <c r="J402" s="25"/>
      <c r="K402" s="25"/>
      <c r="L402" s="25"/>
      <c r="M402" s="25"/>
      <c r="N402" s="25"/>
      <c r="O402" s="25"/>
      <c r="P402" s="25"/>
      <c r="Q402" s="25"/>
      <c r="R402" s="169"/>
      <c r="T402" s="25"/>
      <c r="U402" s="172"/>
    </row>
    <row r="403" spans="1:21" ht="18">
      <c r="A403" s="21"/>
      <c r="B403" s="21"/>
      <c r="C403" s="21"/>
      <c r="D403" s="22"/>
      <c r="E403" s="23"/>
      <c r="F403" s="24"/>
      <c r="G403" s="25"/>
      <c r="H403" s="25"/>
      <c r="I403" s="25"/>
      <c r="J403" s="25"/>
      <c r="K403" s="25"/>
      <c r="L403" s="25"/>
      <c r="M403" s="25"/>
      <c r="N403" s="25"/>
      <c r="O403" s="25"/>
      <c r="P403" s="25"/>
      <c r="Q403" s="25"/>
      <c r="R403" s="169"/>
      <c r="T403" s="25"/>
      <c r="U403" s="172"/>
    </row>
    <row r="404" spans="1:21" ht="18">
      <c r="A404" s="21"/>
      <c r="B404" s="21"/>
      <c r="C404" s="21"/>
      <c r="D404" s="22"/>
      <c r="E404" s="23"/>
      <c r="F404" s="24"/>
      <c r="G404" s="25"/>
      <c r="H404" s="25"/>
      <c r="I404" s="25"/>
      <c r="J404" s="25"/>
      <c r="K404" s="25"/>
      <c r="L404" s="25"/>
      <c r="M404" s="25"/>
      <c r="N404" s="25"/>
      <c r="O404" s="25"/>
      <c r="P404" s="25"/>
      <c r="Q404" s="25"/>
      <c r="R404" s="169"/>
      <c r="T404" s="25"/>
      <c r="U404" s="172"/>
    </row>
    <row r="405" spans="1:21" ht="18">
      <c r="A405" s="21"/>
      <c r="B405" s="21"/>
      <c r="C405" s="21"/>
      <c r="D405" s="22"/>
      <c r="E405" s="23"/>
      <c r="F405" s="24"/>
      <c r="G405" s="25"/>
      <c r="H405" s="25"/>
      <c r="I405" s="25"/>
      <c r="J405" s="25"/>
      <c r="K405" s="25"/>
      <c r="L405" s="25"/>
      <c r="M405" s="25"/>
      <c r="N405" s="25"/>
      <c r="O405" s="25"/>
      <c r="P405" s="25"/>
      <c r="Q405" s="25"/>
      <c r="R405" s="169"/>
      <c r="T405" s="25"/>
      <c r="U405" s="172"/>
    </row>
    <row r="406" spans="1:21" ht="18">
      <c r="A406" s="21"/>
      <c r="B406" s="21"/>
      <c r="C406" s="21"/>
      <c r="D406" s="22"/>
      <c r="E406" s="23"/>
      <c r="F406" s="24"/>
      <c r="G406" s="25"/>
      <c r="H406" s="25"/>
      <c r="I406" s="25"/>
      <c r="J406" s="25"/>
      <c r="K406" s="25"/>
      <c r="L406" s="25"/>
      <c r="M406" s="25"/>
      <c r="N406" s="25"/>
      <c r="O406" s="25"/>
      <c r="P406" s="25"/>
      <c r="Q406" s="25"/>
      <c r="R406" s="169"/>
      <c r="T406" s="25"/>
      <c r="U406" s="172"/>
    </row>
    <row r="407" spans="1:21" ht="18">
      <c r="A407" s="21"/>
      <c r="B407" s="21"/>
      <c r="C407" s="21"/>
      <c r="D407" s="22"/>
      <c r="E407" s="23"/>
      <c r="F407" s="24"/>
      <c r="G407" s="25"/>
      <c r="H407" s="25"/>
      <c r="I407" s="25"/>
      <c r="J407" s="25"/>
      <c r="K407" s="25"/>
      <c r="L407" s="25"/>
      <c r="M407" s="25"/>
      <c r="N407" s="25"/>
      <c r="O407" s="25"/>
      <c r="P407" s="25"/>
      <c r="Q407" s="25"/>
      <c r="R407" s="169"/>
      <c r="T407" s="25"/>
      <c r="U407" s="172"/>
    </row>
    <row r="408" spans="1:21" ht="18">
      <c r="A408" s="21"/>
      <c r="B408" s="21"/>
      <c r="C408" s="21"/>
      <c r="D408" s="22"/>
      <c r="E408" s="23"/>
      <c r="F408" s="24"/>
      <c r="G408" s="25"/>
      <c r="H408" s="25"/>
      <c r="I408" s="25"/>
      <c r="J408" s="25"/>
      <c r="K408" s="25"/>
      <c r="L408" s="25"/>
      <c r="M408" s="25"/>
      <c r="N408" s="25"/>
      <c r="O408" s="25"/>
      <c r="P408" s="25"/>
      <c r="Q408" s="25"/>
      <c r="R408" s="169"/>
      <c r="T408" s="25"/>
      <c r="U408" s="172"/>
    </row>
    <row r="409" spans="1:21" ht="18">
      <c r="A409" s="21"/>
      <c r="B409" s="21"/>
      <c r="C409" s="21"/>
      <c r="D409" s="22"/>
      <c r="E409" s="23"/>
      <c r="F409" s="24"/>
      <c r="G409" s="25"/>
      <c r="H409" s="25"/>
      <c r="I409" s="25"/>
      <c r="J409" s="25"/>
      <c r="K409" s="25"/>
      <c r="L409" s="25"/>
      <c r="M409" s="25"/>
      <c r="N409" s="25"/>
      <c r="O409" s="25"/>
      <c r="P409" s="25"/>
      <c r="Q409" s="25"/>
      <c r="R409" s="169"/>
      <c r="T409" s="25"/>
      <c r="U409" s="172"/>
    </row>
    <row r="410" spans="1:21" ht="18">
      <c r="A410" s="21"/>
      <c r="B410" s="21"/>
      <c r="C410" s="21"/>
      <c r="D410" s="22"/>
      <c r="E410" s="23"/>
      <c r="F410" s="24"/>
      <c r="G410" s="25"/>
      <c r="H410" s="25"/>
      <c r="I410" s="25"/>
      <c r="J410" s="25"/>
      <c r="K410" s="25"/>
      <c r="L410" s="25"/>
      <c r="M410" s="25"/>
      <c r="N410" s="25"/>
      <c r="O410" s="25"/>
      <c r="P410" s="25"/>
      <c r="Q410" s="25"/>
      <c r="R410" s="169"/>
      <c r="T410" s="25"/>
      <c r="U410" s="172"/>
    </row>
    <row r="411" spans="1:21" ht="18">
      <c r="A411" s="21"/>
      <c r="B411" s="21"/>
      <c r="C411" s="21"/>
      <c r="D411" s="22"/>
      <c r="E411" s="23"/>
      <c r="F411" s="24"/>
      <c r="G411" s="25"/>
      <c r="H411" s="25"/>
      <c r="I411" s="25"/>
      <c r="J411" s="25"/>
      <c r="K411" s="25"/>
      <c r="L411" s="25"/>
      <c r="M411" s="25"/>
      <c r="N411" s="25"/>
      <c r="O411" s="25"/>
      <c r="P411" s="25"/>
      <c r="Q411" s="25"/>
      <c r="R411" s="169"/>
      <c r="T411" s="25"/>
      <c r="U411" s="172"/>
    </row>
    <row r="412" spans="1:21" ht="18">
      <c r="A412" s="21"/>
      <c r="B412" s="21"/>
      <c r="C412" s="21"/>
      <c r="D412" s="22"/>
      <c r="E412" s="23"/>
      <c r="F412" s="24"/>
      <c r="G412" s="25"/>
      <c r="H412" s="25"/>
      <c r="I412" s="25"/>
      <c r="J412" s="25"/>
      <c r="K412" s="25"/>
      <c r="L412" s="25"/>
      <c r="M412" s="25"/>
      <c r="N412" s="25"/>
      <c r="O412" s="25"/>
      <c r="P412" s="25"/>
      <c r="Q412" s="25"/>
      <c r="R412" s="169"/>
      <c r="T412" s="25"/>
      <c r="U412" s="172"/>
    </row>
    <row r="413" spans="1:21" ht="18">
      <c r="A413" s="21"/>
      <c r="B413" s="21"/>
      <c r="C413" s="21"/>
      <c r="D413" s="22"/>
      <c r="E413" s="23"/>
      <c r="F413" s="24"/>
      <c r="G413" s="25"/>
      <c r="H413" s="25"/>
      <c r="I413" s="25"/>
      <c r="J413" s="25"/>
      <c r="K413" s="25"/>
      <c r="L413" s="25"/>
      <c r="M413" s="25"/>
      <c r="N413" s="25"/>
      <c r="O413" s="25"/>
      <c r="P413" s="25"/>
      <c r="Q413" s="25"/>
      <c r="R413" s="169"/>
      <c r="T413" s="25"/>
      <c r="U413" s="172"/>
    </row>
    <row r="414" spans="1:21" ht="18">
      <c r="A414" s="21"/>
      <c r="B414" s="21"/>
      <c r="C414" s="21"/>
      <c r="D414" s="22"/>
      <c r="E414" s="23"/>
      <c r="F414" s="24"/>
      <c r="G414" s="25"/>
      <c r="H414" s="25"/>
      <c r="I414" s="25"/>
      <c r="J414" s="25"/>
      <c r="K414" s="25"/>
      <c r="L414" s="25"/>
      <c r="M414" s="25"/>
      <c r="N414" s="25"/>
      <c r="O414" s="25"/>
      <c r="P414" s="25"/>
      <c r="Q414" s="25"/>
      <c r="R414" s="169"/>
      <c r="T414" s="25"/>
      <c r="U414" s="172"/>
    </row>
    <row r="415" spans="1:21" ht="18">
      <c r="A415" s="21"/>
      <c r="B415" s="21"/>
      <c r="C415" s="21"/>
      <c r="D415" s="22"/>
      <c r="E415" s="23"/>
      <c r="F415" s="24"/>
      <c r="G415" s="25"/>
      <c r="H415" s="25"/>
      <c r="I415" s="25"/>
      <c r="J415" s="25"/>
      <c r="K415" s="25"/>
      <c r="L415" s="25"/>
      <c r="M415" s="25"/>
      <c r="N415" s="25"/>
      <c r="O415" s="25"/>
      <c r="P415" s="25"/>
      <c r="Q415" s="25"/>
      <c r="R415" s="169"/>
      <c r="T415" s="25"/>
      <c r="U415" s="172"/>
    </row>
    <row r="416" spans="1:21" ht="18">
      <c r="A416" s="21"/>
      <c r="B416" s="21"/>
      <c r="C416" s="21"/>
      <c r="D416" s="22"/>
      <c r="E416" s="23"/>
      <c r="F416" s="24"/>
      <c r="G416" s="25"/>
      <c r="H416" s="25"/>
      <c r="I416" s="25"/>
      <c r="J416" s="25"/>
      <c r="K416" s="25"/>
      <c r="L416" s="25"/>
      <c r="M416" s="25"/>
      <c r="N416" s="25"/>
      <c r="O416" s="25"/>
      <c r="P416" s="25"/>
      <c r="Q416" s="25"/>
      <c r="R416" s="169"/>
      <c r="T416" s="25"/>
      <c r="U416" s="172"/>
    </row>
    <row r="417" spans="1:21" ht="18">
      <c r="A417" s="21"/>
      <c r="B417" s="21"/>
      <c r="C417" s="21"/>
      <c r="D417" s="22"/>
      <c r="E417" s="23"/>
      <c r="F417" s="24"/>
      <c r="G417" s="25"/>
      <c r="H417" s="25"/>
      <c r="I417" s="25"/>
      <c r="J417" s="25"/>
      <c r="K417" s="25"/>
      <c r="L417" s="25"/>
      <c r="M417" s="25"/>
      <c r="N417" s="25"/>
      <c r="O417" s="25"/>
      <c r="P417" s="25"/>
      <c r="Q417" s="25"/>
      <c r="R417" s="169"/>
      <c r="T417" s="25"/>
      <c r="U417" s="172"/>
    </row>
    <row r="418" spans="1:21" ht="18">
      <c r="A418" s="21"/>
      <c r="B418" s="21"/>
      <c r="C418" s="21"/>
      <c r="D418" s="22"/>
      <c r="E418" s="23"/>
      <c r="F418" s="24"/>
      <c r="G418" s="25"/>
      <c r="H418" s="25"/>
      <c r="I418" s="25"/>
      <c r="J418" s="25"/>
      <c r="K418" s="25"/>
      <c r="L418" s="25"/>
      <c r="M418" s="25"/>
      <c r="N418" s="25"/>
      <c r="O418" s="25"/>
      <c r="P418" s="25"/>
      <c r="Q418" s="25"/>
      <c r="R418" s="169"/>
      <c r="T418" s="25"/>
      <c r="U418" s="172"/>
    </row>
    <row r="419" spans="1:21" ht="18">
      <c r="A419" s="21"/>
      <c r="B419" s="21"/>
      <c r="C419" s="21"/>
      <c r="D419" s="22"/>
      <c r="E419" s="23"/>
      <c r="F419" s="24"/>
      <c r="G419" s="25"/>
      <c r="H419" s="25"/>
      <c r="I419" s="25"/>
      <c r="J419" s="25"/>
      <c r="K419" s="25"/>
      <c r="L419" s="25"/>
      <c r="M419" s="25"/>
      <c r="N419" s="25"/>
      <c r="O419" s="25"/>
      <c r="P419" s="25"/>
      <c r="Q419" s="25"/>
      <c r="R419" s="169"/>
      <c r="T419" s="25"/>
      <c r="U419" s="172"/>
    </row>
    <row r="420" spans="1:21" ht="18">
      <c r="A420" s="21"/>
      <c r="B420" s="21"/>
      <c r="C420" s="21"/>
      <c r="D420" s="22"/>
      <c r="E420" s="23"/>
      <c r="F420" s="24"/>
      <c r="G420" s="25"/>
      <c r="H420" s="25"/>
      <c r="I420" s="25"/>
      <c r="J420" s="25"/>
      <c r="K420" s="25"/>
      <c r="L420" s="25"/>
      <c r="M420" s="25"/>
      <c r="N420" s="25"/>
      <c r="O420" s="25"/>
      <c r="P420" s="25"/>
      <c r="Q420" s="25"/>
      <c r="R420" s="169"/>
      <c r="T420" s="25"/>
      <c r="U420" s="172"/>
    </row>
    <row r="421" spans="1:21" ht="18">
      <c r="A421" s="21"/>
      <c r="B421" s="21"/>
      <c r="C421" s="21"/>
      <c r="D421" s="22"/>
      <c r="E421" s="23"/>
      <c r="F421" s="24"/>
      <c r="G421" s="25"/>
      <c r="H421" s="25"/>
      <c r="I421" s="25"/>
      <c r="J421" s="25"/>
      <c r="K421" s="25"/>
      <c r="L421" s="25"/>
      <c r="M421" s="25"/>
      <c r="N421" s="25"/>
      <c r="O421" s="25"/>
      <c r="P421" s="25"/>
      <c r="Q421" s="25"/>
      <c r="R421" s="169"/>
      <c r="T421" s="25"/>
      <c r="U421" s="172"/>
    </row>
    <row r="422" spans="1:21" ht="18">
      <c r="A422" s="21"/>
      <c r="B422" s="21"/>
      <c r="C422" s="21"/>
      <c r="D422" s="22"/>
      <c r="E422" s="23"/>
      <c r="F422" s="24"/>
      <c r="G422" s="25"/>
      <c r="H422" s="25"/>
      <c r="I422" s="25"/>
      <c r="J422" s="25"/>
      <c r="K422" s="25"/>
      <c r="L422" s="25"/>
      <c r="M422" s="25"/>
      <c r="N422" s="25"/>
      <c r="O422" s="25"/>
      <c r="P422" s="25"/>
      <c r="Q422" s="25"/>
      <c r="R422" s="169"/>
      <c r="T422" s="25"/>
      <c r="U422" s="172"/>
    </row>
    <row r="423" spans="1:21" ht="18">
      <c r="A423" s="21"/>
      <c r="B423" s="21"/>
      <c r="C423" s="21"/>
      <c r="D423" s="22"/>
      <c r="E423" s="23"/>
      <c r="F423" s="24"/>
      <c r="G423" s="25"/>
      <c r="H423" s="25"/>
      <c r="I423" s="25"/>
      <c r="J423" s="25"/>
      <c r="K423" s="25"/>
      <c r="L423" s="25"/>
      <c r="M423" s="25"/>
      <c r="N423" s="25"/>
      <c r="O423" s="25"/>
      <c r="P423" s="25"/>
      <c r="Q423" s="25"/>
      <c r="R423" s="169"/>
      <c r="T423" s="25"/>
      <c r="U423" s="172"/>
    </row>
    <row r="424" spans="1:21" ht="18">
      <c r="A424" s="21"/>
      <c r="B424" s="21"/>
      <c r="C424" s="21"/>
      <c r="D424" s="22"/>
      <c r="E424" s="23"/>
      <c r="F424" s="24"/>
      <c r="G424" s="25"/>
      <c r="H424" s="25"/>
      <c r="I424" s="25"/>
      <c r="J424" s="25"/>
      <c r="K424" s="25"/>
      <c r="L424" s="25"/>
      <c r="M424" s="25"/>
      <c r="N424" s="25"/>
      <c r="O424" s="25"/>
      <c r="P424" s="25"/>
      <c r="Q424" s="25"/>
      <c r="R424" s="169"/>
      <c r="T424" s="25"/>
      <c r="U424" s="172"/>
    </row>
    <row r="425" spans="1:21" ht="18">
      <c r="A425" s="21"/>
      <c r="B425" s="21"/>
      <c r="C425" s="21"/>
      <c r="D425" s="22"/>
      <c r="E425" s="23"/>
      <c r="F425" s="24"/>
      <c r="G425" s="25"/>
      <c r="H425" s="25"/>
      <c r="I425" s="25"/>
      <c r="J425" s="25"/>
      <c r="K425" s="25"/>
      <c r="L425" s="25"/>
      <c r="M425" s="25"/>
      <c r="N425" s="25"/>
      <c r="O425" s="25"/>
      <c r="P425" s="25"/>
      <c r="Q425" s="25"/>
      <c r="R425" s="169"/>
      <c r="T425" s="25"/>
      <c r="U425" s="172"/>
    </row>
    <row r="426" spans="1:21" ht="18">
      <c r="A426" s="21"/>
      <c r="B426" s="21"/>
      <c r="C426" s="21"/>
      <c r="D426" s="22"/>
      <c r="E426" s="23"/>
      <c r="F426" s="24"/>
      <c r="G426" s="25"/>
      <c r="H426" s="25"/>
      <c r="I426" s="25"/>
      <c r="J426" s="25"/>
      <c r="K426" s="25"/>
      <c r="L426" s="25"/>
      <c r="M426" s="25"/>
      <c r="N426" s="25"/>
      <c r="O426" s="25"/>
      <c r="P426" s="25"/>
      <c r="Q426" s="25"/>
      <c r="R426" s="169"/>
      <c r="T426" s="25"/>
      <c r="U426" s="172"/>
    </row>
    <row r="427" spans="1:21" ht="18">
      <c r="A427" s="21"/>
      <c r="B427" s="21"/>
      <c r="C427" s="21"/>
      <c r="D427" s="22"/>
      <c r="E427" s="23"/>
      <c r="F427" s="24"/>
      <c r="G427" s="25"/>
      <c r="H427" s="25"/>
      <c r="I427" s="25"/>
      <c r="J427" s="25"/>
      <c r="K427" s="25"/>
      <c r="L427" s="25"/>
      <c r="M427" s="25"/>
      <c r="N427" s="25"/>
      <c r="O427" s="25"/>
      <c r="P427" s="25"/>
      <c r="Q427" s="25"/>
      <c r="R427" s="169"/>
      <c r="T427" s="25"/>
      <c r="U427" s="172"/>
    </row>
    <row r="428" spans="1:21" ht="18">
      <c r="A428" s="21"/>
      <c r="B428" s="21"/>
      <c r="C428" s="21"/>
      <c r="D428" s="22"/>
      <c r="E428" s="23"/>
      <c r="F428" s="24"/>
      <c r="G428" s="25"/>
      <c r="H428" s="25"/>
      <c r="I428" s="25"/>
      <c r="J428" s="25"/>
      <c r="K428" s="25"/>
      <c r="L428" s="25"/>
      <c r="M428" s="25"/>
      <c r="N428" s="25"/>
      <c r="O428" s="25"/>
      <c r="P428" s="25"/>
      <c r="Q428" s="25"/>
      <c r="R428" s="169"/>
      <c r="T428" s="25"/>
      <c r="U428" s="172"/>
    </row>
    <row r="429" spans="1:21" ht="18">
      <c r="A429" s="21"/>
      <c r="B429" s="21"/>
      <c r="C429" s="21"/>
      <c r="D429" s="22"/>
      <c r="E429" s="23"/>
      <c r="F429" s="24"/>
      <c r="G429" s="25"/>
      <c r="H429" s="25"/>
      <c r="I429" s="25"/>
      <c r="J429" s="25"/>
      <c r="K429" s="25"/>
      <c r="L429" s="25"/>
      <c r="M429" s="25"/>
      <c r="N429" s="25"/>
      <c r="O429" s="25"/>
      <c r="P429" s="25"/>
      <c r="Q429" s="25"/>
      <c r="R429" s="169"/>
      <c r="T429" s="25"/>
      <c r="U429" s="172"/>
    </row>
    <row r="430" spans="1:21" ht="18">
      <c r="A430" s="21"/>
      <c r="B430" s="21"/>
      <c r="C430" s="21"/>
      <c r="D430" s="22"/>
      <c r="E430" s="23"/>
      <c r="F430" s="24"/>
      <c r="G430" s="25"/>
      <c r="H430" s="25"/>
      <c r="I430" s="25"/>
      <c r="J430" s="25"/>
      <c r="K430" s="25"/>
      <c r="L430" s="25"/>
      <c r="M430" s="25"/>
      <c r="N430" s="25"/>
      <c r="O430" s="25"/>
      <c r="P430" s="25"/>
      <c r="Q430" s="25"/>
      <c r="R430" s="169"/>
      <c r="T430" s="25"/>
      <c r="U430" s="172"/>
    </row>
    <row r="431" spans="1:21" ht="18">
      <c r="A431" s="21"/>
      <c r="B431" s="21"/>
      <c r="C431" s="21"/>
      <c r="D431" s="22"/>
      <c r="E431" s="23"/>
      <c r="F431" s="24"/>
      <c r="G431" s="25"/>
      <c r="H431" s="25"/>
      <c r="I431" s="25"/>
      <c r="J431" s="25"/>
      <c r="K431" s="25"/>
      <c r="L431" s="25"/>
      <c r="M431" s="25"/>
      <c r="N431" s="25"/>
      <c r="O431" s="25"/>
      <c r="P431" s="25"/>
      <c r="Q431" s="25"/>
      <c r="R431" s="169"/>
      <c r="T431" s="25"/>
      <c r="U431" s="172"/>
    </row>
    <row r="432" spans="1:21" ht="18">
      <c r="A432" s="21"/>
      <c r="B432" s="21"/>
      <c r="C432" s="21"/>
      <c r="D432" s="22"/>
      <c r="E432" s="23"/>
      <c r="F432" s="24"/>
      <c r="G432" s="25"/>
      <c r="H432" s="25"/>
      <c r="I432" s="25"/>
      <c r="J432" s="25"/>
      <c r="K432" s="25"/>
      <c r="L432" s="25"/>
      <c r="M432" s="25"/>
      <c r="N432" s="25"/>
      <c r="O432" s="25"/>
      <c r="P432" s="25"/>
      <c r="Q432" s="25"/>
      <c r="R432" s="169"/>
      <c r="T432" s="25"/>
      <c r="U432" s="172"/>
    </row>
    <row r="433" spans="1:21" ht="18">
      <c r="A433" s="21"/>
      <c r="B433" s="21"/>
      <c r="C433" s="21"/>
      <c r="D433" s="22"/>
      <c r="E433" s="23"/>
      <c r="F433" s="24"/>
      <c r="G433" s="25"/>
      <c r="H433" s="25"/>
      <c r="I433" s="25"/>
      <c r="J433" s="25"/>
      <c r="K433" s="25"/>
      <c r="L433" s="25"/>
      <c r="M433" s="25"/>
      <c r="N433" s="25"/>
      <c r="O433" s="25"/>
      <c r="P433" s="25"/>
      <c r="Q433" s="25"/>
      <c r="R433" s="169"/>
      <c r="T433" s="25"/>
      <c r="U433" s="172"/>
    </row>
    <row r="434" spans="1:21" ht="18">
      <c r="A434" s="21"/>
      <c r="B434" s="21"/>
      <c r="C434" s="21"/>
      <c r="D434" s="22"/>
      <c r="E434" s="23"/>
      <c r="F434" s="24"/>
      <c r="G434" s="25"/>
      <c r="H434" s="25"/>
      <c r="I434" s="25"/>
      <c r="J434" s="25"/>
      <c r="K434" s="25"/>
      <c r="L434" s="25"/>
      <c r="M434" s="25"/>
      <c r="N434" s="25"/>
      <c r="O434" s="25"/>
      <c r="P434" s="25"/>
      <c r="Q434" s="25"/>
      <c r="R434" s="169"/>
      <c r="T434" s="25"/>
      <c r="U434" s="172"/>
    </row>
    <row r="435" spans="1:21" ht="18">
      <c r="A435" s="21"/>
      <c r="B435" s="21"/>
      <c r="C435" s="21"/>
      <c r="D435" s="22"/>
      <c r="E435" s="23"/>
      <c r="F435" s="24"/>
      <c r="G435" s="25"/>
      <c r="H435" s="25"/>
      <c r="I435" s="25"/>
      <c r="J435" s="25"/>
      <c r="K435" s="25"/>
      <c r="L435" s="25"/>
      <c r="M435" s="25"/>
      <c r="N435" s="25"/>
      <c r="O435" s="25"/>
      <c r="P435" s="25"/>
      <c r="Q435" s="25"/>
      <c r="R435" s="169"/>
      <c r="T435" s="25"/>
      <c r="U435" s="172"/>
    </row>
    <row r="436" spans="1:21" ht="18">
      <c r="A436" s="21"/>
      <c r="B436" s="21"/>
      <c r="C436" s="21"/>
      <c r="D436" s="22"/>
      <c r="E436" s="23"/>
      <c r="F436" s="24"/>
      <c r="G436" s="25"/>
      <c r="H436" s="25"/>
      <c r="I436" s="25"/>
      <c r="J436" s="25"/>
      <c r="K436" s="25"/>
      <c r="L436" s="25"/>
      <c r="M436" s="25"/>
      <c r="N436" s="25"/>
      <c r="O436" s="25"/>
      <c r="P436" s="25"/>
      <c r="Q436" s="25"/>
      <c r="R436" s="169"/>
      <c r="T436" s="25"/>
      <c r="U436" s="172"/>
    </row>
    <row r="437" spans="1:21" ht="18">
      <c r="A437" s="21"/>
      <c r="B437" s="21"/>
      <c r="C437" s="21"/>
      <c r="D437" s="22"/>
      <c r="E437" s="23"/>
      <c r="F437" s="24"/>
      <c r="G437" s="25"/>
      <c r="H437" s="25"/>
      <c r="I437" s="25"/>
      <c r="J437" s="25"/>
      <c r="K437" s="25"/>
      <c r="L437" s="25"/>
      <c r="M437" s="25"/>
      <c r="N437" s="25"/>
      <c r="O437" s="25"/>
      <c r="P437" s="25"/>
      <c r="Q437" s="25"/>
      <c r="R437" s="169"/>
      <c r="T437" s="25"/>
      <c r="U437" s="172"/>
    </row>
    <row r="438" spans="1:21" ht="18">
      <c r="A438" s="21"/>
      <c r="B438" s="21"/>
      <c r="C438" s="21"/>
      <c r="D438" s="22"/>
      <c r="E438" s="23"/>
      <c r="F438" s="24"/>
      <c r="G438" s="25"/>
      <c r="H438" s="25"/>
      <c r="I438" s="25"/>
      <c r="J438" s="25"/>
      <c r="K438" s="25"/>
      <c r="L438" s="25"/>
      <c r="M438" s="25"/>
      <c r="N438" s="25"/>
      <c r="O438" s="25"/>
      <c r="P438" s="25"/>
      <c r="Q438" s="25"/>
      <c r="R438" s="169"/>
      <c r="T438" s="25"/>
      <c r="U438" s="172"/>
    </row>
    <row r="439" spans="1:21" ht="18">
      <c r="A439" s="21"/>
      <c r="B439" s="21"/>
      <c r="C439" s="21"/>
      <c r="D439" s="22"/>
      <c r="E439" s="23"/>
      <c r="F439" s="24"/>
      <c r="G439" s="25"/>
      <c r="H439" s="25"/>
      <c r="I439" s="25"/>
      <c r="J439" s="25"/>
      <c r="K439" s="25"/>
      <c r="L439" s="25"/>
      <c r="M439" s="25"/>
      <c r="N439" s="25"/>
      <c r="O439" s="25"/>
      <c r="P439" s="25"/>
      <c r="Q439" s="25"/>
      <c r="R439" s="169"/>
      <c r="T439" s="25"/>
      <c r="U439" s="172"/>
    </row>
    <row r="440" spans="1:21" ht="18">
      <c r="A440" s="21"/>
      <c r="B440" s="21"/>
      <c r="C440" s="21"/>
      <c r="D440" s="22"/>
      <c r="E440" s="23"/>
      <c r="F440" s="24"/>
      <c r="G440" s="25"/>
      <c r="H440" s="25"/>
      <c r="I440" s="25"/>
      <c r="J440" s="25"/>
      <c r="K440" s="25"/>
      <c r="L440" s="25"/>
      <c r="M440" s="25"/>
      <c r="N440" s="25"/>
      <c r="O440" s="25"/>
      <c r="P440" s="25"/>
      <c r="Q440" s="25"/>
      <c r="R440" s="169"/>
      <c r="T440" s="25"/>
      <c r="U440" s="172"/>
    </row>
    <row r="441" spans="1:21" ht="18">
      <c r="A441" s="21"/>
      <c r="B441" s="21"/>
      <c r="C441" s="21"/>
      <c r="D441" s="22"/>
      <c r="E441" s="23"/>
      <c r="F441" s="24"/>
      <c r="G441" s="25"/>
      <c r="H441" s="25"/>
      <c r="I441" s="25"/>
      <c r="J441" s="25"/>
      <c r="K441" s="25"/>
      <c r="L441" s="25"/>
      <c r="M441" s="25"/>
      <c r="N441" s="25"/>
      <c r="O441" s="25"/>
      <c r="P441" s="25"/>
      <c r="Q441" s="25"/>
      <c r="R441" s="169"/>
      <c r="T441" s="25"/>
      <c r="U441" s="172"/>
    </row>
    <row r="442" spans="1:21" ht="18">
      <c r="A442" s="21"/>
      <c r="B442" s="21"/>
      <c r="C442" s="21"/>
      <c r="D442" s="22"/>
      <c r="E442" s="23"/>
      <c r="F442" s="24"/>
      <c r="G442" s="25"/>
      <c r="H442" s="25"/>
      <c r="I442" s="25"/>
      <c r="J442" s="25"/>
      <c r="K442" s="25"/>
      <c r="L442" s="25"/>
      <c r="M442" s="25"/>
      <c r="N442" s="25"/>
      <c r="O442" s="25"/>
      <c r="P442" s="25"/>
      <c r="Q442" s="25"/>
      <c r="R442" s="169"/>
      <c r="T442" s="25"/>
      <c r="U442" s="172"/>
    </row>
    <row r="443" spans="1:21" ht="18">
      <c r="A443" s="21"/>
      <c r="B443" s="21"/>
      <c r="C443" s="21"/>
      <c r="D443" s="22"/>
      <c r="E443" s="23"/>
      <c r="F443" s="24"/>
      <c r="G443" s="25"/>
      <c r="H443" s="25"/>
      <c r="I443" s="25"/>
      <c r="J443" s="25"/>
      <c r="K443" s="25"/>
      <c r="L443" s="25"/>
      <c r="M443" s="25"/>
      <c r="N443" s="25"/>
      <c r="O443" s="25"/>
      <c r="P443" s="25"/>
      <c r="Q443" s="25"/>
      <c r="R443" s="169"/>
      <c r="T443" s="25"/>
      <c r="U443" s="172"/>
    </row>
    <row r="444" spans="1:21" ht="18">
      <c r="A444" s="21"/>
      <c r="B444" s="21"/>
      <c r="C444" s="21"/>
      <c r="D444" s="22"/>
      <c r="E444" s="23"/>
      <c r="F444" s="24"/>
      <c r="G444" s="25"/>
      <c r="H444" s="25"/>
      <c r="I444" s="25"/>
      <c r="J444" s="25"/>
      <c r="K444" s="25"/>
      <c r="L444" s="25"/>
      <c r="M444" s="25"/>
      <c r="N444" s="25"/>
      <c r="O444" s="25"/>
      <c r="P444" s="25"/>
      <c r="Q444" s="25"/>
      <c r="R444" s="169"/>
      <c r="T444" s="25"/>
      <c r="U444" s="172"/>
    </row>
    <row r="445" spans="1:21" ht="18">
      <c r="A445" s="21"/>
      <c r="B445" s="21"/>
      <c r="C445" s="21"/>
      <c r="D445" s="22"/>
      <c r="E445" s="23"/>
      <c r="F445" s="24"/>
      <c r="G445" s="25"/>
      <c r="H445" s="25"/>
      <c r="I445" s="25"/>
      <c r="J445" s="25"/>
      <c r="K445" s="25"/>
      <c r="L445" s="25"/>
      <c r="M445" s="25"/>
      <c r="N445" s="25"/>
      <c r="O445" s="25"/>
      <c r="P445" s="25"/>
      <c r="Q445" s="25"/>
      <c r="R445" s="169"/>
      <c r="T445" s="25"/>
      <c r="U445" s="172"/>
    </row>
    <row r="446" spans="1:21" ht="18">
      <c r="A446" s="21"/>
      <c r="B446" s="21"/>
      <c r="C446" s="21"/>
      <c r="D446" s="22"/>
      <c r="E446" s="23"/>
      <c r="F446" s="24"/>
      <c r="G446" s="25"/>
      <c r="H446" s="25"/>
      <c r="I446" s="25"/>
      <c r="J446" s="25"/>
      <c r="K446" s="25"/>
      <c r="L446" s="25"/>
      <c r="M446" s="25"/>
      <c r="N446" s="25"/>
      <c r="O446" s="25"/>
      <c r="P446" s="25"/>
      <c r="Q446" s="25"/>
      <c r="R446" s="169"/>
      <c r="T446" s="25"/>
      <c r="U446" s="172"/>
    </row>
    <row r="447" spans="1:21" ht="18">
      <c r="A447" s="21"/>
      <c r="B447" s="21"/>
      <c r="C447" s="21"/>
      <c r="D447" s="22"/>
      <c r="E447" s="23"/>
      <c r="F447" s="24"/>
      <c r="G447" s="25"/>
      <c r="H447" s="25"/>
      <c r="I447" s="25"/>
      <c r="J447" s="25"/>
      <c r="K447" s="25"/>
      <c r="L447" s="25"/>
      <c r="M447" s="25"/>
      <c r="N447" s="25"/>
      <c r="O447" s="25"/>
      <c r="P447" s="25"/>
      <c r="Q447" s="25"/>
      <c r="R447" s="169"/>
      <c r="T447" s="25"/>
      <c r="U447" s="172"/>
    </row>
  </sheetData>
  <autoFilter ref="A1:T319" xr:uid="{92466719-A4A2-4335-8FC1-4E7EEB36A7CC}">
    <filterColumn colId="0">
      <filters>
        <filter val="2026"/>
      </filters>
    </filterColumn>
    <sortState xmlns:xlrd2="http://schemas.microsoft.com/office/spreadsheetml/2017/richdata2" ref="A247:T319">
      <sortCondition ref="B1:B319"/>
    </sortState>
  </autoFilter>
  <sortState xmlns:xlrd2="http://schemas.microsoft.com/office/spreadsheetml/2017/richdata2" ref="B2:T80">
    <sortCondition ref="T2:T80" customList="Large,E/PL,Cont"/>
    <sortCondition ref="B2:B80"/>
  </sortState>
  <conditionalFormatting sqref="A3:B447">
    <cfRule type="expression" dxfId="7" priority="6">
      <formula>"a25=""*"""</formula>
    </cfRule>
  </conditionalFormatting>
  <dataValidations count="2">
    <dataValidation type="list" allowBlank="1" showInputMessage="1" showErrorMessage="1" sqref="T267 T269 T274:T275 T277 T306:T447 T2:T265 T283:T304" xr:uid="{C4C2D847-296C-41C9-B199-5188E22BD4F1}">
      <formula1>"Large, Cont, PL"</formula1>
    </dataValidation>
    <dataValidation type="list" allowBlank="1" showInputMessage="1" showErrorMessage="1" sqref="T266 T268 T270:T273 T276 T278:T282 T305" xr:uid="{766DE70D-2F5E-4BE6-8793-5F2DB3C5B6DB}">
      <formula1>"Large, Cont, PL, EVAC"</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4DDC5502-07DA-4F0C-AC45-E3617313A62D}">
          <x14:formula1>
            <xm:f>Counties!$B$3:$B$38</xm:f>
          </x14:formula1>
          <xm:sqref>C2:C447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8524A-36BB-4992-8E5D-02BE8A1D533B}">
  <sheetPr codeName="Sheet11">
    <tabColor theme="8" tint="0.39997558519241921"/>
  </sheetPr>
  <dimension ref="A2:Q23"/>
  <sheetViews>
    <sheetView zoomScale="90" zoomScaleNormal="90" workbookViewId="0">
      <selection activeCell="J4" sqref="J4:Q23"/>
    </sheetView>
  </sheetViews>
  <sheetFormatPr baseColWidth="10" defaultColWidth="8.83203125" defaultRowHeight="15"/>
  <cols>
    <col min="9" max="9" width="1.6640625" customWidth="1"/>
  </cols>
  <sheetData>
    <row r="2" spans="1:17">
      <c r="A2" s="269" t="s">
        <v>615</v>
      </c>
      <c r="B2" s="269"/>
      <c r="C2" s="269"/>
      <c r="D2" s="269"/>
      <c r="E2" s="269"/>
      <c r="F2" s="270" t="s">
        <v>880</v>
      </c>
      <c r="G2" s="271"/>
      <c r="H2" s="271"/>
      <c r="J2" s="231" t="s">
        <v>853</v>
      </c>
      <c r="K2" s="231"/>
      <c r="L2" s="231"/>
      <c r="M2" s="231"/>
      <c r="N2" s="231"/>
      <c r="O2" s="270" t="s">
        <v>881</v>
      </c>
      <c r="P2" s="272"/>
      <c r="Q2" s="272"/>
    </row>
    <row r="3" spans="1:17">
      <c r="A3" s="269"/>
      <c r="B3" s="269"/>
      <c r="C3" s="269"/>
      <c r="D3" s="269"/>
      <c r="E3" s="269"/>
      <c r="F3" s="271"/>
      <c r="G3" s="271"/>
      <c r="H3" s="271"/>
      <c r="J3" s="231"/>
      <c r="K3" s="231"/>
      <c r="L3" s="231"/>
      <c r="M3" s="231"/>
      <c r="N3" s="231"/>
      <c r="O3" s="272"/>
      <c r="P3" s="272"/>
      <c r="Q3" s="272"/>
    </row>
    <row r="4" spans="1:17">
      <c r="A4" s="268" t="e" vm="1">
        <v>#VALUE!</v>
      </c>
      <c r="B4" s="268"/>
      <c r="C4" s="268"/>
      <c r="D4" s="268"/>
      <c r="E4" s="268"/>
      <c r="F4" s="268"/>
      <c r="G4" s="268"/>
      <c r="H4" s="268"/>
      <c r="J4" s="241" t="s">
        <v>891</v>
      </c>
      <c r="K4" s="241"/>
      <c r="L4" s="241"/>
      <c r="M4" s="241"/>
      <c r="N4" s="241"/>
      <c r="O4" s="241"/>
      <c r="P4" s="241"/>
      <c r="Q4" s="241"/>
    </row>
    <row r="5" spans="1:17">
      <c r="A5" s="268"/>
      <c r="B5" s="268"/>
      <c r="C5" s="268"/>
      <c r="D5" s="268"/>
      <c r="E5" s="268"/>
      <c r="F5" s="268"/>
      <c r="G5" s="268"/>
      <c r="H5" s="268"/>
      <c r="J5" s="241"/>
      <c r="K5" s="241"/>
      <c r="L5" s="241"/>
      <c r="M5" s="241"/>
      <c r="N5" s="241"/>
      <c r="O5" s="241"/>
      <c r="P5" s="241"/>
      <c r="Q5" s="241"/>
    </row>
    <row r="6" spans="1:17">
      <c r="A6" s="268"/>
      <c r="B6" s="268"/>
      <c r="C6" s="268"/>
      <c r="D6" s="268"/>
      <c r="E6" s="268"/>
      <c r="F6" s="268"/>
      <c r="G6" s="268"/>
      <c r="H6" s="268"/>
      <c r="J6" s="241"/>
      <c r="K6" s="241"/>
      <c r="L6" s="241"/>
      <c r="M6" s="241"/>
      <c r="N6" s="241"/>
      <c r="O6" s="241"/>
      <c r="P6" s="241"/>
      <c r="Q6" s="241"/>
    </row>
    <row r="7" spans="1:17">
      <c r="A7" s="268"/>
      <c r="B7" s="268"/>
      <c r="C7" s="268"/>
      <c r="D7" s="268"/>
      <c r="E7" s="268"/>
      <c r="F7" s="268"/>
      <c r="G7" s="268"/>
      <c r="H7" s="268"/>
      <c r="J7" s="241"/>
      <c r="K7" s="241"/>
      <c r="L7" s="241"/>
      <c r="M7" s="241"/>
      <c r="N7" s="241"/>
      <c r="O7" s="241"/>
      <c r="P7" s="241"/>
      <c r="Q7" s="241"/>
    </row>
    <row r="8" spans="1:17">
      <c r="A8" s="268"/>
      <c r="B8" s="268"/>
      <c r="C8" s="268"/>
      <c r="D8" s="268"/>
      <c r="E8" s="268"/>
      <c r="F8" s="268"/>
      <c r="G8" s="268"/>
      <c r="H8" s="268"/>
      <c r="J8" s="241"/>
      <c r="K8" s="241"/>
      <c r="L8" s="241"/>
      <c r="M8" s="241"/>
      <c r="N8" s="241"/>
      <c r="O8" s="241"/>
      <c r="P8" s="241"/>
      <c r="Q8" s="241"/>
    </row>
    <row r="9" spans="1:17">
      <c r="A9" s="268"/>
      <c r="B9" s="268"/>
      <c r="C9" s="268"/>
      <c r="D9" s="268"/>
      <c r="E9" s="268"/>
      <c r="F9" s="268"/>
      <c r="G9" s="268"/>
      <c r="H9" s="268"/>
      <c r="J9" s="241"/>
      <c r="K9" s="241"/>
      <c r="L9" s="241"/>
      <c r="M9" s="241"/>
      <c r="N9" s="241"/>
      <c r="O9" s="241"/>
      <c r="P9" s="241"/>
      <c r="Q9" s="241"/>
    </row>
    <row r="10" spans="1:17">
      <c r="A10" s="268"/>
      <c r="B10" s="268"/>
      <c r="C10" s="268"/>
      <c r="D10" s="268"/>
      <c r="E10" s="268"/>
      <c r="F10" s="268"/>
      <c r="G10" s="268"/>
      <c r="H10" s="268"/>
      <c r="J10" s="241"/>
      <c r="K10" s="241"/>
      <c r="L10" s="241"/>
      <c r="M10" s="241"/>
      <c r="N10" s="241"/>
      <c r="O10" s="241"/>
      <c r="P10" s="241"/>
      <c r="Q10" s="241"/>
    </row>
    <row r="11" spans="1:17">
      <c r="A11" s="268"/>
      <c r="B11" s="268"/>
      <c r="C11" s="268"/>
      <c r="D11" s="268"/>
      <c r="E11" s="268"/>
      <c r="F11" s="268"/>
      <c r="G11" s="268"/>
      <c r="H11" s="268"/>
      <c r="J11" s="241"/>
      <c r="K11" s="241"/>
      <c r="L11" s="241"/>
      <c r="M11" s="241"/>
      <c r="N11" s="241"/>
      <c r="O11" s="241"/>
      <c r="P11" s="241"/>
      <c r="Q11" s="241"/>
    </row>
    <row r="12" spans="1:17">
      <c r="A12" s="268"/>
      <c r="B12" s="268"/>
      <c r="C12" s="268"/>
      <c r="D12" s="268"/>
      <c r="E12" s="268"/>
      <c r="F12" s="268"/>
      <c r="G12" s="268"/>
      <c r="H12" s="268"/>
      <c r="J12" s="241"/>
      <c r="K12" s="241"/>
      <c r="L12" s="241"/>
      <c r="M12" s="241"/>
      <c r="N12" s="241"/>
      <c r="O12" s="241"/>
      <c r="P12" s="241"/>
      <c r="Q12" s="241"/>
    </row>
    <row r="13" spans="1:17">
      <c r="A13" s="268"/>
      <c r="B13" s="268"/>
      <c r="C13" s="268"/>
      <c r="D13" s="268"/>
      <c r="E13" s="268"/>
      <c r="F13" s="268"/>
      <c r="G13" s="268"/>
      <c r="H13" s="268"/>
      <c r="J13" s="241"/>
      <c r="K13" s="241"/>
      <c r="L13" s="241"/>
      <c r="M13" s="241"/>
      <c r="N13" s="241"/>
      <c r="O13" s="241"/>
      <c r="P13" s="241"/>
      <c r="Q13" s="241"/>
    </row>
    <row r="14" spans="1:17">
      <c r="A14" s="268"/>
      <c r="B14" s="268"/>
      <c r="C14" s="268"/>
      <c r="D14" s="268"/>
      <c r="E14" s="268"/>
      <c r="F14" s="268"/>
      <c r="G14" s="268"/>
      <c r="H14" s="268"/>
      <c r="J14" s="241"/>
      <c r="K14" s="241"/>
      <c r="L14" s="241"/>
      <c r="M14" s="241"/>
      <c r="N14" s="241"/>
      <c r="O14" s="241"/>
      <c r="P14" s="241"/>
      <c r="Q14" s="241"/>
    </row>
    <row r="15" spans="1:17">
      <c r="A15" s="268"/>
      <c r="B15" s="268"/>
      <c r="C15" s="268"/>
      <c r="D15" s="268"/>
      <c r="E15" s="268"/>
      <c r="F15" s="268"/>
      <c r="G15" s="268"/>
      <c r="H15" s="268"/>
      <c r="J15" s="241"/>
      <c r="K15" s="241"/>
      <c r="L15" s="241"/>
      <c r="M15" s="241"/>
      <c r="N15" s="241"/>
      <c r="O15" s="241"/>
      <c r="P15" s="241"/>
      <c r="Q15" s="241"/>
    </row>
    <row r="16" spans="1:17">
      <c r="A16" s="268"/>
      <c r="B16" s="268"/>
      <c r="C16" s="268"/>
      <c r="D16" s="268"/>
      <c r="E16" s="268"/>
      <c r="F16" s="268"/>
      <c r="G16" s="268"/>
      <c r="H16" s="268"/>
      <c r="J16" s="241"/>
      <c r="K16" s="241"/>
      <c r="L16" s="241"/>
      <c r="M16" s="241"/>
      <c r="N16" s="241"/>
      <c r="O16" s="241"/>
      <c r="P16" s="241"/>
      <c r="Q16" s="241"/>
    </row>
    <row r="17" spans="1:17">
      <c r="A17" s="268"/>
      <c r="B17" s="268"/>
      <c r="C17" s="268"/>
      <c r="D17" s="268"/>
      <c r="E17" s="268"/>
      <c r="F17" s="268"/>
      <c r="G17" s="268"/>
      <c r="H17" s="268"/>
      <c r="J17" s="241"/>
      <c r="K17" s="241"/>
      <c r="L17" s="241"/>
      <c r="M17" s="241"/>
      <c r="N17" s="241"/>
      <c r="O17" s="241"/>
      <c r="P17" s="241"/>
      <c r="Q17" s="241"/>
    </row>
    <row r="18" spans="1:17">
      <c r="A18" s="268"/>
      <c r="B18" s="268"/>
      <c r="C18" s="268"/>
      <c r="D18" s="268"/>
      <c r="E18" s="268"/>
      <c r="F18" s="268"/>
      <c r="G18" s="268"/>
      <c r="H18" s="268"/>
      <c r="J18" s="241"/>
      <c r="K18" s="241"/>
      <c r="L18" s="241"/>
      <c r="M18" s="241"/>
      <c r="N18" s="241"/>
      <c r="O18" s="241"/>
      <c r="P18" s="241"/>
      <c r="Q18" s="241"/>
    </row>
    <row r="19" spans="1:17">
      <c r="A19" s="268"/>
      <c r="B19" s="268"/>
      <c r="C19" s="268"/>
      <c r="D19" s="268"/>
      <c r="E19" s="268"/>
      <c r="F19" s="268"/>
      <c r="G19" s="268"/>
      <c r="H19" s="268"/>
      <c r="J19" s="241"/>
      <c r="K19" s="241"/>
      <c r="L19" s="241"/>
      <c r="M19" s="241"/>
      <c r="N19" s="241"/>
      <c r="O19" s="241"/>
      <c r="P19" s="241"/>
      <c r="Q19" s="241"/>
    </row>
    <row r="20" spans="1:17">
      <c r="A20" s="268"/>
      <c r="B20" s="268"/>
      <c r="C20" s="268"/>
      <c r="D20" s="268"/>
      <c r="E20" s="268"/>
      <c r="F20" s="268"/>
      <c r="G20" s="268"/>
      <c r="H20" s="268"/>
      <c r="J20" s="241"/>
      <c r="K20" s="241"/>
      <c r="L20" s="241"/>
      <c r="M20" s="241"/>
      <c r="N20" s="241"/>
      <c r="O20" s="241"/>
      <c r="P20" s="241"/>
      <c r="Q20" s="241"/>
    </row>
    <row r="21" spans="1:17">
      <c r="A21" s="268"/>
      <c r="B21" s="268"/>
      <c r="C21" s="268"/>
      <c r="D21" s="268"/>
      <c r="E21" s="268"/>
      <c r="F21" s="268"/>
      <c r="G21" s="268"/>
      <c r="H21" s="268"/>
      <c r="J21" s="241"/>
      <c r="K21" s="241"/>
      <c r="L21" s="241"/>
      <c r="M21" s="241"/>
      <c r="N21" s="241"/>
      <c r="O21" s="241"/>
      <c r="P21" s="241"/>
      <c r="Q21" s="241"/>
    </row>
    <row r="22" spans="1:17">
      <c r="A22" s="268"/>
      <c r="B22" s="268"/>
      <c r="C22" s="268"/>
      <c r="D22" s="268"/>
      <c r="E22" s="268"/>
      <c r="F22" s="268"/>
      <c r="G22" s="268"/>
      <c r="H22" s="268"/>
      <c r="J22" s="241"/>
      <c r="K22" s="241"/>
      <c r="L22" s="241"/>
      <c r="M22" s="241"/>
      <c r="N22" s="241"/>
      <c r="O22" s="241"/>
      <c r="P22" s="241"/>
      <c r="Q22" s="241"/>
    </row>
    <row r="23" spans="1:17">
      <c r="A23" s="268"/>
      <c r="B23" s="268"/>
      <c r="C23" s="268"/>
      <c r="D23" s="268"/>
      <c r="E23" s="268"/>
      <c r="F23" s="268"/>
      <c r="G23" s="268"/>
      <c r="H23" s="268"/>
      <c r="J23" s="241"/>
      <c r="K23" s="241"/>
      <c r="L23" s="241"/>
      <c r="M23" s="241"/>
      <c r="N23" s="241"/>
      <c r="O23" s="241"/>
      <c r="P23" s="241"/>
      <c r="Q23" s="241"/>
    </row>
  </sheetData>
  <mergeCells count="6">
    <mergeCell ref="A4:H23"/>
    <mergeCell ref="J4:Q23"/>
    <mergeCell ref="A2:E3"/>
    <mergeCell ref="J2:N3"/>
    <mergeCell ref="F2:H3"/>
    <mergeCell ref="O2:Q3"/>
  </mergeCells>
  <hyperlinks>
    <hyperlink ref="A2:E3" r:id="rId1" display="Air Quality Monitor from OEM dashboard" xr:uid="{670D6A5A-BF32-4E81-B858-9C062541948E}"/>
    <hyperlink ref="J4:Q23" r:id="rId2" display="https://wfca.com/fire-map?lng=-120.5834&amp;lat=44.1849&amp;zoom=6.35" xr:uid="{092D5A3D-6361-476E-B914-5AB4E9CEA4C9}"/>
  </hyperlinks>
  <pageMargins left="0.7" right="0.7" top="0.75" bottom="0.75" header="0.3" footer="0.3"/>
  <pageSetup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A8E2-10FA-4CF4-8CD1-F0E8DF5511A2}">
  <sheetPr codeName="Sheet1">
    <tabColor rgb="FFFF6600"/>
  </sheetPr>
  <dimension ref="A1:AB257"/>
  <sheetViews>
    <sheetView topLeftCell="A125" zoomScaleNormal="100" workbookViewId="0">
      <selection activeCell="B141" sqref="B141"/>
    </sheetView>
  </sheetViews>
  <sheetFormatPr baseColWidth="10" defaultColWidth="8.83203125" defaultRowHeight="15"/>
  <cols>
    <col min="1" max="1" width="12.1640625" style="116" bestFit="1" customWidth="1"/>
    <col min="2" max="2" width="35.6640625" bestFit="1" customWidth="1"/>
    <col min="3" max="3" width="11.83203125" style="12" bestFit="1" customWidth="1"/>
    <col min="4" max="4" width="12.6640625" style="12" bestFit="1" customWidth="1"/>
  </cols>
  <sheetData>
    <row r="1" spans="1:28">
      <c r="A1" s="322" t="s">
        <v>317</v>
      </c>
      <c r="B1" s="39">
        <v>2026</v>
      </c>
    </row>
    <row r="2" spans="1:28" ht="24">
      <c r="A2" s="13">
        <f>B1</f>
        <v>2026</v>
      </c>
      <c r="B2" s="13" t="s">
        <v>572</v>
      </c>
      <c r="C2" s="77"/>
    </row>
    <row r="3" spans="1:28">
      <c r="A3" s="31" t="s">
        <v>569</v>
      </c>
      <c r="B3" t="s">
        <v>570</v>
      </c>
      <c r="C3"/>
      <c r="D3"/>
      <c r="AA3" t="str">
        <f>CONCATENATE(AA4,AB4)</f>
        <v>2026 Wildfire Season - Acres burned and Active Fires, by Date</v>
      </c>
    </row>
    <row r="4" spans="1:28">
      <c r="A4" s="39" t="s">
        <v>879</v>
      </c>
      <c r="B4" s="293"/>
      <c r="C4"/>
      <c r="D4"/>
      <c r="AA4" s="113">
        <f>B1</f>
        <v>2026</v>
      </c>
      <c r="AB4" t="s">
        <v>816</v>
      </c>
    </row>
    <row r="5" spans="1:28">
      <c r="A5" s="175">
        <v>46023</v>
      </c>
      <c r="B5" s="293">
        <v>1</v>
      </c>
      <c r="C5"/>
      <c r="D5"/>
    </row>
    <row r="6" spans="1:28">
      <c r="A6" s="175">
        <v>46024</v>
      </c>
      <c r="B6" s="293">
        <v>1</v>
      </c>
      <c r="C6"/>
      <c r="D6"/>
    </row>
    <row r="7" spans="1:28">
      <c r="A7" s="175">
        <v>46027</v>
      </c>
      <c r="B7" s="293">
        <v>15</v>
      </c>
      <c r="C7"/>
      <c r="D7"/>
    </row>
    <row r="8" spans="1:28">
      <c r="A8" s="175">
        <v>46028</v>
      </c>
      <c r="B8" s="293">
        <v>10</v>
      </c>
      <c r="C8"/>
      <c r="D8"/>
    </row>
    <row r="9" spans="1:28">
      <c r="A9" s="175">
        <v>46029</v>
      </c>
      <c r="B9" s="293">
        <v>19</v>
      </c>
      <c r="C9"/>
      <c r="D9"/>
    </row>
    <row r="10" spans="1:28">
      <c r="A10" s="175">
        <v>46030</v>
      </c>
      <c r="B10" s="293">
        <v>23</v>
      </c>
      <c r="C10"/>
      <c r="D10"/>
    </row>
    <row r="11" spans="1:28">
      <c r="A11" s="175">
        <v>46031</v>
      </c>
      <c r="B11" s="293">
        <v>19</v>
      </c>
      <c r="C11"/>
      <c r="D11"/>
    </row>
    <row r="12" spans="1:28">
      <c r="A12" s="175">
        <v>46034</v>
      </c>
      <c r="B12" s="293">
        <v>3</v>
      </c>
      <c r="C12"/>
      <c r="D12"/>
    </row>
    <row r="13" spans="1:28">
      <c r="A13" s="175">
        <v>46036</v>
      </c>
      <c r="B13" s="293">
        <v>11</v>
      </c>
      <c r="C13"/>
      <c r="D13"/>
    </row>
    <row r="14" spans="1:28">
      <c r="A14" s="175">
        <v>46037</v>
      </c>
      <c r="B14" s="293">
        <v>13</v>
      </c>
      <c r="C14"/>
      <c r="D14"/>
    </row>
    <row r="15" spans="1:28">
      <c r="A15" s="175">
        <v>46038</v>
      </c>
      <c r="B15" s="293">
        <v>19</v>
      </c>
      <c r="C15"/>
      <c r="D15"/>
    </row>
    <row r="16" spans="1:28">
      <c r="A16" s="175">
        <v>46042</v>
      </c>
      <c r="B16" s="293">
        <v>4</v>
      </c>
      <c r="C16"/>
      <c r="D16"/>
    </row>
    <row r="17" spans="1:2" customFormat="1">
      <c r="A17" s="175">
        <v>46043</v>
      </c>
      <c r="B17" s="293">
        <v>8</v>
      </c>
    </row>
    <row r="18" spans="1:2" customFormat="1">
      <c r="A18" s="175">
        <v>46044</v>
      </c>
      <c r="B18" s="293">
        <v>10</v>
      </c>
    </row>
    <row r="19" spans="1:2" customFormat="1">
      <c r="A19" s="175">
        <v>46048</v>
      </c>
      <c r="B19" s="293">
        <v>5</v>
      </c>
    </row>
    <row r="20" spans="1:2" customFormat="1">
      <c r="A20" s="175">
        <v>46049</v>
      </c>
      <c r="B20" s="293">
        <v>9</v>
      </c>
    </row>
    <row r="21" spans="1:2" customFormat="1">
      <c r="A21" s="175">
        <v>46050</v>
      </c>
      <c r="B21" s="293">
        <v>15</v>
      </c>
    </row>
    <row r="22" spans="1:2" customFormat="1">
      <c r="A22" s="175">
        <v>46051</v>
      </c>
      <c r="B22" s="293">
        <v>17</v>
      </c>
    </row>
    <row r="23" spans="1:2" customFormat="1">
      <c r="A23" s="175">
        <v>46052</v>
      </c>
      <c r="B23" s="293">
        <v>12</v>
      </c>
    </row>
    <row r="24" spans="1:2" customFormat="1">
      <c r="A24" s="175">
        <v>46055</v>
      </c>
      <c r="B24" s="293">
        <v>6</v>
      </c>
    </row>
    <row r="25" spans="1:2" customFormat="1">
      <c r="A25" s="175">
        <v>46056</v>
      </c>
      <c r="B25" s="293">
        <v>9</v>
      </c>
    </row>
    <row r="26" spans="1:2" customFormat="1">
      <c r="A26" s="175">
        <v>46057</v>
      </c>
      <c r="B26" s="293">
        <v>10</v>
      </c>
    </row>
    <row r="27" spans="1:2" customFormat="1">
      <c r="A27" s="175">
        <v>46058</v>
      </c>
      <c r="B27" s="293">
        <v>12</v>
      </c>
    </row>
    <row r="28" spans="1:2" customFormat="1">
      <c r="A28" s="175">
        <v>46059</v>
      </c>
      <c r="B28" s="293">
        <v>9</v>
      </c>
    </row>
    <row r="29" spans="1:2" customFormat="1">
      <c r="A29" s="175">
        <v>46062</v>
      </c>
      <c r="B29" s="293">
        <v>6</v>
      </c>
    </row>
    <row r="30" spans="1:2" customFormat="1">
      <c r="A30" s="175">
        <v>46063</v>
      </c>
      <c r="B30" s="293">
        <v>10</v>
      </c>
    </row>
    <row r="31" spans="1:2" customFormat="1">
      <c r="A31" s="175">
        <v>46064</v>
      </c>
      <c r="B31" s="293">
        <v>10</v>
      </c>
    </row>
    <row r="32" spans="1:2" customFormat="1">
      <c r="A32" s="175">
        <v>46065</v>
      </c>
      <c r="B32" s="293">
        <v>8</v>
      </c>
    </row>
    <row r="33" spans="1:2" customFormat="1">
      <c r="A33" s="175">
        <v>46066</v>
      </c>
      <c r="B33" s="293">
        <v>3</v>
      </c>
    </row>
    <row r="34" spans="1:2" customFormat="1">
      <c r="A34" s="175">
        <v>46070</v>
      </c>
      <c r="B34" s="293">
        <v>4</v>
      </c>
    </row>
    <row r="35" spans="1:2" customFormat="1">
      <c r="A35" s="175">
        <v>46071</v>
      </c>
      <c r="B35" s="293">
        <v>9</v>
      </c>
    </row>
    <row r="36" spans="1:2" customFormat="1">
      <c r="A36" s="175">
        <v>46072</v>
      </c>
      <c r="B36" s="293">
        <v>11</v>
      </c>
    </row>
    <row r="37" spans="1:2" customFormat="1">
      <c r="A37" s="175">
        <v>46073</v>
      </c>
      <c r="B37" s="293">
        <v>9</v>
      </c>
    </row>
    <row r="38" spans="1:2" customFormat="1">
      <c r="A38" s="175">
        <v>46076</v>
      </c>
      <c r="B38" s="293">
        <v>2</v>
      </c>
    </row>
    <row r="39" spans="1:2" customFormat="1">
      <c r="A39" s="175">
        <v>46077</v>
      </c>
      <c r="B39" s="293">
        <v>5</v>
      </c>
    </row>
    <row r="40" spans="1:2" customFormat="1">
      <c r="A40" s="175">
        <v>46078</v>
      </c>
      <c r="B40" s="293">
        <v>3</v>
      </c>
    </row>
    <row r="41" spans="1:2" customFormat="1">
      <c r="A41" s="175">
        <v>46079</v>
      </c>
      <c r="B41" s="293">
        <v>4</v>
      </c>
    </row>
    <row r="42" spans="1:2" customFormat="1">
      <c r="A42" s="175">
        <v>46080</v>
      </c>
      <c r="B42" s="293">
        <v>3</v>
      </c>
    </row>
    <row r="43" spans="1:2" customFormat="1">
      <c r="A43" s="175">
        <v>46114</v>
      </c>
      <c r="B43" s="293">
        <v>9</v>
      </c>
    </row>
    <row r="44" spans="1:2" customFormat="1">
      <c r="A44" s="175">
        <v>46083</v>
      </c>
      <c r="B44" s="293">
        <v>1</v>
      </c>
    </row>
    <row r="45" spans="1:2" customFormat="1">
      <c r="A45" s="175">
        <v>46084</v>
      </c>
      <c r="B45" s="293">
        <v>2</v>
      </c>
    </row>
    <row r="46" spans="1:2" customFormat="1">
      <c r="A46" s="175">
        <v>46085</v>
      </c>
      <c r="B46" s="293">
        <v>3</v>
      </c>
    </row>
    <row r="47" spans="1:2" customFormat="1">
      <c r="A47" s="175">
        <v>46086</v>
      </c>
      <c r="B47" s="293">
        <v>4</v>
      </c>
    </row>
    <row r="48" spans="1:2" customFormat="1">
      <c r="A48" s="175">
        <v>46087</v>
      </c>
      <c r="B48" s="293">
        <v>4</v>
      </c>
    </row>
    <row r="49" spans="1:2" customFormat="1">
      <c r="A49" s="175">
        <v>46090</v>
      </c>
      <c r="B49" s="293">
        <v>1</v>
      </c>
    </row>
    <row r="50" spans="1:2" customFormat="1">
      <c r="A50" s="175">
        <v>46091</v>
      </c>
      <c r="B50" s="293">
        <v>1</v>
      </c>
    </row>
    <row r="51" spans="1:2" customFormat="1">
      <c r="A51" s="175">
        <v>46092</v>
      </c>
      <c r="B51" s="293">
        <v>1</v>
      </c>
    </row>
    <row r="52" spans="1:2" customFormat="1">
      <c r="A52" s="175">
        <v>46093</v>
      </c>
      <c r="B52" s="293">
        <v>2</v>
      </c>
    </row>
    <row r="53" spans="1:2" customFormat="1">
      <c r="A53" s="175">
        <v>46094</v>
      </c>
      <c r="B53" s="293">
        <v>1</v>
      </c>
    </row>
    <row r="54" spans="1:2" customFormat="1">
      <c r="A54" s="175">
        <v>46097</v>
      </c>
      <c r="B54" s="293">
        <v>0</v>
      </c>
    </row>
    <row r="55" spans="1:2" customFormat="1">
      <c r="A55" s="175">
        <v>46098</v>
      </c>
      <c r="B55" s="293">
        <v>6</v>
      </c>
    </row>
    <row r="56" spans="1:2" customFormat="1">
      <c r="A56" s="175">
        <v>46099</v>
      </c>
      <c r="B56" s="293">
        <v>9</v>
      </c>
    </row>
    <row r="57" spans="1:2" customFormat="1">
      <c r="A57" s="175">
        <v>46100</v>
      </c>
      <c r="B57" s="293">
        <v>11</v>
      </c>
    </row>
    <row r="58" spans="1:2" customFormat="1">
      <c r="A58" s="175">
        <v>46101</v>
      </c>
      <c r="B58" s="293">
        <v>14</v>
      </c>
    </row>
    <row r="59" spans="1:2" customFormat="1">
      <c r="A59" s="175">
        <v>46107</v>
      </c>
      <c r="B59" s="293">
        <v>13</v>
      </c>
    </row>
    <row r="60" spans="1:2" customFormat="1">
      <c r="A60" s="175">
        <v>46108</v>
      </c>
      <c r="B60" s="293">
        <v>13</v>
      </c>
    </row>
    <row r="61" spans="1:2" customFormat="1">
      <c r="A61" s="175">
        <v>46111</v>
      </c>
      <c r="B61" s="293">
        <v>8</v>
      </c>
    </row>
    <row r="62" spans="1:2" customFormat="1">
      <c r="A62" s="175">
        <v>46112</v>
      </c>
      <c r="B62" s="293">
        <v>8</v>
      </c>
    </row>
    <row r="63" spans="1:2" customFormat="1">
      <c r="A63" s="175">
        <v>46113</v>
      </c>
      <c r="B63" s="293">
        <v>9</v>
      </c>
    </row>
    <row r="64" spans="1:2" customFormat="1">
      <c r="A64" s="175">
        <v>46115</v>
      </c>
      <c r="B64" s="293">
        <v>6</v>
      </c>
    </row>
    <row r="65" spans="1:2" customFormat="1">
      <c r="A65" s="175">
        <v>46118</v>
      </c>
      <c r="B65" s="293">
        <v>3</v>
      </c>
    </row>
    <row r="66" spans="1:2" customFormat="1">
      <c r="A66" s="175">
        <v>46119</v>
      </c>
      <c r="B66" s="293">
        <v>8</v>
      </c>
    </row>
    <row r="67" spans="1:2" customFormat="1">
      <c r="A67" s="175">
        <v>46120</v>
      </c>
      <c r="B67" s="293">
        <v>12</v>
      </c>
    </row>
    <row r="68" spans="1:2" customFormat="1">
      <c r="A68" s="175">
        <v>46121</v>
      </c>
      <c r="B68" s="293">
        <v>17</v>
      </c>
    </row>
    <row r="69" spans="1:2" customFormat="1">
      <c r="A69" s="175">
        <v>46122</v>
      </c>
      <c r="B69" s="293">
        <v>15</v>
      </c>
    </row>
    <row r="70" spans="1:2" customFormat="1">
      <c r="A70" s="175">
        <v>46123</v>
      </c>
      <c r="B70" s="293">
        <v>15</v>
      </c>
    </row>
    <row r="71" spans="1:2" customFormat="1">
      <c r="A71" s="175">
        <v>46124</v>
      </c>
      <c r="B71" s="293">
        <v>13</v>
      </c>
    </row>
    <row r="72" spans="1:2" customFormat="1">
      <c r="A72" s="175">
        <v>46125</v>
      </c>
      <c r="B72" s="293">
        <v>10</v>
      </c>
    </row>
    <row r="73" spans="1:2" customFormat="1">
      <c r="A73" s="175">
        <v>46126</v>
      </c>
      <c r="B73" s="293">
        <v>10</v>
      </c>
    </row>
    <row r="74" spans="1:2" customFormat="1">
      <c r="A74" s="175">
        <v>46127</v>
      </c>
      <c r="B74" s="293">
        <v>15</v>
      </c>
    </row>
    <row r="75" spans="1:2" customFormat="1">
      <c r="A75" s="175">
        <v>46128</v>
      </c>
      <c r="B75" s="293">
        <v>15</v>
      </c>
    </row>
    <row r="76" spans="1:2" customFormat="1">
      <c r="A76" s="175">
        <v>46129</v>
      </c>
      <c r="B76" s="293">
        <v>16</v>
      </c>
    </row>
    <row r="77" spans="1:2" customFormat="1">
      <c r="A77" s="175">
        <v>46132</v>
      </c>
      <c r="B77" s="293">
        <v>4</v>
      </c>
    </row>
    <row r="78" spans="1:2" customFormat="1">
      <c r="A78" s="175">
        <v>46133</v>
      </c>
      <c r="B78" s="293">
        <v>7</v>
      </c>
    </row>
    <row r="79" spans="1:2" customFormat="1">
      <c r="A79" s="175">
        <v>46134</v>
      </c>
      <c r="B79" s="293">
        <v>7</v>
      </c>
    </row>
    <row r="80" spans="1:2" customFormat="1">
      <c r="A80" s="175">
        <v>46135</v>
      </c>
      <c r="B80" s="293">
        <v>8</v>
      </c>
    </row>
    <row r="81" spans="1:4">
      <c r="A81" s="175">
        <v>46136</v>
      </c>
      <c r="B81" s="293">
        <v>11</v>
      </c>
      <c r="C81"/>
      <c r="D81"/>
    </row>
    <row r="82" spans="1:4">
      <c r="A82" s="175">
        <v>46139</v>
      </c>
      <c r="B82" s="293">
        <v>5</v>
      </c>
      <c r="C82"/>
      <c r="D82"/>
    </row>
    <row r="83" spans="1:4">
      <c r="A83" s="175">
        <v>46140</v>
      </c>
      <c r="B83" s="293">
        <v>10</v>
      </c>
      <c r="C83"/>
      <c r="D83"/>
    </row>
    <row r="84" spans="1:4">
      <c r="A84" s="175">
        <v>46141</v>
      </c>
      <c r="B84" s="293">
        <v>15</v>
      </c>
      <c r="C84"/>
      <c r="D84"/>
    </row>
    <row r="85" spans="1:4">
      <c r="A85" s="175">
        <v>46142</v>
      </c>
      <c r="B85" s="293">
        <v>19</v>
      </c>
      <c r="C85"/>
      <c r="D85"/>
    </row>
    <row r="86" spans="1:4">
      <c r="A86" s="175">
        <v>46143</v>
      </c>
      <c r="B86" s="293">
        <v>18</v>
      </c>
      <c r="C86"/>
      <c r="D86"/>
    </row>
    <row r="87" spans="1:4">
      <c r="A87" s="175">
        <v>46146</v>
      </c>
      <c r="B87" s="293">
        <v>12</v>
      </c>
      <c r="C87"/>
    </row>
    <row r="88" spans="1:4">
      <c r="A88" s="175">
        <v>46147</v>
      </c>
      <c r="B88" s="293">
        <v>16</v>
      </c>
      <c r="C88"/>
    </row>
    <row r="89" spans="1:4">
      <c r="A89" s="175">
        <v>46148</v>
      </c>
      <c r="B89" s="293">
        <v>30</v>
      </c>
      <c r="C89"/>
    </row>
    <row r="90" spans="1:4">
      <c r="A90" s="175">
        <v>46149</v>
      </c>
      <c r="B90" s="293">
        <v>31</v>
      </c>
      <c r="C90"/>
    </row>
    <row r="91" spans="1:4">
      <c r="A91" s="175">
        <v>46150</v>
      </c>
      <c r="B91" s="293">
        <v>27</v>
      </c>
      <c r="C91"/>
    </row>
    <row r="92" spans="1:4">
      <c r="A92" s="175">
        <v>46153</v>
      </c>
      <c r="B92" s="293">
        <v>14</v>
      </c>
      <c r="C92"/>
    </row>
    <row r="93" spans="1:4">
      <c r="A93" s="175">
        <v>46154</v>
      </c>
      <c r="B93" s="293">
        <v>18</v>
      </c>
      <c r="C93"/>
    </row>
    <row r="94" spans="1:4">
      <c r="A94" s="175">
        <v>46155</v>
      </c>
      <c r="B94" s="293">
        <v>13</v>
      </c>
      <c r="C94"/>
    </row>
    <row r="95" spans="1:4">
      <c r="A95" s="175">
        <v>46156</v>
      </c>
      <c r="B95" s="293">
        <v>14</v>
      </c>
      <c r="C95"/>
    </row>
    <row r="96" spans="1:4">
      <c r="A96" s="175">
        <v>46157</v>
      </c>
      <c r="B96" s="293">
        <v>14</v>
      </c>
      <c r="C96"/>
    </row>
    <row r="97" spans="1:3">
      <c r="A97" s="175">
        <v>46160</v>
      </c>
      <c r="B97" s="293">
        <v>5</v>
      </c>
      <c r="C97"/>
    </row>
    <row r="98" spans="1:3">
      <c r="A98" s="175">
        <v>46162</v>
      </c>
      <c r="B98" s="293">
        <v>14</v>
      </c>
      <c r="C98"/>
    </row>
    <row r="99" spans="1:3">
      <c r="A99" s="175">
        <v>46163</v>
      </c>
      <c r="B99" s="293">
        <v>17</v>
      </c>
      <c r="C99"/>
    </row>
    <row r="100" spans="1:3">
      <c r="A100" s="175">
        <v>46164</v>
      </c>
      <c r="B100" s="293">
        <v>18</v>
      </c>
      <c r="C100"/>
    </row>
    <row r="101" spans="1:3">
      <c r="A101" s="175">
        <v>46167</v>
      </c>
      <c r="B101" s="293">
        <v>21</v>
      </c>
      <c r="C101"/>
    </row>
    <row r="102" spans="1:3">
      <c r="A102" s="175">
        <v>46168</v>
      </c>
      <c r="B102" s="293">
        <v>17</v>
      </c>
      <c r="C102"/>
    </row>
    <row r="103" spans="1:3">
      <c r="A103" s="175">
        <v>46169</v>
      </c>
      <c r="B103" s="293">
        <v>19</v>
      </c>
      <c r="C103"/>
    </row>
    <row r="104" spans="1:3">
      <c r="A104" s="175">
        <v>46170</v>
      </c>
      <c r="B104" s="293">
        <v>17</v>
      </c>
      <c r="C104"/>
    </row>
    <row r="105" spans="1:3">
      <c r="A105" s="175">
        <v>46171</v>
      </c>
      <c r="B105" s="293">
        <v>21</v>
      </c>
      <c r="C105"/>
    </row>
    <row r="106" spans="1:3">
      <c r="A106" s="175">
        <v>46174</v>
      </c>
      <c r="B106" s="293">
        <v>15</v>
      </c>
      <c r="C106"/>
    </row>
    <row r="107" spans="1:3">
      <c r="A107" s="175">
        <v>46175</v>
      </c>
      <c r="B107" s="293">
        <v>23</v>
      </c>
      <c r="C107"/>
    </row>
    <row r="108" spans="1:3">
      <c r="A108" s="175">
        <v>46176</v>
      </c>
      <c r="B108" s="293">
        <v>36</v>
      </c>
      <c r="C108"/>
    </row>
    <row r="109" spans="1:3">
      <c r="A109" s="175">
        <v>46177</v>
      </c>
      <c r="B109" s="293">
        <v>37</v>
      </c>
      <c r="C109"/>
    </row>
    <row r="110" spans="1:3">
      <c r="A110" s="175">
        <v>46178</v>
      </c>
      <c r="B110" s="293">
        <v>31</v>
      </c>
      <c r="C110"/>
    </row>
    <row r="111" spans="1:3">
      <c r="A111" s="175">
        <v>46181</v>
      </c>
      <c r="B111" s="293">
        <v>13</v>
      </c>
      <c r="C111"/>
    </row>
    <row r="112" spans="1:3">
      <c r="A112" s="175">
        <v>46182</v>
      </c>
      <c r="B112" s="293">
        <v>23</v>
      </c>
      <c r="C112"/>
    </row>
    <row r="113" spans="1:3">
      <c r="A113" s="175">
        <v>46183</v>
      </c>
      <c r="B113" s="293">
        <v>47</v>
      </c>
      <c r="C113"/>
    </row>
    <row r="114" spans="1:3">
      <c r="A114" s="175">
        <v>46184</v>
      </c>
      <c r="B114" s="293">
        <v>47</v>
      </c>
      <c r="C114"/>
    </row>
    <row r="115" spans="1:3">
      <c r="A115" s="175">
        <v>46185</v>
      </c>
      <c r="B115" s="293">
        <v>46</v>
      </c>
      <c r="C115"/>
    </row>
    <row r="116" spans="1:3">
      <c r="A116" s="175">
        <v>46188</v>
      </c>
      <c r="B116" s="293">
        <v>32</v>
      </c>
      <c r="C116"/>
    </row>
    <row r="117" spans="1:3">
      <c r="A117" s="175">
        <v>46189</v>
      </c>
      <c r="B117" s="293">
        <v>37</v>
      </c>
      <c r="C117"/>
    </row>
    <row r="118" spans="1:3">
      <c r="A118" s="175">
        <v>46190</v>
      </c>
      <c r="B118" s="293">
        <v>45</v>
      </c>
      <c r="C118"/>
    </row>
    <row r="119" spans="1:3">
      <c r="A119" s="175">
        <v>46191</v>
      </c>
      <c r="B119" s="293">
        <v>48</v>
      </c>
      <c r="C119"/>
    </row>
    <row r="120" spans="1:3">
      <c r="A120" s="175">
        <v>46192</v>
      </c>
      <c r="B120" s="293">
        <v>48</v>
      </c>
      <c r="C120"/>
    </row>
    <row r="121" spans="1:3">
      <c r="A121" s="175">
        <v>46193</v>
      </c>
      <c r="B121" s="293">
        <v>23</v>
      </c>
      <c r="C121"/>
    </row>
    <row r="122" spans="1:3">
      <c r="A122" s="175">
        <v>46194</v>
      </c>
      <c r="B122" s="293">
        <v>23</v>
      </c>
      <c r="C122"/>
    </row>
    <row r="123" spans="1:3">
      <c r="A123" s="175">
        <v>46195</v>
      </c>
      <c r="B123" s="293">
        <v>28</v>
      </c>
      <c r="C123"/>
    </row>
    <row r="124" spans="1:3">
      <c r="A124" s="175">
        <v>46196</v>
      </c>
      <c r="B124" s="293">
        <v>30</v>
      </c>
      <c r="C124"/>
    </row>
    <row r="125" spans="1:3">
      <c r="A125" s="175">
        <v>46197</v>
      </c>
      <c r="B125" s="293">
        <v>40</v>
      </c>
      <c r="C125"/>
    </row>
    <row r="126" spans="1:3">
      <c r="A126" s="175">
        <v>46198</v>
      </c>
      <c r="B126" s="293">
        <v>37</v>
      </c>
      <c r="C126"/>
    </row>
    <row r="127" spans="1:3">
      <c r="A127" s="175">
        <v>46199</v>
      </c>
      <c r="B127" s="293">
        <v>34</v>
      </c>
      <c r="C127"/>
    </row>
    <row r="128" spans="1:3">
      <c r="A128" s="175">
        <v>46200</v>
      </c>
      <c r="B128" s="293">
        <v>36</v>
      </c>
      <c r="C128"/>
    </row>
    <row r="129" spans="1:3">
      <c r="A129" s="175">
        <v>46201</v>
      </c>
      <c r="B129" s="293">
        <v>36</v>
      </c>
      <c r="C129"/>
    </row>
    <row r="130" spans="1:3">
      <c r="A130" s="175">
        <v>46202</v>
      </c>
      <c r="B130" s="293">
        <v>27</v>
      </c>
      <c r="C130"/>
    </row>
    <row r="131" spans="1:3">
      <c r="A131" s="175">
        <v>46203</v>
      </c>
      <c r="B131" s="293">
        <v>15</v>
      </c>
      <c r="C131"/>
    </row>
    <row r="132" spans="1:3">
      <c r="A132" s="175">
        <v>46204</v>
      </c>
      <c r="B132" s="293">
        <v>22</v>
      </c>
      <c r="C132"/>
    </row>
    <row r="133" spans="1:3">
      <c r="A133" s="175">
        <v>46205</v>
      </c>
      <c r="B133" s="293">
        <v>22</v>
      </c>
      <c r="C133"/>
    </row>
    <row r="134" spans="1:3">
      <c r="A134" s="175">
        <v>46206</v>
      </c>
      <c r="B134" s="293">
        <v>32</v>
      </c>
      <c r="C134"/>
    </row>
    <row r="135" spans="1:3">
      <c r="A135" s="175">
        <v>46207</v>
      </c>
      <c r="B135" s="293">
        <v>29</v>
      </c>
      <c r="C135"/>
    </row>
    <row r="136" spans="1:3">
      <c r="A136" s="175">
        <v>46208</v>
      </c>
      <c r="B136" s="293">
        <v>42</v>
      </c>
      <c r="C136"/>
    </row>
    <row r="137" spans="1:3">
      <c r="A137" s="175">
        <v>46209</v>
      </c>
      <c r="B137" s="293">
        <v>43</v>
      </c>
      <c r="C137"/>
    </row>
    <row r="138" spans="1:3">
      <c r="A138" s="175">
        <v>46210</v>
      </c>
      <c r="B138" s="293">
        <v>55</v>
      </c>
      <c r="C138"/>
    </row>
    <row r="139" spans="1:3">
      <c r="A139" s="175">
        <v>46211</v>
      </c>
      <c r="B139" s="293">
        <v>59</v>
      </c>
      <c r="C139"/>
    </row>
    <row r="140" spans="1:3">
      <c r="A140" s="175">
        <v>46212</v>
      </c>
      <c r="B140" s="293">
        <v>69</v>
      </c>
      <c r="C140"/>
    </row>
    <row r="141" spans="1:3">
      <c r="A141" s="175">
        <v>46216</v>
      </c>
      <c r="B141" s="293">
        <v>42</v>
      </c>
      <c r="C141"/>
    </row>
    <row r="142" spans="1:3">
      <c r="A142" s="175">
        <v>46217</v>
      </c>
      <c r="B142" s="293">
        <v>45</v>
      </c>
      <c r="C142"/>
    </row>
    <row r="143" spans="1:3">
      <c r="A143" s="175">
        <v>46218</v>
      </c>
      <c r="B143" s="293">
        <v>49</v>
      </c>
      <c r="C143"/>
    </row>
    <row r="144" spans="1:3">
      <c r="A144" s="175">
        <v>46219</v>
      </c>
      <c r="B144" s="293">
        <v>95</v>
      </c>
      <c r="C144"/>
    </row>
    <row r="145" spans="1:3">
      <c r="A145" s="175">
        <v>46220</v>
      </c>
      <c r="B145" s="293">
        <v>139</v>
      </c>
      <c r="C145"/>
    </row>
    <row r="146" spans="1:3">
      <c r="A146" s="175">
        <v>46221</v>
      </c>
      <c r="B146" s="293">
        <v>121</v>
      </c>
      <c r="C146"/>
    </row>
    <row r="147" spans="1:3">
      <c r="A147" s="175">
        <v>46222</v>
      </c>
      <c r="B147" s="293">
        <v>101</v>
      </c>
      <c r="C147"/>
    </row>
    <row r="148" spans="1:3">
      <c r="A148" s="175">
        <v>46223</v>
      </c>
      <c r="B148" s="293">
        <v>89</v>
      </c>
      <c r="C148"/>
    </row>
    <row r="149" spans="1:3">
      <c r="A149" s="175">
        <v>46224</v>
      </c>
      <c r="B149" s="293">
        <v>72</v>
      </c>
      <c r="C149"/>
    </row>
    <row r="150" spans="1:3">
      <c r="A150" s="175">
        <v>46225</v>
      </c>
      <c r="B150" s="293">
        <v>77</v>
      </c>
      <c r="C150"/>
    </row>
    <row r="151" spans="1:3">
      <c r="A151" s="175">
        <v>46226</v>
      </c>
      <c r="B151" s="293">
        <v>101</v>
      </c>
      <c r="C151"/>
    </row>
    <row r="152" spans="1:3">
      <c r="A152" s="175">
        <v>46227</v>
      </c>
      <c r="B152" s="293">
        <v>144</v>
      </c>
      <c r="C152"/>
    </row>
    <row r="153" spans="1:3">
      <c r="A153" s="175">
        <v>46230</v>
      </c>
      <c r="B153" s="293">
        <v>92</v>
      </c>
      <c r="C153"/>
    </row>
    <row r="154" spans="1:3">
      <c r="A154"/>
      <c r="C154"/>
    </row>
    <row r="155" spans="1:3">
      <c r="A155"/>
      <c r="C155"/>
    </row>
    <row r="156" spans="1:3">
      <c r="A156"/>
      <c r="C156"/>
    </row>
    <row r="157" spans="1:3">
      <c r="A157"/>
      <c r="C157"/>
    </row>
    <row r="158" spans="1:3">
      <c r="A158"/>
      <c r="C158"/>
    </row>
    <row r="159" spans="1:3">
      <c r="A159"/>
      <c r="C159"/>
    </row>
    <row r="160" spans="1:3">
      <c r="A160"/>
      <c r="C160"/>
    </row>
    <row r="161" spans="1:3">
      <c r="A161"/>
      <c r="C161"/>
    </row>
    <row r="162" spans="1:3">
      <c r="A162"/>
      <c r="C162"/>
    </row>
    <row r="163" spans="1:3">
      <c r="A163"/>
      <c r="C163"/>
    </row>
    <row r="164" spans="1:3">
      <c r="A164"/>
      <c r="C164"/>
    </row>
    <row r="165" spans="1:3">
      <c r="A165"/>
      <c r="C165"/>
    </row>
    <row r="166" spans="1:3">
      <c r="A166"/>
      <c r="C166"/>
    </row>
    <row r="167" spans="1:3">
      <c r="A167"/>
      <c r="C167"/>
    </row>
    <row r="168" spans="1:3">
      <c r="A168"/>
      <c r="C168"/>
    </row>
    <row r="169" spans="1:3">
      <c r="A169"/>
      <c r="C169"/>
    </row>
    <row r="170" spans="1:3">
      <c r="A170"/>
      <c r="C170"/>
    </row>
    <row r="171" spans="1:3">
      <c r="A171"/>
      <c r="C171"/>
    </row>
    <row r="172" spans="1:3">
      <c r="A172"/>
      <c r="C172"/>
    </row>
    <row r="173" spans="1:3">
      <c r="A173"/>
      <c r="C173"/>
    </row>
    <row r="174" spans="1:3">
      <c r="A174"/>
      <c r="C174"/>
    </row>
    <row r="175" spans="1:3">
      <c r="A175"/>
      <c r="C175"/>
    </row>
    <row r="176" spans="1:3">
      <c r="A176"/>
      <c r="C176"/>
    </row>
    <row r="177" spans="1:3">
      <c r="A177"/>
      <c r="C177"/>
    </row>
    <row r="178" spans="1:3">
      <c r="A178"/>
      <c r="C178"/>
    </row>
    <row r="179" spans="1:3">
      <c r="A179"/>
      <c r="C179"/>
    </row>
    <row r="180" spans="1:3">
      <c r="A180"/>
      <c r="C180"/>
    </row>
    <row r="181" spans="1:3">
      <c r="A181"/>
      <c r="C181"/>
    </row>
    <row r="182" spans="1:3">
      <c r="A182"/>
      <c r="C182"/>
    </row>
    <row r="183" spans="1:3">
      <c r="A183"/>
      <c r="C183"/>
    </row>
    <row r="184" spans="1:3">
      <c r="A184"/>
      <c r="C184"/>
    </row>
    <row r="185" spans="1:3">
      <c r="A185"/>
      <c r="C185"/>
    </row>
    <row r="186" spans="1:3">
      <c r="A186"/>
      <c r="C186"/>
    </row>
    <row r="187" spans="1:3">
      <c r="A187"/>
      <c r="C187"/>
    </row>
    <row r="188" spans="1:3">
      <c r="A188"/>
      <c r="C188"/>
    </row>
    <row r="189" spans="1:3">
      <c r="A189"/>
      <c r="C189"/>
    </row>
    <row r="190" spans="1:3">
      <c r="A190"/>
      <c r="C190"/>
    </row>
    <row r="191" spans="1:3">
      <c r="A191"/>
      <c r="C191"/>
    </row>
    <row r="192" spans="1:3">
      <c r="A192"/>
      <c r="C192"/>
    </row>
    <row r="193" spans="1:3">
      <c r="A193"/>
      <c r="C193"/>
    </row>
    <row r="194" spans="1:3">
      <c r="A194"/>
      <c r="C194"/>
    </row>
    <row r="195" spans="1:3">
      <c r="A195"/>
      <c r="C195"/>
    </row>
    <row r="196" spans="1:3">
      <c r="A196"/>
      <c r="C196"/>
    </row>
    <row r="197" spans="1:3">
      <c r="A197"/>
      <c r="C197"/>
    </row>
    <row r="198" spans="1:3">
      <c r="A198"/>
      <c r="C198"/>
    </row>
    <row r="199" spans="1:3">
      <c r="A199"/>
      <c r="C199"/>
    </row>
    <row r="200" spans="1:3">
      <c r="A200"/>
      <c r="C200"/>
    </row>
    <row r="201" spans="1:3">
      <c r="A201"/>
      <c r="C201"/>
    </row>
    <row r="202" spans="1:3">
      <c r="A202"/>
      <c r="C202"/>
    </row>
    <row r="203" spans="1:3">
      <c r="A203"/>
      <c r="C203"/>
    </row>
    <row r="204" spans="1:3">
      <c r="A204"/>
      <c r="C204"/>
    </row>
    <row r="205" spans="1:3">
      <c r="A205"/>
      <c r="C205"/>
    </row>
    <row r="206" spans="1:3">
      <c r="A206"/>
      <c r="C206"/>
    </row>
    <row r="207" spans="1:3">
      <c r="A207"/>
      <c r="C207"/>
    </row>
    <row r="208" spans="1:3">
      <c r="A208"/>
      <c r="C208"/>
    </row>
    <row r="209" spans="1:3">
      <c r="A209"/>
      <c r="C209"/>
    </row>
    <row r="210" spans="1:3">
      <c r="A210"/>
      <c r="C210"/>
    </row>
    <row r="211" spans="1:3">
      <c r="A211"/>
      <c r="C211"/>
    </row>
    <row r="212" spans="1:3">
      <c r="A212"/>
      <c r="C212"/>
    </row>
    <row r="213" spans="1:3">
      <c r="A213"/>
      <c r="C213"/>
    </row>
    <row r="214" spans="1:3">
      <c r="A214"/>
      <c r="C214"/>
    </row>
    <row r="215" spans="1:3">
      <c r="A215"/>
      <c r="C215"/>
    </row>
    <row r="216" spans="1:3">
      <c r="A216"/>
      <c r="C216"/>
    </row>
    <row r="217" spans="1:3">
      <c r="A217"/>
      <c r="C217"/>
    </row>
    <row r="218" spans="1:3">
      <c r="A218"/>
      <c r="C218"/>
    </row>
    <row r="219" spans="1:3">
      <c r="A219"/>
      <c r="C219"/>
    </row>
    <row r="220" spans="1:3">
      <c r="A220"/>
      <c r="C220"/>
    </row>
    <row r="221" spans="1:3">
      <c r="A221"/>
      <c r="C221"/>
    </row>
    <row r="222" spans="1:3">
      <c r="A222"/>
      <c r="C222"/>
    </row>
    <row r="223" spans="1:3">
      <c r="A223"/>
      <c r="C223"/>
    </row>
    <row r="224" spans="1:3">
      <c r="A224"/>
      <c r="C224"/>
    </row>
    <row r="225" spans="1:3">
      <c r="A225"/>
      <c r="C225"/>
    </row>
    <row r="226" spans="1:3">
      <c r="A226"/>
      <c r="C226"/>
    </row>
    <row r="227" spans="1:3">
      <c r="A227"/>
      <c r="C227"/>
    </row>
    <row r="228" spans="1:3">
      <c r="A228"/>
      <c r="C228"/>
    </row>
    <row r="229" spans="1:3">
      <c r="A229"/>
      <c r="C229"/>
    </row>
    <row r="230" spans="1:3">
      <c r="A230"/>
      <c r="C230"/>
    </row>
    <row r="231" spans="1:3">
      <c r="A231"/>
      <c r="C231"/>
    </row>
    <row r="232" spans="1:3">
      <c r="A232"/>
      <c r="C232"/>
    </row>
    <row r="233" spans="1:3">
      <c r="A233"/>
      <c r="C233"/>
    </row>
    <row r="234" spans="1:3">
      <c r="A234"/>
      <c r="C234"/>
    </row>
    <row r="235" spans="1:3">
      <c r="A235"/>
      <c r="C235"/>
    </row>
    <row r="236" spans="1:3">
      <c r="A236"/>
      <c r="C236"/>
    </row>
    <row r="237" spans="1:3">
      <c r="A237"/>
      <c r="C237"/>
    </row>
    <row r="238" spans="1:3">
      <c r="A238"/>
      <c r="C238"/>
    </row>
    <row r="239" spans="1:3">
      <c r="A239"/>
      <c r="C239"/>
    </row>
    <row r="240" spans="1:3">
      <c r="A240"/>
      <c r="C240"/>
    </row>
    <row r="241" spans="1:3">
      <c r="A241"/>
      <c r="C241"/>
    </row>
    <row r="242" spans="1:3">
      <c r="A242"/>
      <c r="C242"/>
    </row>
    <row r="243" spans="1:3">
      <c r="A243"/>
      <c r="C243"/>
    </row>
    <row r="244" spans="1:3">
      <c r="A244"/>
      <c r="C244"/>
    </row>
    <row r="245" spans="1:3">
      <c r="A245"/>
      <c r="C245"/>
    </row>
    <row r="246" spans="1:3">
      <c r="A246"/>
      <c r="C246"/>
    </row>
    <row r="247" spans="1:3">
      <c r="A247"/>
      <c r="C247"/>
    </row>
    <row r="248" spans="1:3">
      <c r="A248"/>
      <c r="C248"/>
    </row>
    <row r="249" spans="1:3">
      <c r="A249"/>
      <c r="C249"/>
    </row>
    <row r="250" spans="1:3">
      <c r="A250"/>
      <c r="C250"/>
    </row>
    <row r="251" spans="1:3">
      <c r="A251"/>
      <c r="C251"/>
    </row>
    <row r="252" spans="1:3">
      <c r="A252"/>
      <c r="C252"/>
    </row>
    <row r="253" spans="1:3">
      <c r="A253"/>
      <c r="C253"/>
    </row>
    <row r="254" spans="1:3">
      <c r="A254"/>
      <c r="C254"/>
    </row>
    <row r="255" spans="1:3">
      <c r="A255"/>
      <c r="C255"/>
    </row>
    <row r="256" spans="1:3">
      <c r="A256"/>
      <c r="C256"/>
    </row>
    <row r="257" spans="1:3">
      <c r="A257"/>
      <c r="C257"/>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E22B5-167F-43A5-BEDA-8E8CD86F5B3A}">
  <sheetPr codeName="Sheet12">
    <tabColor theme="1"/>
    <pageSetUpPr fitToPage="1"/>
  </sheetPr>
  <dimension ref="A1:Z477"/>
  <sheetViews>
    <sheetView view="pageBreakPreview" zoomScale="90" zoomScaleNormal="70" zoomScaleSheetLayoutView="90" zoomScalePageLayoutView="10" workbookViewId="0">
      <selection activeCell="E3" sqref="E3"/>
    </sheetView>
  </sheetViews>
  <sheetFormatPr baseColWidth="10" defaultColWidth="8.83203125" defaultRowHeight="15"/>
  <cols>
    <col min="1" max="1" width="12.6640625" customWidth="1"/>
    <col min="2" max="2" width="27.83203125" customWidth="1"/>
    <col min="3" max="3" width="30.33203125" customWidth="1"/>
    <col min="4" max="4" width="38.83203125" style="12" customWidth="1"/>
    <col min="5" max="5" width="14.1640625" style="14" customWidth="1"/>
    <col min="6" max="6" width="12.6640625" style="12" customWidth="1"/>
    <col min="7" max="11" width="5.6640625" style="12" customWidth="1"/>
    <col min="12" max="12" width="7.6640625" style="12" customWidth="1"/>
    <col min="13" max="18" width="5.6640625" customWidth="1"/>
  </cols>
  <sheetData>
    <row r="1" spans="1:18" ht="16" thickBot="1">
      <c r="A1" s="116">
        <f>E3</f>
        <v>46223</v>
      </c>
      <c r="B1" t="s">
        <v>586</v>
      </c>
    </row>
    <row r="2" spans="1:18" ht="27">
      <c r="A2" s="128">
        <f>B23</f>
        <v>2026</v>
      </c>
      <c r="B2" s="247" t="s">
        <v>587</v>
      </c>
      <c r="C2" s="248"/>
      <c r="D2" s="214" t="s">
        <v>140</v>
      </c>
      <c r="E2" s="122"/>
      <c r="F2" s="132"/>
    </row>
    <row r="3" spans="1:18" ht="16" thickBot="1">
      <c r="A3" s="129"/>
      <c r="B3" s="130"/>
      <c r="C3" s="131"/>
      <c r="D3" s="151" t="s">
        <v>575</v>
      </c>
      <c r="E3" s="152">
        <v>46223</v>
      </c>
    </row>
    <row r="4" spans="1:18" ht="15.5" customHeight="1">
      <c r="A4" s="249" t="s">
        <v>865</v>
      </c>
      <c r="B4" s="250"/>
      <c r="C4" s="250"/>
      <c r="D4" s="207" t="s">
        <v>762</v>
      </c>
      <c r="E4" s="70">
        <f>_xlfn.IFNA(VLOOKUP($E$3,ODEM,2,FALSE),"no data")</f>
        <v>89</v>
      </c>
    </row>
    <row r="5" spans="1:18" ht="33.5" customHeight="1">
      <c r="A5" s="251"/>
      <c r="B5" s="252"/>
      <c r="C5" s="252"/>
      <c r="D5" s="206" t="s">
        <v>760</v>
      </c>
      <c r="E5" s="216">
        <f>_xlfn.IFNA(VLOOKUP($E$3,ODEM,3,FALSE),"no data")</f>
        <v>330324</v>
      </c>
      <c r="G5" s="15"/>
      <c r="H5" s="15"/>
      <c r="I5" s="15"/>
      <c r="J5" s="15"/>
      <c r="K5" s="15"/>
      <c r="L5" s="15"/>
      <c r="M5" s="15"/>
      <c r="N5" s="15"/>
      <c r="O5" s="15"/>
      <c r="P5" s="15"/>
    </row>
    <row r="6" spans="1:18" ht="42.5" customHeight="1" thickBot="1">
      <c r="A6" s="253"/>
      <c r="B6" s="254"/>
      <c r="C6" s="254"/>
      <c r="D6" s="205" t="s">
        <v>761</v>
      </c>
      <c r="E6" s="73">
        <f>IFERROR(GETPIVOTDATA("Name",$A$9,"Status","Large"),0)</f>
        <v>37</v>
      </c>
      <c r="G6" s="15"/>
      <c r="H6" s="15"/>
      <c r="I6" s="15"/>
      <c r="J6" s="15"/>
      <c r="K6" s="15"/>
      <c r="L6" s="15"/>
      <c r="M6" s="15"/>
      <c r="N6" s="15"/>
      <c r="O6" s="15"/>
      <c r="P6" s="15"/>
    </row>
    <row r="7" spans="1:18">
      <c r="D7"/>
      <c r="E7" s="67"/>
      <c r="G7"/>
      <c r="H7"/>
      <c r="I7"/>
      <c r="P7" s="15"/>
    </row>
    <row r="8" spans="1:18" ht="20" thickBot="1">
      <c r="A8" s="255" t="s">
        <v>739</v>
      </c>
      <c r="B8" s="255"/>
      <c r="C8" s="256"/>
      <c r="G8" s="75"/>
    </row>
    <row r="9" spans="1:18" ht="20" thickBot="1">
      <c r="A9" s="303"/>
      <c r="B9" s="304" t="s">
        <v>306</v>
      </c>
      <c r="C9" s="259" t="s">
        <v>584</v>
      </c>
      <c r="D9" s="260"/>
      <c r="G9" s="75"/>
    </row>
    <row r="10" spans="1:18" ht="19">
      <c r="A10" s="305" t="s">
        <v>847</v>
      </c>
      <c r="B10" s="306">
        <v>37</v>
      </c>
      <c r="C10" s="257" t="s">
        <v>673</v>
      </c>
      <c r="D10" s="257"/>
      <c r="G10" s="75"/>
    </row>
    <row r="11" spans="1:18" ht="19">
      <c r="A11" s="305" t="s">
        <v>169</v>
      </c>
      <c r="B11" s="306">
        <v>23</v>
      </c>
      <c r="C11" s="258" t="s">
        <v>719</v>
      </c>
      <c r="D11" s="258"/>
      <c r="G11" s="75"/>
    </row>
    <row r="12" spans="1:18" ht="19">
      <c r="A12" s="305" t="s">
        <v>634</v>
      </c>
      <c r="B12" s="306">
        <v>1</v>
      </c>
      <c r="C12" s="258" t="s">
        <v>674</v>
      </c>
      <c r="D12" s="258"/>
      <c r="G12" s="75"/>
      <c r="H12" s="75"/>
      <c r="I12" s="75"/>
      <c r="M12" s="76"/>
      <c r="N12" s="76"/>
      <c r="O12" s="76"/>
    </row>
    <row r="13" spans="1:18" ht="19">
      <c r="A13" s="305" t="s">
        <v>177</v>
      </c>
      <c r="B13" s="306">
        <v>61</v>
      </c>
      <c r="C13" s="220" t="s">
        <v>942</v>
      </c>
      <c r="D13" s="218"/>
      <c r="G13" s="75"/>
      <c r="H13" s="75"/>
      <c r="I13" s="75"/>
      <c r="M13" s="76"/>
      <c r="N13" s="76"/>
      <c r="O13" s="76"/>
    </row>
    <row r="14" spans="1:18" ht="10.25" customHeight="1">
      <c r="C14" s="142"/>
      <c r="D14" s="143"/>
      <c r="E14" s="144"/>
      <c r="F14" s="145"/>
      <c r="G14" s="75"/>
      <c r="I14" s="75"/>
      <c r="M14" s="76"/>
      <c r="N14" s="76"/>
      <c r="O14" s="76"/>
    </row>
    <row r="15" spans="1:18" ht="20" thickBot="1">
      <c r="D15" s="176" t="s">
        <v>145</v>
      </c>
      <c r="E15" s="177" t="s">
        <v>166</v>
      </c>
      <c r="F15" s="209">
        <f>_xlfn.IFNA(VLOOKUP($B$23,ODF,3,FALSE),"no data")</f>
        <v>46227</v>
      </c>
      <c r="G15" s="75"/>
      <c r="I15" s="267" t="s">
        <v>830</v>
      </c>
      <c r="J15" s="267"/>
      <c r="K15" s="267"/>
      <c r="L15" s="267"/>
      <c r="M15" s="267"/>
      <c r="N15" s="267"/>
      <c r="O15" s="267"/>
    </row>
    <row r="16" spans="1:18" ht="52" thickBot="1">
      <c r="D16" s="78"/>
      <c r="E16" s="184" t="s">
        <v>143</v>
      </c>
      <c r="F16" s="185" t="s">
        <v>144</v>
      </c>
      <c r="G16" s="75"/>
      <c r="I16" s="300" t="s">
        <v>307</v>
      </c>
      <c r="J16" s="301" t="s">
        <v>590</v>
      </c>
      <c r="K16" s="302" t="s">
        <v>308</v>
      </c>
      <c r="M16" s="12"/>
      <c r="N16" s="12"/>
      <c r="O16" s="307" t="s">
        <v>309</v>
      </c>
      <c r="P16" s="310" t="s">
        <v>168</v>
      </c>
      <c r="Q16" s="309" t="s">
        <v>316</v>
      </c>
      <c r="R16" s="311" t="s">
        <v>689</v>
      </c>
    </row>
    <row r="17" spans="1:20" ht="20" thickBot="1">
      <c r="D17" s="81" t="s">
        <v>142</v>
      </c>
      <c r="E17" s="82">
        <f>_xlfn.IFNA(VLOOKUP($B$23,ODF,4,FALSE),"no data")</f>
        <v>16</v>
      </c>
      <c r="F17" s="87">
        <f>_xlfn.IFNA(VLOOKUP($B$23,ODF,7,FALSE),"no data")</f>
        <v>30</v>
      </c>
      <c r="G17" s="75"/>
      <c r="I17" s="298">
        <v>7816</v>
      </c>
      <c r="J17" s="296">
        <v>4000</v>
      </c>
      <c r="K17" s="299">
        <v>2831</v>
      </c>
      <c r="L17" s="77"/>
      <c r="M17" s="77"/>
      <c r="N17" s="77"/>
      <c r="O17" s="312">
        <v>26</v>
      </c>
      <c r="P17" s="313"/>
      <c r="Q17" s="313">
        <v>72</v>
      </c>
      <c r="R17" s="314"/>
    </row>
    <row r="18" spans="1:20" ht="18.5" customHeight="1">
      <c r="D18" s="81" t="s">
        <v>494</v>
      </c>
      <c r="E18" s="82">
        <f>_xlfn.IFNA(VLOOKUP($B$23,ODF,5,FALSE),"no data")</f>
        <v>616</v>
      </c>
      <c r="F18" s="87">
        <f>_xlfn.IFNA(VLOOKUP($B$23,ODF,8,FALSE),"no data")</f>
        <v>1238</v>
      </c>
      <c r="G18" s="75"/>
      <c r="I18" s="261" t="s">
        <v>188</v>
      </c>
      <c r="J18" s="262"/>
      <c r="K18" s="263"/>
      <c r="M18" s="12"/>
      <c r="N18" s="12"/>
      <c r="O18" s="233" t="s">
        <v>310</v>
      </c>
      <c r="P18" s="234"/>
      <c r="Q18" s="234"/>
      <c r="R18" s="182"/>
    </row>
    <row r="19" spans="1:20" ht="20" thickBot="1">
      <c r="D19" s="83" t="s">
        <v>495</v>
      </c>
      <c r="E19" s="84">
        <f>_xlfn.IFNA(VLOOKUP($B$23,ODF,6,FALSE),"no data")</f>
        <v>81098</v>
      </c>
      <c r="F19" s="88">
        <f>_xlfn.IFNA(VLOOKUP($B$23,ODF,9,FALSE),"no data")</f>
        <v>577106</v>
      </c>
      <c r="G19" s="75"/>
      <c r="I19" s="264"/>
      <c r="J19" s="265"/>
      <c r="K19" s="266"/>
      <c r="O19" s="235"/>
      <c r="P19" s="236"/>
      <c r="Q19" s="236"/>
      <c r="R19" s="183"/>
      <c r="T19" s="12"/>
    </row>
    <row r="20" spans="1:20" ht="19">
      <c r="F20" s="145"/>
      <c r="G20" s="75"/>
      <c r="H20" s="75"/>
      <c r="I20" s="75"/>
      <c r="M20" s="76"/>
      <c r="N20" s="76"/>
      <c r="O20" s="76"/>
    </row>
    <row r="21" spans="1:20" ht="19">
      <c r="F21" s="145"/>
      <c r="G21" s="75"/>
      <c r="H21" s="75"/>
      <c r="I21" s="75"/>
      <c r="M21" s="76"/>
      <c r="N21" s="76"/>
      <c r="O21" s="76"/>
    </row>
    <row r="22" spans="1:20">
      <c r="E22" s="67"/>
      <c r="F22" s="85"/>
      <c r="G22" s="86"/>
    </row>
    <row r="23" spans="1:20" ht="14" customHeight="1">
      <c r="A23" s="31" t="s">
        <v>317</v>
      </c>
      <c r="B23" s="39">
        <v>2026</v>
      </c>
      <c r="E23" s="67"/>
      <c r="F23" s="85"/>
      <c r="G23" s="86"/>
    </row>
    <row r="24" spans="1:20">
      <c r="A24" s="133" t="s">
        <v>893</v>
      </c>
      <c r="I24" s="242" t="s">
        <v>188</v>
      </c>
      <c r="J24" s="243"/>
      <c r="K24" s="244"/>
      <c r="L24" s="242" t="s">
        <v>118</v>
      </c>
      <c r="M24" s="243"/>
      <c r="N24" s="244"/>
      <c r="O24" s="238" t="s">
        <v>123</v>
      </c>
      <c r="P24" s="239"/>
      <c r="Q24" s="239"/>
      <c r="R24" s="240"/>
    </row>
    <row r="25" spans="1:20">
      <c r="D25"/>
      <c r="E25"/>
      <c r="F25" s="159" t="s">
        <v>189</v>
      </c>
      <c r="G25" s="160"/>
      <c r="H25" s="156"/>
      <c r="I25" s="32"/>
      <c r="J25" s="33"/>
      <c r="K25" s="34"/>
      <c r="L25" s="35"/>
      <c r="M25" s="35"/>
      <c r="N25" s="35"/>
      <c r="O25" s="34"/>
      <c r="P25" s="34"/>
      <c r="Q25" s="34"/>
      <c r="R25" s="180"/>
    </row>
    <row r="26" spans="1:20" ht="77">
      <c r="A26" s="31" t="s">
        <v>167</v>
      </c>
      <c r="B26" s="31" t="s">
        <v>2</v>
      </c>
      <c r="C26" s="31" t="s">
        <v>1</v>
      </c>
      <c r="D26" s="31" t="s">
        <v>5</v>
      </c>
      <c r="E26" s="37" t="s">
        <v>4</v>
      </c>
      <c r="F26" s="117" t="s">
        <v>571</v>
      </c>
      <c r="G26" s="161" t="s">
        <v>645</v>
      </c>
      <c r="H26" s="158" t="s">
        <v>644</v>
      </c>
      <c r="I26" s="162" t="s">
        <v>646</v>
      </c>
      <c r="J26" s="163" t="s">
        <v>647</v>
      </c>
      <c r="K26" s="164" t="s">
        <v>648</v>
      </c>
      <c r="L26" s="165" t="s">
        <v>622</v>
      </c>
      <c r="M26" s="166" t="s">
        <v>618</v>
      </c>
      <c r="N26" s="166" t="s">
        <v>621</v>
      </c>
      <c r="O26" s="167" t="s">
        <v>623</v>
      </c>
      <c r="P26" s="167" t="s">
        <v>619</v>
      </c>
      <c r="Q26" s="167" t="s">
        <v>620</v>
      </c>
      <c r="R26" s="181" t="s">
        <v>678</v>
      </c>
    </row>
    <row r="27" spans="1:20">
      <c r="A27" t="s">
        <v>847</v>
      </c>
      <c r="B27" t="s">
        <v>907</v>
      </c>
      <c r="C27" t="s">
        <v>96</v>
      </c>
      <c r="D27" t="s">
        <v>895</v>
      </c>
      <c r="E27" s="38">
        <v>0.05</v>
      </c>
      <c r="F27" s="11">
        <v>27222</v>
      </c>
      <c r="G27" s="293"/>
      <c r="H27" s="293"/>
      <c r="I27" s="293">
        <v>3898</v>
      </c>
      <c r="J27" s="293">
        <v>396</v>
      </c>
      <c r="K27" s="293">
        <v>460</v>
      </c>
      <c r="L27" s="293">
        <v>4812</v>
      </c>
      <c r="M27" s="293"/>
      <c r="N27" s="293"/>
      <c r="O27" s="293">
        <v>2</v>
      </c>
      <c r="P27" s="293"/>
      <c r="Q27" s="293"/>
      <c r="R27" s="292"/>
    </row>
    <row r="28" spans="1:20">
      <c r="B28" t="s">
        <v>909</v>
      </c>
      <c r="C28" t="s">
        <v>88</v>
      </c>
      <c r="D28" t="s">
        <v>899</v>
      </c>
      <c r="E28" s="38">
        <v>0.35</v>
      </c>
      <c r="F28" s="11">
        <v>28827</v>
      </c>
      <c r="G28" s="293"/>
      <c r="H28" s="293"/>
      <c r="I28" s="293"/>
      <c r="J28" s="293"/>
      <c r="K28" s="293"/>
      <c r="L28" s="293">
        <v>8</v>
      </c>
      <c r="M28" s="293"/>
      <c r="N28" s="293"/>
      <c r="O28" s="293"/>
      <c r="P28" s="293"/>
      <c r="Q28" s="293"/>
      <c r="R28" s="292"/>
    </row>
    <row r="29" spans="1:20">
      <c r="B29" t="s">
        <v>910</v>
      </c>
      <c r="C29" t="s">
        <v>88</v>
      </c>
      <c r="D29" t="s">
        <v>898</v>
      </c>
      <c r="E29" s="38">
        <v>0.56999999999999995</v>
      </c>
      <c r="F29" s="11">
        <v>17447</v>
      </c>
      <c r="G29" s="293"/>
      <c r="H29" s="293"/>
      <c r="I29" s="293"/>
      <c r="J29" s="293"/>
      <c r="K29" s="293"/>
      <c r="L29" s="293">
        <v>100</v>
      </c>
      <c r="M29" s="293"/>
      <c r="N29" s="293"/>
      <c r="O29" s="293"/>
      <c r="P29" s="293"/>
      <c r="Q29" s="293"/>
      <c r="R29" s="292"/>
    </row>
    <row r="30" spans="1:20">
      <c r="B30" t="s">
        <v>944</v>
      </c>
      <c r="C30" t="s">
        <v>96</v>
      </c>
      <c r="D30" t="s">
        <v>945</v>
      </c>
      <c r="E30" s="38">
        <v>0.77</v>
      </c>
      <c r="F30" s="11">
        <v>4834</v>
      </c>
      <c r="G30" s="293"/>
      <c r="H30" s="293"/>
      <c r="I30" s="293"/>
      <c r="J30" s="293"/>
      <c r="K30" s="293"/>
      <c r="L30" s="293">
        <v>30</v>
      </c>
      <c r="M30" s="293"/>
      <c r="N30" s="293"/>
      <c r="O30" s="293"/>
      <c r="P30" s="293"/>
      <c r="Q30" s="293"/>
      <c r="R30" s="292"/>
    </row>
    <row r="31" spans="1:20">
      <c r="B31" t="s">
        <v>963</v>
      </c>
      <c r="C31" t="s">
        <v>112</v>
      </c>
      <c r="D31" t="s">
        <v>964</v>
      </c>
      <c r="E31" s="38">
        <v>0</v>
      </c>
      <c r="F31" s="11">
        <v>191</v>
      </c>
      <c r="G31" s="293"/>
      <c r="H31" s="293"/>
      <c r="I31" s="293">
        <v>308</v>
      </c>
      <c r="J31" s="293">
        <v>1068</v>
      </c>
      <c r="K31" s="293">
        <v>61</v>
      </c>
      <c r="L31" s="293"/>
      <c r="M31" s="293"/>
      <c r="N31" s="293"/>
      <c r="O31" s="293"/>
      <c r="P31" s="293"/>
      <c r="Q31" s="293"/>
      <c r="R31" s="292"/>
    </row>
    <row r="32" spans="1:20">
      <c r="B32" t="s">
        <v>946</v>
      </c>
      <c r="C32" t="s">
        <v>114</v>
      </c>
      <c r="D32" t="s">
        <v>947</v>
      </c>
      <c r="E32" s="38">
        <v>0</v>
      </c>
      <c r="F32" s="11">
        <v>53976</v>
      </c>
      <c r="G32" s="293"/>
      <c r="H32" s="293"/>
      <c r="I32" s="293">
        <v>0</v>
      </c>
      <c r="J32" s="293">
        <v>5</v>
      </c>
      <c r="K32" s="293">
        <v>17</v>
      </c>
      <c r="L32" s="293"/>
      <c r="M32" s="293"/>
      <c r="N32" s="293"/>
      <c r="O32" s="293">
        <v>3</v>
      </c>
      <c r="P32" s="293"/>
      <c r="Q32" s="293"/>
      <c r="R32" s="292"/>
    </row>
    <row r="33" spans="2:18">
      <c r="B33" t="s">
        <v>965</v>
      </c>
      <c r="C33" t="s">
        <v>88</v>
      </c>
      <c r="D33" t="s">
        <v>685</v>
      </c>
      <c r="E33" s="38">
        <v>0</v>
      </c>
      <c r="F33" s="11">
        <v>2136</v>
      </c>
      <c r="G33" s="293"/>
      <c r="H33" s="293"/>
      <c r="I33" s="293"/>
      <c r="J33" s="293"/>
      <c r="K33" s="293"/>
      <c r="L33" s="293"/>
      <c r="M33" s="293"/>
      <c r="N33" s="293"/>
      <c r="O33" s="293"/>
      <c r="P33" s="293"/>
      <c r="Q33" s="293"/>
      <c r="R33" s="292"/>
    </row>
    <row r="34" spans="2:18">
      <c r="B34" t="s">
        <v>949</v>
      </c>
      <c r="C34" t="s">
        <v>94</v>
      </c>
      <c r="D34" t="s">
        <v>948</v>
      </c>
      <c r="E34" s="38">
        <v>0.8</v>
      </c>
      <c r="F34" s="11">
        <v>745</v>
      </c>
      <c r="G34" s="293"/>
      <c r="H34" s="293"/>
      <c r="I34" s="293"/>
      <c r="J34" s="293"/>
      <c r="K34" s="293"/>
      <c r="L34" s="293">
        <v>15</v>
      </c>
      <c r="M34" s="293"/>
      <c r="N34" s="293"/>
      <c r="O34" s="293"/>
      <c r="P34" s="293"/>
      <c r="Q34" s="293"/>
      <c r="R34" s="292"/>
    </row>
    <row r="35" spans="2:18">
      <c r="B35" t="s">
        <v>967</v>
      </c>
      <c r="C35" t="s">
        <v>112</v>
      </c>
      <c r="D35" t="s">
        <v>966</v>
      </c>
      <c r="E35" s="38">
        <v>0</v>
      </c>
      <c r="F35" s="11">
        <v>532</v>
      </c>
      <c r="G35" s="293"/>
      <c r="H35" s="293"/>
      <c r="I35" s="293"/>
      <c r="J35" s="293"/>
      <c r="K35" s="293"/>
      <c r="L35" s="293"/>
      <c r="M35" s="293"/>
      <c r="N35" s="293"/>
      <c r="O35" s="293"/>
      <c r="P35" s="293"/>
      <c r="Q35" s="293"/>
      <c r="R35" s="292"/>
    </row>
    <row r="36" spans="2:18">
      <c r="B36" t="s">
        <v>873</v>
      </c>
      <c r="C36" t="s">
        <v>82</v>
      </c>
      <c r="D36" t="s">
        <v>875</v>
      </c>
      <c r="E36" s="38">
        <v>0.89</v>
      </c>
      <c r="F36" s="11">
        <v>2550</v>
      </c>
      <c r="G36" s="293"/>
      <c r="H36" s="293"/>
      <c r="I36" s="293">
        <v>24</v>
      </c>
      <c r="J36" s="293">
        <v>12</v>
      </c>
      <c r="K36" s="293"/>
      <c r="L36" s="293">
        <v>50</v>
      </c>
      <c r="M36" s="293"/>
      <c r="N36" s="293"/>
      <c r="O36" s="293"/>
      <c r="P36" s="293"/>
      <c r="Q36" s="293"/>
      <c r="R36" s="292"/>
    </row>
    <row r="37" spans="2:18">
      <c r="B37" t="s">
        <v>968</v>
      </c>
      <c r="C37" t="s">
        <v>94</v>
      </c>
      <c r="D37" t="s">
        <v>969</v>
      </c>
      <c r="E37" s="38">
        <v>0.01</v>
      </c>
      <c r="F37" s="11">
        <v>25992</v>
      </c>
      <c r="G37" s="293"/>
      <c r="H37" s="293"/>
      <c r="I37" s="293"/>
      <c r="J37" s="293"/>
      <c r="K37" s="293"/>
      <c r="L37" s="293">
        <v>104</v>
      </c>
      <c r="M37" s="293"/>
      <c r="N37" s="293"/>
      <c r="O37" s="293"/>
      <c r="P37" s="293"/>
      <c r="Q37" s="293"/>
      <c r="R37" s="292"/>
    </row>
    <row r="38" spans="2:18">
      <c r="B38" t="s">
        <v>970</v>
      </c>
      <c r="C38" t="s">
        <v>96</v>
      </c>
      <c r="D38" t="s">
        <v>971</v>
      </c>
      <c r="E38" s="38">
        <v>0</v>
      </c>
      <c r="F38" s="11">
        <v>13648</v>
      </c>
      <c r="G38" s="293"/>
      <c r="H38" s="293"/>
      <c r="I38" s="293"/>
      <c r="J38" s="293"/>
      <c r="K38" s="293"/>
      <c r="L38" s="293"/>
      <c r="M38" s="293">
        <v>44</v>
      </c>
      <c r="N38" s="293"/>
      <c r="O38" s="293"/>
      <c r="P38" s="293"/>
      <c r="Q38" s="293"/>
      <c r="R38" s="292"/>
    </row>
    <row r="39" spans="2:18">
      <c r="B39" t="s">
        <v>950</v>
      </c>
      <c r="C39" t="s">
        <v>96</v>
      </c>
      <c r="D39" t="s">
        <v>951</v>
      </c>
      <c r="E39" s="38">
        <v>0</v>
      </c>
      <c r="F39" s="11">
        <v>20180</v>
      </c>
      <c r="G39" s="293"/>
      <c r="H39" s="293"/>
      <c r="I39" s="293">
        <v>609</v>
      </c>
      <c r="J39" s="293">
        <v>327</v>
      </c>
      <c r="K39" s="293">
        <v>120</v>
      </c>
      <c r="L39" s="293">
        <v>18</v>
      </c>
      <c r="M39" s="293"/>
      <c r="N39" s="293"/>
      <c r="O39" s="293"/>
      <c r="P39" s="293"/>
      <c r="Q39" s="293"/>
      <c r="R39" s="292"/>
    </row>
    <row r="40" spans="2:18">
      <c r="B40" t="s">
        <v>952</v>
      </c>
      <c r="C40" t="s">
        <v>103</v>
      </c>
      <c r="D40" t="s">
        <v>953</v>
      </c>
      <c r="E40" s="38">
        <v>0.05</v>
      </c>
      <c r="F40" s="11">
        <v>280000</v>
      </c>
      <c r="G40" s="293"/>
      <c r="H40" s="293"/>
      <c r="I40" s="293"/>
      <c r="J40" s="293"/>
      <c r="K40" s="293"/>
      <c r="L40" s="293">
        <v>336</v>
      </c>
      <c r="M40" s="293"/>
      <c r="N40" s="293"/>
      <c r="O40" s="293"/>
      <c r="P40" s="293"/>
      <c r="Q40" s="293"/>
      <c r="R40" s="292"/>
    </row>
    <row r="41" spans="2:18">
      <c r="B41" t="s">
        <v>972</v>
      </c>
      <c r="C41" t="s">
        <v>82</v>
      </c>
      <c r="D41" t="s">
        <v>973</v>
      </c>
      <c r="E41" s="38">
        <v>0</v>
      </c>
      <c r="F41" s="11">
        <v>600</v>
      </c>
      <c r="G41" s="293"/>
      <c r="H41" s="293"/>
      <c r="I41" s="293"/>
      <c r="J41" s="293"/>
      <c r="K41" s="293"/>
      <c r="L41" s="293">
        <v>3</v>
      </c>
      <c r="M41" s="293"/>
      <c r="N41" s="293"/>
      <c r="O41" s="293"/>
      <c r="P41" s="293"/>
      <c r="Q41" s="293"/>
      <c r="R41" s="292"/>
    </row>
    <row r="42" spans="2:18">
      <c r="B42" t="s">
        <v>913</v>
      </c>
      <c r="C42" t="s">
        <v>93</v>
      </c>
      <c r="D42" t="s">
        <v>914</v>
      </c>
      <c r="E42" s="38">
        <v>0.44</v>
      </c>
      <c r="F42" s="11">
        <v>2425</v>
      </c>
      <c r="G42" s="293"/>
      <c r="H42" s="293"/>
      <c r="I42" s="293"/>
      <c r="J42" s="293"/>
      <c r="K42" s="293"/>
      <c r="L42" s="293">
        <v>5</v>
      </c>
      <c r="M42" s="293"/>
      <c r="N42" s="293"/>
      <c r="O42" s="293">
        <v>1</v>
      </c>
      <c r="P42" s="293"/>
      <c r="Q42" s="293"/>
      <c r="R42" s="292"/>
    </row>
    <row r="43" spans="2:18">
      <c r="B43" t="s">
        <v>896</v>
      </c>
      <c r="C43" t="s">
        <v>96</v>
      </c>
      <c r="D43" t="s">
        <v>897</v>
      </c>
      <c r="E43" s="38">
        <v>0.05</v>
      </c>
      <c r="F43" s="11">
        <v>51308</v>
      </c>
      <c r="G43" s="293"/>
      <c r="H43" s="293"/>
      <c r="I43" s="293">
        <v>126</v>
      </c>
      <c r="J43" s="293">
        <v>335</v>
      </c>
      <c r="K43" s="293">
        <v>75</v>
      </c>
      <c r="L43" s="293">
        <v>1784</v>
      </c>
      <c r="M43" s="293"/>
      <c r="N43" s="293"/>
      <c r="O43" s="293"/>
      <c r="P43" s="293"/>
      <c r="Q43" s="293">
        <v>15</v>
      </c>
      <c r="R43" s="292"/>
    </row>
    <row r="44" spans="2:18">
      <c r="B44" t="s">
        <v>915</v>
      </c>
      <c r="C44" t="s">
        <v>96</v>
      </c>
      <c r="D44" t="s">
        <v>916</v>
      </c>
      <c r="E44" s="38">
        <v>0</v>
      </c>
      <c r="F44" s="11">
        <v>3015</v>
      </c>
      <c r="G44" s="293"/>
      <c r="H44" s="293"/>
      <c r="I44" s="293">
        <v>18</v>
      </c>
      <c r="J44" s="293"/>
      <c r="K44" s="293"/>
      <c r="L44" s="293">
        <v>46</v>
      </c>
      <c r="M44" s="293"/>
      <c r="N44" s="293"/>
      <c r="O44" s="293"/>
      <c r="P44" s="293"/>
      <c r="Q44" s="293"/>
      <c r="R44" s="292"/>
    </row>
    <row r="45" spans="2:18">
      <c r="B45" t="s">
        <v>974</v>
      </c>
      <c r="C45" t="s">
        <v>91</v>
      </c>
      <c r="D45" t="s">
        <v>879</v>
      </c>
      <c r="E45" s="38">
        <v>0</v>
      </c>
      <c r="F45" s="11">
        <v>1400</v>
      </c>
      <c r="G45" s="293"/>
      <c r="H45" s="293"/>
      <c r="I45" s="293"/>
      <c r="J45" s="293"/>
      <c r="K45" s="293"/>
      <c r="L45" s="293"/>
      <c r="M45" s="293"/>
      <c r="N45" s="293"/>
      <c r="O45" s="293"/>
      <c r="P45" s="293"/>
      <c r="Q45" s="293"/>
      <c r="R45" s="292"/>
    </row>
    <row r="46" spans="2:18">
      <c r="B46" t="s">
        <v>960</v>
      </c>
      <c r="C46" t="s">
        <v>94</v>
      </c>
      <c r="D46" t="s">
        <v>961</v>
      </c>
      <c r="E46" s="38">
        <v>0</v>
      </c>
      <c r="F46" s="11">
        <v>130000</v>
      </c>
      <c r="G46" s="293"/>
      <c r="H46" s="293"/>
      <c r="I46" s="293"/>
      <c r="J46" s="293"/>
      <c r="K46" s="293"/>
      <c r="L46" s="293"/>
      <c r="M46" s="293"/>
      <c r="N46" s="293"/>
      <c r="O46" s="293"/>
      <c r="P46" s="293"/>
      <c r="Q46" s="293"/>
      <c r="R46" s="292"/>
    </row>
    <row r="47" spans="2:18">
      <c r="B47" t="s">
        <v>917</v>
      </c>
      <c r="C47" t="s">
        <v>95</v>
      </c>
      <c r="D47" t="s">
        <v>878</v>
      </c>
      <c r="E47" s="38">
        <v>0.66</v>
      </c>
      <c r="F47" s="11">
        <v>15580</v>
      </c>
      <c r="G47" s="293"/>
      <c r="H47" s="293"/>
      <c r="I47" s="293">
        <v>388</v>
      </c>
      <c r="J47" s="293">
        <v>0</v>
      </c>
      <c r="K47" s="293">
        <v>0</v>
      </c>
      <c r="L47" s="293">
        <v>2347</v>
      </c>
      <c r="M47" s="293"/>
      <c r="N47" s="293"/>
      <c r="O47" s="293">
        <v>1</v>
      </c>
      <c r="P47" s="293"/>
      <c r="Q47" s="293">
        <v>6</v>
      </c>
      <c r="R47" s="292"/>
    </row>
    <row r="48" spans="2:18">
      <c r="B48" t="s">
        <v>901</v>
      </c>
      <c r="C48" t="s">
        <v>94</v>
      </c>
      <c r="D48" t="s">
        <v>902</v>
      </c>
      <c r="E48" s="38">
        <v>0.8</v>
      </c>
      <c r="F48" s="11">
        <v>4553</v>
      </c>
      <c r="G48" s="293"/>
      <c r="H48" s="293"/>
      <c r="I48" s="293"/>
      <c r="J48" s="293"/>
      <c r="K48" s="293"/>
      <c r="L48" s="293"/>
      <c r="M48" s="293"/>
      <c r="N48" s="293"/>
      <c r="O48" s="293"/>
      <c r="P48" s="293"/>
      <c r="Q48" s="293"/>
      <c r="R48" s="292"/>
    </row>
    <row r="49" spans="1:18">
      <c r="B49" t="s">
        <v>975</v>
      </c>
      <c r="C49" t="s">
        <v>93</v>
      </c>
      <c r="D49" t="s">
        <v>976</v>
      </c>
      <c r="E49" s="38">
        <v>0</v>
      </c>
      <c r="F49" s="11">
        <v>26445</v>
      </c>
      <c r="G49" s="293"/>
      <c r="H49" s="293"/>
      <c r="I49" s="293"/>
      <c r="J49" s="293"/>
      <c r="K49" s="293"/>
      <c r="L49" s="293"/>
      <c r="M49" s="293"/>
      <c r="N49" s="293"/>
      <c r="O49" s="293"/>
      <c r="P49" s="293"/>
      <c r="Q49" s="293"/>
      <c r="R49" s="292"/>
    </row>
    <row r="50" spans="1:18">
      <c r="B50" t="s">
        <v>233</v>
      </c>
      <c r="C50" t="s">
        <v>91</v>
      </c>
      <c r="D50" t="s">
        <v>879</v>
      </c>
      <c r="E50" s="38">
        <v>0</v>
      </c>
      <c r="F50" s="11">
        <v>15000</v>
      </c>
      <c r="G50" s="293"/>
      <c r="H50" s="293"/>
      <c r="I50" s="293"/>
      <c r="J50" s="293"/>
      <c r="K50" s="293"/>
      <c r="L50" s="293">
        <v>800</v>
      </c>
      <c r="M50" s="293"/>
      <c r="N50" s="293"/>
      <c r="O50" s="293"/>
      <c r="P50" s="293"/>
      <c r="Q50" s="293"/>
      <c r="R50" s="292"/>
    </row>
    <row r="51" spans="1:18">
      <c r="B51" t="s">
        <v>918</v>
      </c>
      <c r="C51" t="s">
        <v>109</v>
      </c>
      <c r="D51" t="s">
        <v>919</v>
      </c>
      <c r="E51" s="38">
        <v>0</v>
      </c>
      <c r="F51" s="11">
        <v>24038</v>
      </c>
      <c r="G51" s="293"/>
      <c r="H51" s="293"/>
      <c r="I51" s="293"/>
      <c r="J51" s="293"/>
      <c r="K51" s="293"/>
      <c r="L51" s="293">
        <v>1467</v>
      </c>
      <c r="M51" s="293"/>
      <c r="N51" s="293"/>
      <c r="O51" s="293"/>
      <c r="P51" s="293"/>
      <c r="Q51" s="293"/>
      <c r="R51" s="292"/>
    </row>
    <row r="52" spans="1:18">
      <c r="B52" t="s">
        <v>977</v>
      </c>
      <c r="C52" t="s">
        <v>103</v>
      </c>
      <c r="D52" t="s">
        <v>978</v>
      </c>
      <c r="E52" s="38">
        <v>0.35</v>
      </c>
      <c r="F52" s="11">
        <v>42000</v>
      </c>
      <c r="G52" s="293"/>
      <c r="H52" s="293"/>
      <c r="I52" s="293"/>
      <c r="J52" s="293"/>
      <c r="K52" s="293"/>
      <c r="L52" s="293">
        <v>32</v>
      </c>
      <c r="M52" s="293"/>
      <c r="N52" s="293"/>
      <c r="O52" s="293"/>
      <c r="P52" s="293"/>
      <c r="Q52" s="293"/>
      <c r="R52" s="292"/>
    </row>
    <row r="53" spans="1:18">
      <c r="B53" t="s">
        <v>927</v>
      </c>
      <c r="C53" t="s">
        <v>92</v>
      </c>
      <c r="D53" t="s">
        <v>925</v>
      </c>
      <c r="E53" s="38">
        <v>0.6</v>
      </c>
      <c r="F53" s="11">
        <v>181821</v>
      </c>
      <c r="G53" s="293"/>
      <c r="H53" s="293"/>
      <c r="I53" s="293">
        <v>217</v>
      </c>
      <c r="J53" s="293">
        <v>95</v>
      </c>
      <c r="K53" s="293">
        <v>0</v>
      </c>
      <c r="L53" s="293"/>
      <c r="M53" s="293"/>
      <c r="N53" s="293"/>
      <c r="O53" s="293">
        <v>13</v>
      </c>
      <c r="P53" s="293"/>
      <c r="Q53" s="293">
        <v>5</v>
      </c>
      <c r="R53" s="292"/>
    </row>
    <row r="54" spans="1:18">
      <c r="B54" t="s">
        <v>906</v>
      </c>
      <c r="C54" t="s">
        <v>109</v>
      </c>
      <c r="D54" t="s">
        <v>934</v>
      </c>
      <c r="E54" s="38">
        <v>0.6</v>
      </c>
      <c r="F54" s="11">
        <v>831</v>
      </c>
      <c r="G54" s="293"/>
      <c r="H54" s="293"/>
      <c r="I54" s="293"/>
      <c r="J54" s="293"/>
      <c r="K54" s="293"/>
      <c r="L54" s="293">
        <v>60</v>
      </c>
      <c r="M54" s="293"/>
      <c r="N54" s="293"/>
      <c r="O54" s="293"/>
      <c r="P54" s="293"/>
      <c r="Q54" s="293"/>
      <c r="R54" s="292"/>
    </row>
    <row r="55" spans="1:18">
      <c r="B55" t="s">
        <v>920</v>
      </c>
      <c r="C55" t="s">
        <v>111</v>
      </c>
      <c r="D55" t="s">
        <v>921</v>
      </c>
      <c r="E55" s="38">
        <v>0</v>
      </c>
      <c r="F55" s="11">
        <v>740</v>
      </c>
      <c r="G55" s="293"/>
      <c r="H55" s="293"/>
      <c r="I55" s="293"/>
      <c r="J55" s="293"/>
      <c r="K55" s="293"/>
      <c r="L55" s="293"/>
      <c r="M55" s="293"/>
      <c r="N55" s="293"/>
      <c r="O55" s="293"/>
      <c r="P55" s="293"/>
      <c r="Q55" s="293"/>
      <c r="R55" s="292"/>
    </row>
    <row r="56" spans="1:18">
      <c r="B56" t="s">
        <v>979</v>
      </c>
      <c r="C56" t="s">
        <v>94</v>
      </c>
      <c r="D56" t="s">
        <v>980</v>
      </c>
      <c r="E56" s="38">
        <v>0.3</v>
      </c>
      <c r="F56" s="11">
        <v>18539</v>
      </c>
      <c r="G56" s="293"/>
      <c r="H56" s="293"/>
      <c r="I56" s="293"/>
      <c r="J56" s="293"/>
      <c r="K56" s="293"/>
      <c r="L56" s="293">
        <v>34</v>
      </c>
      <c r="M56" s="293"/>
      <c r="N56" s="293"/>
      <c r="O56" s="293"/>
      <c r="P56" s="293"/>
      <c r="Q56" s="293">
        <v>2</v>
      </c>
      <c r="R56" s="292"/>
    </row>
    <row r="57" spans="1:18">
      <c r="B57" t="s">
        <v>861</v>
      </c>
      <c r="C57" t="s">
        <v>109</v>
      </c>
      <c r="D57" t="s">
        <v>862</v>
      </c>
      <c r="E57" s="38">
        <v>0.96</v>
      </c>
      <c r="F57" s="11">
        <v>4887</v>
      </c>
      <c r="G57" s="293"/>
      <c r="H57" s="293"/>
      <c r="I57" s="293">
        <v>21</v>
      </c>
      <c r="J57" s="293">
        <v>0</v>
      </c>
      <c r="K57" s="293">
        <v>0</v>
      </c>
      <c r="L57" s="293"/>
      <c r="M57" s="293"/>
      <c r="N57" s="293"/>
      <c r="O57" s="293"/>
      <c r="P57" s="293"/>
      <c r="Q57" s="293"/>
      <c r="R57" s="292"/>
    </row>
    <row r="58" spans="1:18">
      <c r="B58" t="s">
        <v>876</v>
      </c>
      <c r="C58" t="s">
        <v>93</v>
      </c>
      <c r="D58" t="s">
        <v>872</v>
      </c>
      <c r="E58" s="38">
        <v>0.6</v>
      </c>
      <c r="F58" s="11">
        <v>3054</v>
      </c>
      <c r="G58" s="293"/>
      <c r="H58" s="293"/>
      <c r="I58" s="293">
        <v>0</v>
      </c>
      <c r="J58" s="293">
        <v>99</v>
      </c>
      <c r="K58" s="293">
        <v>27</v>
      </c>
      <c r="L58" s="293">
        <v>38</v>
      </c>
      <c r="M58" s="293"/>
      <c r="N58" s="293"/>
      <c r="O58" s="293"/>
      <c r="P58" s="293"/>
      <c r="Q58" s="293"/>
      <c r="R58" s="292"/>
    </row>
    <row r="59" spans="1:18">
      <c r="B59" t="s">
        <v>900</v>
      </c>
      <c r="C59" t="s">
        <v>82</v>
      </c>
      <c r="D59" t="s">
        <v>935</v>
      </c>
      <c r="E59" s="38">
        <v>0.84</v>
      </c>
      <c r="F59" s="11">
        <v>21026</v>
      </c>
      <c r="G59" s="293"/>
      <c r="H59" s="293"/>
      <c r="I59" s="293"/>
      <c r="J59" s="293"/>
      <c r="K59" s="293"/>
      <c r="L59" s="293">
        <v>3</v>
      </c>
      <c r="M59" s="293"/>
      <c r="N59" s="293"/>
      <c r="O59" s="293"/>
      <c r="P59" s="293"/>
      <c r="Q59" s="293"/>
      <c r="R59" s="292"/>
    </row>
    <row r="60" spans="1:18">
      <c r="B60" t="s">
        <v>926</v>
      </c>
      <c r="C60" t="s">
        <v>114</v>
      </c>
      <c r="D60" t="s">
        <v>889</v>
      </c>
      <c r="E60" s="38">
        <v>0.31</v>
      </c>
      <c r="F60" s="11">
        <v>208759</v>
      </c>
      <c r="G60" s="293"/>
      <c r="H60" s="293"/>
      <c r="I60" s="293">
        <v>4</v>
      </c>
      <c r="J60" s="293">
        <v>0</v>
      </c>
      <c r="K60" s="293">
        <v>9</v>
      </c>
      <c r="L60" s="293"/>
      <c r="M60" s="293"/>
      <c r="N60" s="293"/>
      <c r="O60" s="293"/>
      <c r="P60" s="293"/>
      <c r="Q60" s="293"/>
      <c r="R60" s="292"/>
    </row>
    <row r="61" spans="1:18">
      <c r="B61" t="s">
        <v>871</v>
      </c>
      <c r="C61" t="s">
        <v>93</v>
      </c>
      <c r="D61" t="s">
        <v>872</v>
      </c>
      <c r="E61" s="38">
        <v>0.6</v>
      </c>
      <c r="F61" s="11">
        <v>1426</v>
      </c>
      <c r="G61" s="293"/>
      <c r="H61" s="293"/>
      <c r="I61" s="293">
        <v>0</v>
      </c>
      <c r="J61" s="293">
        <v>20</v>
      </c>
      <c r="K61" s="293">
        <v>0</v>
      </c>
      <c r="L61" s="293">
        <v>38</v>
      </c>
      <c r="M61" s="293"/>
      <c r="N61" s="293"/>
      <c r="O61" s="293"/>
      <c r="P61" s="293"/>
      <c r="Q61" s="293">
        <v>2</v>
      </c>
      <c r="R61" s="292"/>
    </row>
    <row r="62" spans="1:18">
      <c r="B62" t="s">
        <v>962</v>
      </c>
      <c r="C62" t="s">
        <v>94</v>
      </c>
      <c r="D62" t="s">
        <v>981</v>
      </c>
      <c r="E62" s="38">
        <v>0.05</v>
      </c>
      <c r="F62" s="11">
        <v>76958</v>
      </c>
      <c r="G62" s="293"/>
      <c r="H62" s="293"/>
      <c r="I62" s="293"/>
      <c r="J62" s="293"/>
      <c r="K62" s="293"/>
      <c r="L62" s="293">
        <v>1721</v>
      </c>
      <c r="M62" s="293"/>
      <c r="N62" s="293"/>
      <c r="O62" s="293"/>
      <c r="P62" s="293"/>
      <c r="Q62" s="293">
        <v>2</v>
      </c>
      <c r="R62" s="292"/>
    </row>
    <row r="63" spans="1:18">
      <c r="B63" t="s">
        <v>956</v>
      </c>
      <c r="C63" t="s">
        <v>94</v>
      </c>
      <c r="D63" t="s">
        <v>957</v>
      </c>
      <c r="E63" s="38">
        <v>0.8</v>
      </c>
      <c r="F63" s="11">
        <v>15673</v>
      </c>
      <c r="G63" s="293"/>
      <c r="H63" s="293"/>
      <c r="I63" s="293"/>
      <c r="J63" s="293"/>
      <c r="K63" s="293"/>
      <c r="L63" s="293">
        <v>76</v>
      </c>
      <c r="M63" s="293"/>
      <c r="N63" s="293"/>
      <c r="O63" s="293"/>
      <c r="P63" s="293"/>
      <c r="Q63" s="293"/>
      <c r="R63" s="292"/>
    </row>
    <row r="64" spans="1:18">
      <c r="A64" t="s">
        <v>848</v>
      </c>
      <c r="D64"/>
      <c r="E64"/>
      <c r="F64" s="215">
        <v>1328358</v>
      </c>
      <c r="G64" s="294"/>
      <c r="H64" s="294"/>
      <c r="I64" s="294">
        <v>5613</v>
      </c>
      <c r="J64" s="294">
        <v>2357</v>
      </c>
      <c r="K64" s="293">
        <v>769</v>
      </c>
      <c r="L64" s="293">
        <v>13927</v>
      </c>
      <c r="M64" s="293">
        <v>44</v>
      </c>
      <c r="N64" s="293"/>
      <c r="O64" s="293">
        <v>20</v>
      </c>
      <c r="P64" s="293"/>
      <c r="Q64" s="293">
        <v>32</v>
      </c>
      <c r="R64" s="292"/>
    </row>
    <row r="65" spans="1:18">
      <c r="A65" t="s">
        <v>169</v>
      </c>
      <c r="D65"/>
      <c r="E65"/>
      <c r="F65" s="11">
        <v>32136</v>
      </c>
      <c r="G65" s="293"/>
      <c r="H65" s="293"/>
      <c r="I65" s="293">
        <v>15</v>
      </c>
      <c r="J65" s="293"/>
      <c r="K65" s="293"/>
      <c r="L65" s="293"/>
      <c r="M65" s="293"/>
      <c r="N65" s="293"/>
      <c r="O65" s="293"/>
      <c r="P65" s="293"/>
      <c r="Q65" s="293"/>
      <c r="R65" s="292"/>
    </row>
    <row r="66" spans="1:18">
      <c r="A66" t="s">
        <v>634</v>
      </c>
      <c r="B66" t="s">
        <v>931</v>
      </c>
      <c r="C66" t="s">
        <v>109</v>
      </c>
      <c r="D66" t="s">
        <v>932</v>
      </c>
      <c r="E66" s="38">
        <v>1</v>
      </c>
      <c r="F66" s="11">
        <v>8096</v>
      </c>
      <c r="G66" s="293"/>
      <c r="H66" s="293"/>
      <c r="I66" s="293"/>
      <c r="J66" s="293"/>
      <c r="K66" s="293"/>
      <c r="L66" s="293"/>
      <c r="M66" s="293"/>
      <c r="N66" s="293"/>
      <c r="O66" s="293">
        <v>6</v>
      </c>
      <c r="P66" s="293"/>
      <c r="Q66" s="293">
        <v>40</v>
      </c>
      <c r="R66" s="292"/>
    </row>
    <row r="67" spans="1:18">
      <c r="A67" t="s">
        <v>959</v>
      </c>
      <c r="D67"/>
      <c r="E67"/>
      <c r="F67" s="11">
        <v>8096</v>
      </c>
      <c r="G67" s="293"/>
      <c r="H67" s="293"/>
      <c r="I67" s="293"/>
      <c r="J67" s="293"/>
      <c r="K67" s="293"/>
      <c r="L67" s="293"/>
      <c r="M67" s="293"/>
      <c r="N67" s="293"/>
      <c r="O67" s="293">
        <v>6</v>
      </c>
      <c r="P67" s="293"/>
      <c r="Q67" s="293">
        <v>40</v>
      </c>
      <c r="R67" s="292"/>
    </row>
    <row r="68" spans="1:18">
      <c r="A68" t="s">
        <v>940</v>
      </c>
      <c r="D68"/>
      <c r="E68"/>
      <c r="F68" s="11"/>
      <c r="G68" s="293"/>
      <c r="H68" s="293"/>
      <c r="I68" s="293">
        <v>2188</v>
      </c>
      <c r="J68" s="293">
        <v>1643</v>
      </c>
      <c r="K68" s="293">
        <v>2062</v>
      </c>
      <c r="L68" s="293"/>
      <c r="M68" s="293"/>
      <c r="N68" s="293"/>
      <c r="O68" s="293"/>
      <c r="P68" s="293"/>
      <c r="Q68" s="293"/>
      <c r="R68" s="292"/>
    </row>
    <row r="69" spans="1:18">
      <c r="A69" t="s">
        <v>177</v>
      </c>
      <c r="D69"/>
      <c r="E69"/>
      <c r="F69" s="11">
        <v>1368590</v>
      </c>
      <c r="G69" s="293"/>
      <c r="H69" s="293"/>
      <c r="I69" s="293">
        <v>7816</v>
      </c>
      <c r="J69" s="293">
        <v>4000</v>
      </c>
      <c r="K69" s="293">
        <v>2831</v>
      </c>
      <c r="L69" s="293">
        <v>13927</v>
      </c>
      <c r="M69" s="293">
        <v>44</v>
      </c>
      <c r="N69" s="293"/>
      <c r="O69" s="293">
        <v>26</v>
      </c>
      <c r="P69" s="293"/>
      <c r="Q69" s="293">
        <v>72</v>
      </c>
      <c r="R69" s="292"/>
    </row>
    <row r="70" spans="1:18">
      <c r="D70"/>
      <c r="E70"/>
      <c r="F70"/>
      <c r="G70"/>
      <c r="H70"/>
      <c r="I70"/>
      <c r="J70"/>
      <c r="K70"/>
      <c r="L70"/>
    </row>
    <row r="71" spans="1:18">
      <c r="D71"/>
      <c r="E71"/>
      <c r="F71"/>
      <c r="G71"/>
      <c r="H71"/>
      <c r="I71"/>
      <c r="J71"/>
      <c r="K71"/>
      <c r="L71"/>
    </row>
    <row r="72" spans="1:18">
      <c r="D72"/>
      <c r="E72"/>
      <c r="F72"/>
      <c r="G72"/>
      <c r="H72"/>
      <c r="I72"/>
      <c r="J72"/>
      <c r="K72"/>
      <c r="L72"/>
    </row>
    <row r="73" spans="1:18">
      <c r="D73"/>
      <c r="E73"/>
      <c r="F73"/>
      <c r="G73"/>
      <c r="H73"/>
      <c r="I73"/>
      <c r="J73"/>
      <c r="K73"/>
      <c r="L73"/>
    </row>
    <row r="74" spans="1:18">
      <c r="D74"/>
      <c r="E74"/>
      <c r="F74"/>
      <c r="G74"/>
      <c r="H74"/>
      <c r="I74"/>
      <c r="J74"/>
      <c r="K74"/>
      <c r="L74"/>
    </row>
    <row r="75" spans="1:18">
      <c r="D75"/>
      <c r="E75"/>
      <c r="F75"/>
      <c r="G75"/>
      <c r="H75"/>
      <c r="I75"/>
      <c r="J75"/>
      <c r="K75"/>
      <c r="L75"/>
    </row>
    <row r="76" spans="1:18">
      <c r="D76"/>
      <c r="E76"/>
      <c r="F76"/>
      <c r="G76"/>
      <c r="H76"/>
      <c r="I76"/>
      <c r="J76"/>
      <c r="K76"/>
      <c r="L76"/>
    </row>
    <row r="77" spans="1:18">
      <c r="D77"/>
      <c r="E77"/>
      <c r="F77"/>
      <c r="G77"/>
      <c r="H77"/>
      <c r="I77"/>
      <c r="J77"/>
      <c r="K77"/>
      <c r="L77"/>
    </row>
    <row r="78" spans="1:18">
      <c r="D78"/>
      <c r="E78"/>
      <c r="F78"/>
      <c r="G78"/>
      <c r="H78"/>
      <c r="I78"/>
      <c r="J78"/>
      <c r="K78"/>
      <c r="L78"/>
    </row>
    <row r="79" spans="1:18">
      <c r="D79"/>
      <c r="E79"/>
      <c r="F79"/>
      <c r="G79"/>
      <c r="H79"/>
      <c r="I79"/>
      <c r="J79"/>
      <c r="K79"/>
      <c r="L79"/>
    </row>
    <row r="80" spans="1:18">
      <c r="D80"/>
      <c r="E80"/>
      <c r="F80"/>
      <c r="G80"/>
      <c r="H80"/>
      <c r="I80"/>
      <c r="J80"/>
      <c r="K80"/>
      <c r="L80"/>
    </row>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spans="4:17">
      <c r="D97"/>
      <c r="E97"/>
      <c r="F97"/>
      <c r="G97"/>
      <c r="H97"/>
      <c r="I97"/>
      <c r="J97"/>
      <c r="K97"/>
      <c r="L97"/>
    </row>
    <row r="98" spans="4:17">
      <c r="D98"/>
      <c r="E98"/>
      <c r="F98"/>
      <c r="G98"/>
      <c r="H98"/>
      <c r="I98"/>
      <c r="J98"/>
      <c r="K98"/>
      <c r="L98"/>
    </row>
    <row r="99" spans="4:17">
      <c r="D99"/>
      <c r="E99"/>
      <c r="F99"/>
      <c r="G99"/>
      <c r="H99"/>
      <c r="I99"/>
      <c r="J99"/>
      <c r="K99"/>
      <c r="L99"/>
    </row>
    <row r="100" spans="4:17">
      <c r="D100"/>
      <c r="E100"/>
      <c r="F100"/>
      <c r="G100"/>
      <c r="H100"/>
      <c r="I100"/>
      <c r="J100"/>
      <c r="K100"/>
      <c r="L100"/>
    </row>
    <row r="101" spans="4:17">
      <c r="D101"/>
      <c r="E101"/>
      <c r="F101"/>
      <c r="G101"/>
      <c r="H101"/>
      <c r="I101"/>
      <c r="J101"/>
      <c r="K101"/>
      <c r="L101"/>
    </row>
    <row r="102" spans="4:17">
      <c r="D102"/>
      <c r="E102"/>
      <c r="F102"/>
      <c r="G102"/>
      <c r="H102"/>
      <c r="I102"/>
      <c r="J102"/>
      <c r="K102"/>
      <c r="L102"/>
    </row>
    <row r="103" spans="4:17">
      <c r="D103"/>
      <c r="E103"/>
      <c r="F103"/>
      <c r="G103"/>
      <c r="H103"/>
      <c r="I103"/>
      <c r="J103"/>
      <c r="K103"/>
      <c r="L103"/>
    </row>
    <row r="104" spans="4:17">
      <c r="D104"/>
      <c r="E104"/>
      <c r="F104"/>
      <c r="G104"/>
      <c r="H104"/>
      <c r="I104"/>
      <c r="J104"/>
      <c r="K104"/>
      <c r="L104"/>
    </row>
    <row r="105" spans="4:17">
      <c r="D105"/>
      <c r="E105"/>
      <c r="F105"/>
      <c r="G105"/>
      <c r="H105"/>
      <c r="I105"/>
      <c r="J105"/>
      <c r="K105"/>
      <c r="L105"/>
    </row>
    <row r="106" spans="4:17">
      <c r="D106"/>
      <c r="E106"/>
      <c r="F106"/>
      <c r="G106"/>
      <c r="H106"/>
      <c r="I106"/>
      <c r="J106"/>
      <c r="K106"/>
      <c r="L106"/>
    </row>
    <row r="107" spans="4:17">
      <c r="D107"/>
      <c r="E107"/>
      <c r="F107"/>
      <c r="G107"/>
      <c r="H107"/>
      <c r="I107"/>
      <c r="J107"/>
      <c r="K107"/>
      <c r="L107"/>
    </row>
    <row r="108" spans="4:17">
      <c r="D108"/>
      <c r="E108"/>
      <c r="F108"/>
      <c r="G108"/>
      <c r="H108"/>
      <c r="I108"/>
      <c r="J108"/>
      <c r="K108"/>
      <c r="L108"/>
    </row>
    <row r="109" spans="4:17">
      <c r="D109"/>
      <c r="E109"/>
      <c r="F109" s="11"/>
      <c r="M109" s="12"/>
      <c r="N109" s="12"/>
      <c r="O109" s="12"/>
      <c r="P109" s="12"/>
      <c r="Q109" s="12"/>
    </row>
    <row r="110" spans="4:17">
      <c r="D110"/>
      <c r="E110"/>
      <c r="F110" s="11"/>
      <c r="M110" s="12"/>
      <c r="N110" s="12"/>
      <c r="O110" s="12"/>
      <c r="P110" s="12"/>
      <c r="Q110" s="12"/>
    </row>
    <row r="111" spans="4:17">
      <c r="D111"/>
      <c r="E111"/>
      <c r="F111" s="11"/>
      <c r="M111" s="12"/>
      <c r="N111" s="12"/>
      <c r="O111" s="12"/>
      <c r="P111" s="12"/>
      <c r="Q111" s="12"/>
    </row>
    <row r="112" spans="4:17">
      <c r="D112"/>
      <c r="E112"/>
      <c r="F112" s="11"/>
      <c r="M112" s="12"/>
      <c r="N112" s="12"/>
      <c r="O112" s="12"/>
      <c r="P112" s="12"/>
      <c r="Q112" s="12"/>
    </row>
    <row r="113" spans="4:17">
      <c r="D113"/>
      <c r="E113"/>
      <c r="F113" s="11"/>
      <c r="M113" s="12"/>
      <c r="N113" s="12"/>
      <c r="O113" s="12"/>
      <c r="P113" s="12"/>
      <c r="Q113" s="12"/>
    </row>
    <row r="114" spans="4:17">
      <c r="D114"/>
      <c r="E114"/>
      <c r="F114" s="11"/>
      <c r="M114" s="12"/>
      <c r="N114" s="12"/>
      <c r="O114" s="12"/>
      <c r="P114" s="12"/>
      <c r="Q114" s="12"/>
    </row>
    <row r="115" spans="4:17">
      <c r="D115"/>
      <c r="E115"/>
      <c r="F115" s="11"/>
      <c r="M115" s="12"/>
      <c r="N115" s="12"/>
      <c r="O115" s="12"/>
      <c r="P115" s="12"/>
      <c r="Q115" s="12"/>
    </row>
    <row r="116" spans="4:17">
      <c r="D116"/>
      <c r="E116"/>
      <c r="F116" s="11"/>
      <c r="M116" s="12"/>
      <c r="N116" s="12"/>
      <c r="O116" s="12"/>
      <c r="P116" s="12"/>
      <c r="Q116" s="12"/>
    </row>
    <row r="117" spans="4:17">
      <c r="D117"/>
      <c r="E117"/>
      <c r="F117" s="11"/>
      <c r="M117" s="12"/>
      <c r="N117" s="12"/>
      <c r="O117" s="12"/>
      <c r="P117" s="12"/>
      <c r="Q117" s="12"/>
    </row>
    <row r="118" spans="4:17">
      <c r="D118"/>
      <c r="E118"/>
      <c r="F118" s="11"/>
      <c r="M118" s="12"/>
      <c r="N118" s="12"/>
      <c r="O118" s="12"/>
      <c r="P118" s="12"/>
      <c r="Q118" s="12"/>
    </row>
    <row r="119" spans="4:17">
      <c r="D119"/>
      <c r="E119"/>
      <c r="F119" s="11"/>
      <c r="M119" s="12"/>
      <c r="N119" s="12"/>
      <c r="O119" s="12"/>
      <c r="P119" s="12"/>
      <c r="Q119" s="12"/>
    </row>
    <row r="120" spans="4:17">
      <c r="D120"/>
      <c r="E120"/>
      <c r="F120" s="11"/>
      <c r="M120" s="12"/>
      <c r="N120" s="12"/>
      <c r="O120" s="12"/>
      <c r="P120" s="12"/>
      <c r="Q120" s="12"/>
    </row>
    <row r="121" spans="4:17">
      <c r="D121"/>
      <c r="E121"/>
      <c r="F121" s="11"/>
      <c r="M121" s="12"/>
      <c r="N121" s="12"/>
      <c r="O121" s="12"/>
      <c r="P121" s="12"/>
      <c r="Q121" s="12"/>
    </row>
    <row r="122" spans="4:17">
      <c r="D122"/>
      <c r="E122"/>
      <c r="F122" s="11"/>
      <c r="M122" s="12"/>
      <c r="N122" s="12"/>
      <c r="O122" s="12"/>
      <c r="P122" s="12"/>
      <c r="Q122" s="12"/>
    </row>
    <row r="123" spans="4:17">
      <c r="D123"/>
      <c r="E123"/>
      <c r="F123" s="11"/>
      <c r="M123" s="12"/>
      <c r="N123" s="12"/>
      <c r="O123" s="12"/>
      <c r="P123" s="12"/>
      <c r="Q123" s="12"/>
    </row>
    <row r="124" spans="4:17">
      <c r="D124"/>
      <c r="E124"/>
      <c r="F124" s="11"/>
      <c r="M124" s="12"/>
      <c r="N124" s="12"/>
      <c r="O124" s="12"/>
      <c r="P124" s="12"/>
      <c r="Q124" s="12"/>
    </row>
    <row r="125" spans="4:17">
      <c r="D125"/>
      <c r="E125"/>
      <c r="F125" s="11"/>
      <c r="M125" s="12"/>
      <c r="N125" s="12"/>
      <c r="O125" s="12"/>
      <c r="P125" s="12"/>
      <c r="Q125" s="12"/>
    </row>
    <row r="126" spans="4:17">
      <c r="D126"/>
      <c r="E126"/>
      <c r="F126" s="11"/>
      <c r="M126" s="12"/>
      <c r="N126" s="12"/>
      <c r="O126" s="12"/>
      <c r="P126" s="12"/>
      <c r="Q126" s="12"/>
    </row>
    <row r="127" spans="4:17">
      <c r="D127"/>
      <c r="E127"/>
      <c r="F127" s="11"/>
      <c r="M127" s="12"/>
      <c r="N127" s="12"/>
      <c r="O127" s="12"/>
      <c r="P127" s="12"/>
      <c r="Q127" s="12"/>
    </row>
    <row r="128" spans="4:17">
      <c r="D128"/>
      <c r="E128"/>
      <c r="F128" s="11"/>
      <c r="M128" s="12"/>
      <c r="N128" s="12"/>
      <c r="O128" s="12"/>
      <c r="P128" s="12"/>
      <c r="Q128" s="12"/>
    </row>
    <row r="129" spans="4:17">
      <c r="D129"/>
      <c r="E129"/>
      <c r="F129" s="11"/>
      <c r="M129" s="12"/>
      <c r="N129" s="12"/>
      <c r="O129" s="12"/>
      <c r="P129" s="12"/>
      <c r="Q129" s="12"/>
    </row>
    <row r="130" spans="4:17">
      <c r="D130"/>
      <c r="E130"/>
      <c r="F130" s="11"/>
      <c r="M130" s="12"/>
      <c r="N130" s="12"/>
      <c r="O130" s="12"/>
      <c r="P130" s="12"/>
      <c r="Q130" s="12"/>
    </row>
    <row r="131" spans="4:17">
      <c r="D131"/>
      <c r="E131"/>
      <c r="F131"/>
      <c r="G131"/>
      <c r="H131"/>
      <c r="I131"/>
      <c r="J131"/>
      <c r="K131"/>
      <c r="L131"/>
    </row>
    <row r="132" spans="4:17">
      <c r="D132"/>
      <c r="E132"/>
      <c r="F132"/>
      <c r="G132"/>
      <c r="H132"/>
      <c r="I132"/>
      <c r="J132"/>
      <c r="K132"/>
      <c r="L132"/>
    </row>
    <row r="133" spans="4:17">
      <c r="D133"/>
      <c r="E133"/>
      <c r="F133"/>
      <c r="G133"/>
      <c r="H133"/>
      <c r="I133"/>
      <c r="J133"/>
      <c r="K133"/>
      <c r="L133"/>
    </row>
    <row r="134" spans="4:17">
      <c r="D134"/>
      <c r="E134"/>
      <c r="F134"/>
      <c r="G134"/>
      <c r="H134"/>
      <c r="I134"/>
      <c r="J134"/>
      <c r="K134"/>
      <c r="L134"/>
    </row>
    <row r="135" spans="4:17">
      <c r="D135"/>
      <c r="E135"/>
      <c r="F135"/>
      <c r="G135"/>
      <c r="H135"/>
      <c r="I135"/>
      <c r="J135"/>
      <c r="K135"/>
      <c r="L135"/>
    </row>
    <row r="136" spans="4:17">
      <c r="D136"/>
      <c r="E136"/>
      <c r="F136"/>
      <c r="G136"/>
      <c r="H136"/>
      <c r="I136"/>
      <c r="J136"/>
      <c r="K136"/>
      <c r="L136"/>
    </row>
    <row r="137" spans="4:17">
      <c r="D137"/>
      <c r="E137"/>
      <c r="F137"/>
      <c r="G137"/>
      <c r="H137"/>
      <c r="I137"/>
      <c r="J137"/>
      <c r="K137"/>
      <c r="L137"/>
    </row>
    <row r="138" spans="4:17">
      <c r="D138"/>
      <c r="E138"/>
      <c r="F138"/>
      <c r="G138"/>
      <c r="H138"/>
      <c r="I138"/>
      <c r="J138"/>
      <c r="K138"/>
      <c r="L138"/>
    </row>
    <row r="139" spans="4:17">
      <c r="D139"/>
      <c r="E139"/>
      <c r="F139"/>
      <c r="G139"/>
      <c r="H139"/>
      <c r="I139"/>
      <c r="J139"/>
      <c r="K139"/>
      <c r="L139"/>
    </row>
    <row r="140" spans="4:17">
      <c r="D140"/>
      <c r="E140"/>
      <c r="F140"/>
      <c r="G140"/>
      <c r="H140"/>
      <c r="I140"/>
      <c r="J140"/>
      <c r="K140"/>
      <c r="L140"/>
    </row>
    <row r="141" spans="4:17">
      <c r="D141"/>
      <c r="E141"/>
      <c r="F141"/>
      <c r="G141"/>
      <c r="H141"/>
      <c r="I141"/>
      <c r="J141"/>
      <c r="K141"/>
      <c r="L141"/>
    </row>
    <row r="142" spans="4:17">
      <c r="D142"/>
      <c r="E142"/>
      <c r="F142"/>
      <c r="G142"/>
      <c r="H142"/>
      <c r="I142"/>
      <c r="J142"/>
      <c r="K142"/>
      <c r="L142"/>
    </row>
    <row r="143" spans="4:17">
      <c r="D143"/>
      <c r="E143"/>
      <c r="F143"/>
      <c r="G143"/>
      <c r="H143"/>
      <c r="I143"/>
      <c r="J143"/>
      <c r="K143"/>
      <c r="L143"/>
    </row>
    <row r="144" spans="4:17">
      <c r="D144"/>
      <c r="E144"/>
      <c r="F144"/>
      <c r="G144"/>
      <c r="H144"/>
      <c r="I144"/>
      <c r="J144"/>
      <c r="K144"/>
      <c r="L144"/>
    </row>
    <row r="145" spans="4:17">
      <c r="D145"/>
      <c r="E145"/>
      <c r="F145"/>
      <c r="G145"/>
      <c r="H145"/>
      <c r="I145"/>
      <c r="J145"/>
      <c r="K145"/>
      <c r="L145"/>
    </row>
    <row r="146" spans="4:17">
      <c r="D146"/>
      <c r="E146"/>
      <c r="F146"/>
      <c r="G146"/>
      <c r="H146"/>
      <c r="I146"/>
      <c r="J146"/>
      <c r="K146"/>
      <c r="L146"/>
    </row>
    <row r="147" spans="4:17">
      <c r="D147"/>
      <c r="E147"/>
      <c r="F147"/>
      <c r="G147"/>
      <c r="H147"/>
      <c r="I147"/>
      <c r="J147"/>
      <c r="K147"/>
      <c r="L147"/>
    </row>
    <row r="148" spans="4:17">
      <c r="D148"/>
      <c r="E148"/>
      <c r="F148"/>
      <c r="G148"/>
      <c r="H148"/>
      <c r="I148"/>
      <c r="J148"/>
      <c r="K148"/>
      <c r="L148"/>
    </row>
    <row r="149" spans="4:17">
      <c r="D149"/>
      <c r="E149"/>
      <c r="F149"/>
      <c r="G149"/>
      <c r="H149"/>
      <c r="I149"/>
      <c r="J149"/>
      <c r="K149"/>
      <c r="L149"/>
    </row>
    <row r="150" spans="4:17">
      <c r="D150"/>
      <c r="E150"/>
      <c r="F150"/>
      <c r="G150"/>
      <c r="H150"/>
      <c r="I150"/>
      <c r="J150"/>
      <c r="K150"/>
      <c r="L150"/>
    </row>
    <row r="151" spans="4:17">
      <c r="D151"/>
      <c r="E151"/>
      <c r="F151"/>
      <c r="G151"/>
      <c r="H151"/>
      <c r="I151"/>
      <c r="J151"/>
      <c r="K151"/>
      <c r="L151"/>
    </row>
    <row r="152" spans="4:17">
      <c r="D152"/>
      <c r="E152"/>
      <c r="F152"/>
      <c r="G152"/>
      <c r="H152"/>
      <c r="I152"/>
      <c r="J152"/>
      <c r="K152"/>
      <c r="L152"/>
    </row>
    <row r="153" spans="4:17">
      <c r="D153"/>
      <c r="E153"/>
      <c r="F153"/>
      <c r="G153"/>
      <c r="H153"/>
      <c r="I153"/>
      <c r="J153"/>
      <c r="K153"/>
      <c r="L153"/>
    </row>
    <row r="154" spans="4:17">
      <c r="D154"/>
      <c r="E154"/>
      <c r="F154"/>
      <c r="G154"/>
      <c r="H154"/>
      <c r="I154"/>
      <c r="J154"/>
      <c r="K154"/>
      <c r="L154"/>
    </row>
    <row r="155" spans="4:17">
      <c r="D155"/>
      <c r="E155"/>
      <c r="F155" s="11"/>
      <c r="M155" s="12"/>
      <c r="N155" s="12"/>
      <c r="O155" s="12"/>
      <c r="P155" s="12"/>
      <c r="Q155" s="12"/>
    </row>
    <row r="156" spans="4:17">
      <c r="D156"/>
      <c r="E156"/>
      <c r="F156" s="11"/>
      <c r="M156" s="12"/>
      <c r="N156" s="12"/>
      <c r="O156" s="12"/>
      <c r="P156" s="12"/>
      <c r="Q156" s="12"/>
    </row>
    <row r="157" spans="4:17">
      <c r="D157"/>
      <c r="E157"/>
      <c r="F157" s="11"/>
      <c r="M157" s="12"/>
      <c r="N157" s="12"/>
      <c r="O157" s="12"/>
      <c r="P157" s="12"/>
      <c r="Q157" s="12"/>
    </row>
    <row r="158" spans="4:17">
      <c r="D158"/>
      <c r="E158"/>
      <c r="F158" s="11"/>
      <c r="M158" s="12"/>
      <c r="N158" s="12"/>
      <c r="O158" s="12"/>
      <c r="P158" s="12"/>
      <c r="Q158" s="12"/>
    </row>
    <row r="159" spans="4:17">
      <c r="D159"/>
      <c r="E159"/>
      <c r="F159"/>
      <c r="G159"/>
      <c r="H159"/>
      <c r="I159"/>
      <c r="J159"/>
      <c r="K159"/>
      <c r="L159"/>
    </row>
    <row r="160" spans="4:17">
      <c r="D160"/>
      <c r="E160"/>
      <c r="F160"/>
      <c r="G160"/>
      <c r="H160"/>
      <c r="I160"/>
      <c r="J160"/>
      <c r="K160"/>
      <c r="L160"/>
    </row>
    <row r="161" spans="1:18" ht="19">
      <c r="A161" s="245" t="str">
        <f>MAPS!$A$2</f>
        <v>Air Quality Monitor from OEM dashboard</v>
      </c>
      <c r="B161" s="245"/>
      <c r="C161" s="245"/>
      <c r="D161" s="246" t="str">
        <f>MAPS!F2</f>
        <v>7/15/2026, 7:32am</v>
      </c>
      <c r="E161" s="245" t="str">
        <f>MAPS!$J$2</f>
        <v>Northwest Large Fire Map</v>
      </c>
      <c r="F161" s="245"/>
      <c r="G161" s="245"/>
      <c r="H161" s="245"/>
      <c r="I161" s="245"/>
      <c r="J161" s="245"/>
      <c r="K161" s="245"/>
      <c r="L161" s="246"/>
      <c r="M161" s="246"/>
      <c r="N161" s="246"/>
      <c r="O161" s="246"/>
      <c r="P161" s="246"/>
      <c r="Q161" s="246"/>
      <c r="R161" s="178"/>
    </row>
    <row r="162" spans="1:18" ht="19">
      <c r="A162" s="245"/>
      <c r="B162" s="245"/>
      <c r="C162" s="245"/>
      <c r="D162" s="246"/>
      <c r="E162" s="245"/>
      <c r="F162" s="245"/>
      <c r="G162" s="245"/>
      <c r="H162" s="245"/>
      <c r="I162" s="245"/>
      <c r="J162" s="245"/>
      <c r="K162" s="245"/>
      <c r="L162" s="246"/>
      <c r="M162" s="246"/>
      <c r="N162" s="246"/>
      <c r="O162" s="246"/>
      <c r="P162" s="246"/>
      <c r="Q162" s="246"/>
      <c r="R162" s="178"/>
    </row>
    <row r="163" spans="1:18" ht="19">
      <c r="A163" s="245"/>
      <c r="B163" s="245"/>
      <c r="C163" s="245"/>
      <c r="D163" s="246"/>
      <c r="E163" s="245"/>
      <c r="F163" s="245"/>
      <c r="G163" s="245"/>
      <c r="H163" s="245"/>
      <c r="I163" s="245"/>
      <c r="J163" s="245"/>
      <c r="K163" s="245"/>
      <c r="L163" s="246"/>
      <c r="M163" s="246"/>
      <c r="N163" s="246"/>
      <c r="O163" s="246"/>
      <c r="P163" s="246"/>
      <c r="Q163" s="246"/>
      <c r="R163" s="178"/>
    </row>
    <row r="164" spans="1:18">
      <c r="A164" s="232" t="e" vm="2">
        <f>MAPS!A4</f>
        <v>#VALUE!</v>
      </c>
      <c r="B164" s="232"/>
      <c r="C164" s="232"/>
      <c r="D164" s="232"/>
      <c r="E164" s="241" t="s">
        <v>891</v>
      </c>
      <c r="F164" s="232"/>
      <c r="G164" s="232"/>
      <c r="H164" s="232"/>
      <c r="I164" s="232"/>
      <c r="J164" s="232"/>
      <c r="K164" s="232"/>
      <c r="L164" s="232"/>
      <c r="M164" s="232"/>
      <c r="N164" s="232"/>
      <c r="O164" s="232"/>
      <c r="P164" s="232"/>
      <c r="Q164" s="232"/>
      <c r="R164" s="98"/>
    </row>
    <row r="165" spans="1:18">
      <c r="A165" s="232"/>
      <c r="B165" s="232"/>
      <c r="C165" s="232"/>
      <c r="D165" s="232"/>
      <c r="E165" s="232"/>
      <c r="F165" s="232"/>
      <c r="G165" s="232"/>
      <c r="H165" s="232"/>
      <c r="I165" s="232"/>
      <c r="J165" s="232"/>
      <c r="K165" s="232"/>
      <c r="L165" s="232"/>
      <c r="M165" s="232"/>
      <c r="N165" s="232"/>
      <c r="O165" s="232"/>
      <c r="P165" s="232"/>
      <c r="Q165" s="232"/>
      <c r="R165" s="98"/>
    </row>
    <row r="166" spans="1:18">
      <c r="A166" s="232"/>
      <c r="B166" s="232"/>
      <c r="C166" s="232"/>
      <c r="D166" s="232"/>
      <c r="E166" s="232"/>
      <c r="F166" s="232"/>
      <c r="G166" s="232"/>
      <c r="H166" s="232"/>
      <c r="I166" s="232"/>
      <c r="J166" s="232"/>
      <c r="K166" s="232"/>
      <c r="L166" s="232"/>
      <c r="M166" s="232"/>
      <c r="N166" s="232"/>
      <c r="O166" s="232"/>
      <c r="P166" s="232"/>
      <c r="Q166" s="232"/>
      <c r="R166" s="98"/>
    </row>
    <row r="167" spans="1:18">
      <c r="A167" s="232"/>
      <c r="B167" s="232"/>
      <c r="C167" s="232"/>
      <c r="D167" s="232"/>
      <c r="E167" s="232"/>
      <c r="F167" s="232"/>
      <c r="G167" s="232"/>
      <c r="H167" s="232"/>
      <c r="I167" s="232"/>
      <c r="J167" s="232"/>
      <c r="K167" s="232"/>
      <c r="L167" s="232"/>
      <c r="M167" s="232"/>
      <c r="N167" s="232"/>
      <c r="O167" s="232"/>
      <c r="P167" s="232"/>
      <c r="Q167" s="232"/>
      <c r="R167" s="98"/>
    </row>
    <row r="168" spans="1:18">
      <c r="A168" s="232"/>
      <c r="B168" s="232"/>
      <c r="C168" s="232"/>
      <c r="D168" s="232"/>
      <c r="E168" s="232"/>
      <c r="F168" s="232"/>
      <c r="G168" s="232"/>
      <c r="H168" s="232"/>
      <c r="I168" s="232"/>
      <c r="J168" s="232"/>
      <c r="K168" s="232"/>
      <c r="L168" s="232"/>
      <c r="M168" s="232"/>
      <c r="N168" s="232"/>
      <c r="O168" s="232"/>
      <c r="P168" s="232"/>
      <c r="Q168" s="232"/>
      <c r="R168" s="98"/>
    </row>
    <row r="169" spans="1:18">
      <c r="A169" s="232"/>
      <c r="B169" s="232"/>
      <c r="C169" s="232"/>
      <c r="D169" s="232"/>
      <c r="E169" s="232"/>
      <c r="F169" s="232"/>
      <c r="G169" s="232"/>
      <c r="H169" s="232"/>
      <c r="I169" s="232"/>
      <c r="J169" s="232"/>
      <c r="K169" s="232"/>
      <c r="L169" s="232"/>
      <c r="M169" s="232"/>
      <c r="N169" s="232"/>
      <c r="O169" s="232"/>
      <c r="P169" s="232"/>
      <c r="Q169" s="232"/>
      <c r="R169" s="98"/>
    </row>
    <row r="170" spans="1:18">
      <c r="A170" s="232"/>
      <c r="B170" s="232"/>
      <c r="C170" s="232"/>
      <c r="D170" s="232"/>
      <c r="E170" s="232"/>
      <c r="F170" s="232"/>
      <c r="G170" s="232"/>
      <c r="H170" s="232"/>
      <c r="I170" s="232"/>
      <c r="J170" s="232"/>
      <c r="K170" s="232"/>
      <c r="L170" s="232"/>
      <c r="M170" s="232"/>
      <c r="N170" s="232"/>
      <c r="O170" s="232"/>
      <c r="P170" s="232"/>
      <c r="Q170" s="232"/>
      <c r="R170" s="98"/>
    </row>
    <row r="171" spans="1:18">
      <c r="A171" s="232"/>
      <c r="B171" s="232"/>
      <c r="C171" s="232"/>
      <c r="D171" s="232"/>
      <c r="E171" s="232"/>
      <c r="F171" s="232"/>
      <c r="G171" s="232"/>
      <c r="H171" s="232"/>
      <c r="I171" s="232"/>
      <c r="J171" s="232"/>
      <c r="K171" s="232"/>
      <c r="L171" s="232"/>
      <c r="M171" s="232"/>
      <c r="N171" s="232"/>
      <c r="O171" s="232"/>
      <c r="P171" s="232"/>
      <c r="Q171" s="232"/>
      <c r="R171" s="98"/>
    </row>
    <row r="172" spans="1:18">
      <c r="A172" s="232"/>
      <c r="B172" s="232"/>
      <c r="C172" s="232"/>
      <c r="D172" s="232"/>
      <c r="E172" s="232"/>
      <c r="F172" s="232"/>
      <c r="G172" s="232"/>
      <c r="H172" s="232"/>
      <c r="I172" s="232"/>
      <c r="J172" s="232"/>
      <c r="K172" s="232"/>
      <c r="L172" s="232"/>
      <c r="M172" s="232"/>
      <c r="N172" s="232"/>
      <c r="O172" s="232"/>
      <c r="P172" s="232"/>
      <c r="Q172" s="232"/>
      <c r="R172" s="98"/>
    </row>
    <row r="173" spans="1:18">
      <c r="A173" s="232"/>
      <c r="B173" s="232"/>
      <c r="C173" s="232"/>
      <c r="D173" s="232"/>
      <c r="E173" s="232"/>
      <c r="F173" s="232"/>
      <c r="G173" s="232"/>
      <c r="H173" s="232"/>
      <c r="I173" s="232"/>
      <c r="J173" s="232"/>
      <c r="K173" s="232"/>
      <c r="L173" s="232"/>
      <c r="M173" s="232"/>
      <c r="N173" s="232"/>
      <c r="O173" s="232"/>
      <c r="P173" s="232"/>
      <c r="Q173" s="232"/>
      <c r="R173" s="98"/>
    </row>
    <row r="174" spans="1:18">
      <c r="A174" s="232"/>
      <c r="B174" s="232"/>
      <c r="C174" s="232"/>
      <c r="D174" s="232"/>
      <c r="E174" s="232"/>
      <c r="F174" s="232"/>
      <c r="G174" s="232"/>
      <c r="H174" s="232"/>
      <c r="I174" s="232"/>
      <c r="J174" s="232"/>
      <c r="K174" s="232"/>
      <c r="L174" s="232"/>
      <c r="M174" s="232"/>
      <c r="N174" s="232"/>
      <c r="O174" s="232"/>
      <c r="P174" s="232"/>
      <c r="Q174" s="232"/>
      <c r="R174" s="98"/>
    </row>
    <row r="175" spans="1:18">
      <c r="A175" s="232"/>
      <c r="B175" s="232"/>
      <c r="C175" s="232"/>
      <c r="D175" s="232"/>
      <c r="E175" s="232"/>
      <c r="F175" s="232"/>
      <c r="G175" s="232"/>
      <c r="H175" s="232"/>
      <c r="I175" s="232"/>
      <c r="J175" s="232"/>
      <c r="K175" s="232"/>
      <c r="L175" s="232"/>
      <c r="M175" s="232"/>
      <c r="N175" s="232"/>
      <c r="O175" s="232"/>
      <c r="P175" s="232"/>
      <c r="Q175" s="232"/>
      <c r="R175" s="98"/>
    </row>
    <row r="176" spans="1:18">
      <c r="A176" s="232"/>
      <c r="B176" s="232"/>
      <c r="C176" s="232"/>
      <c r="D176" s="232"/>
      <c r="E176" s="232"/>
      <c r="F176" s="232"/>
      <c r="G176" s="232"/>
      <c r="H176" s="232"/>
      <c r="I176" s="232"/>
      <c r="J176" s="232"/>
      <c r="K176" s="232"/>
      <c r="L176" s="232"/>
      <c r="M176" s="232"/>
      <c r="N176" s="232"/>
      <c r="O176" s="232"/>
      <c r="P176" s="232"/>
      <c r="Q176" s="232"/>
      <c r="R176" s="98"/>
    </row>
    <row r="177" spans="1:26">
      <c r="A177" s="232"/>
      <c r="B177" s="232"/>
      <c r="C177" s="232"/>
      <c r="D177" s="232"/>
      <c r="E177" s="232"/>
      <c r="F177" s="232"/>
      <c r="G177" s="232"/>
      <c r="H177" s="232"/>
      <c r="I177" s="232"/>
      <c r="J177" s="232"/>
      <c r="K177" s="232"/>
      <c r="L177" s="232"/>
      <c r="M177" s="232"/>
      <c r="N177" s="232"/>
      <c r="O177" s="232"/>
      <c r="P177" s="232"/>
      <c r="Q177" s="232"/>
      <c r="R177" s="98"/>
    </row>
    <row r="178" spans="1:26">
      <c r="A178" s="232"/>
      <c r="B178" s="232"/>
      <c r="C178" s="232"/>
      <c r="D178" s="232"/>
      <c r="E178" s="232"/>
      <c r="F178" s="232"/>
      <c r="G178" s="232"/>
      <c r="H178" s="232"/>
      <c r="I178" s="232"/>
      <c r="J178" s="232"/>
      <c r="K178" s="232"/>
      <c r="L178" s="232"/>
      <c r="M178" s="232"/>
      <c r="N178" s="232"/>
      <c r="O178" s="232"/>
      <c r="P178" s="232"/>
      <c r="Q178" s="232"/>
      <c r="R178" s="98"/>
    </row>
    <row r="179" spans="1:26">
      <c r="A179" s="232"/>
      <c r="B179" s="232"/>
      <c r="C179" s="232"/>
      <c r="D179" s="232"/>
      <c r="E179" s="232"/>
      <c r="F179" s="232"/>
      <c r="G179" s="232"/>
      <c r="H179" s="232"/>
      <c r="I179" s="232"/>
      <c r="J179" s="232"/>
      <c r="K179" s="232"/>
      <c r="L179" s="232"/>
      <c r="M179" s="232"/>
      <c r="N179" s="232"/>
      <c r="O179" s="232"/>
      <c r="P179" s="232"/>
      <c r="Q179" s="232"/>
      <c r="R179" s="98"/>
    </row>
    <row r="180" spans="1:26">
      <c r="A180" s="232"/>
      <c r="B180" s="232"/>
      <c r="C180" s="232"/>
      <c r="D180" s="232"/>
      <c r="E180" s="232"/>
      <c r="F180" s="232"/>
      <c r="G180" s="232"/>
      <c r="H180" s="232"/>
      <c r="I180" s="232"/>
      <c r="J180" s="232"/>
      <c r="K180" s="232"/>
      <c r="L180" s="232"/>
      <c r="M180" s="232"/>
      <c r="N180" s="232"/>
      <c r="O180" s="232"/>
      <c r="P180" s="232"/>
      <c r="Q180" s="232"/>
      <c r="R180" s="98"/>
    </row>
    <row r="181" spans="1:26">
      <c r="A181" s="232"/>
      <c r="B181" s="232"/>
      <c r="C181" s="232"/>
      <c r="D181" s="232"/>
      <c r="E181" s="232"/>
      <c r="F181" s="232"/>
      <c r="G181" s="232"/>
      <c r="H181" s="232"/>
      <c r="I181" s="232"/>
      <c r="J181" s="232"/>
      <c r="K181" s="232"/>
      <c r="L181" s="232"/>
      <c r="M181" s="232"/>
      <c r="N181" s="232"/>
      <c r="O181" s="232"/>
      <c r="P181" s="232"/>
      <c r="Q181" s="232"/>
      <c r="R181" s="98"/>
    </row>
    <row r="182" spans="1:26">
      <c r="A182" s="232"/>
      <c r="B182" s="232"/>
      <c r="C182" s="232"/>
      <c r="D182" s="232"/>
      <c r="E182" s="232"/>
      <c r="F182" s="232"/>
      <c r="G182" s="232"/>
      <c r="H182" s="232"/>
      <c r="I182" s="232"/>
      <c r="J182" s="232"/>
      <c r="K182" s="232"/>
      <c r="L182" s="232"/>
      <c r="M182" s="232"/>
      <c r="N182" s="232"/>
      <c r="O182" s="232"/>
      <c r="P182" s="232"/>
      <c r="Q182" s="232"/>
      <c r="R182" s="98"/>
    </row>
    <row r="183" spans="1:26">
      <c r="A183" s="232"/>
      <c r="B183" s="232"/>
      <c r="C183" s="232"/>
      <c r="D183" s="232"/>
      <c r="E183" s="232"/>
      <c r="F183" s="232"/>
      <c r="G183" s="232"/>
      <c r="H183" s="232"/>
      <c r="I183" s="232"/>
      <c r="J183" s="232"/>
      <c r="K183" s="232"/>
      <c r="L183" s="232"/>
      <c r="M183" s="232"/>
      <c r="N183" s="232"/>
      <c r="O183" s="232"/>
      <c r="P183" s="232"/>
      <c r="Q183" s="232"/>
      <c r="R183" s="98"/>
    </row>
    <row r="184" spans="1:26">
      <c r="A184" s="232"/>
      <c r="B184" s="232"/>
      <c r="C184" s="232"/>
      <c r="D184" s="232"/>
      <c r="E184" s="232"/>
      <c r="F184" s="232"/>
      <c r="G184" s="232"/>
      <c r="H184" s="232"/>
      <c r="I184" s="232"/>
      <c r="J184" s="232"/>
      <c r="K184" s="232"/>
      <c r="L184" s="232"/>
      <c r="M184" s="232"/>
      <c r="N184" s="232"/>
      <c r="O184" s="232"/>
      <c r="P184" s="232"/>
      <c r="Q184" s="232"/>
      <c r="R184" s="98"/>
      <c r="W184" s="111"/>
      <c r="X184" s="111"/>
      <c r="Y184" s="111"/>
      <c r="Z184" s="111"/>
    </row>
    <row r="185" spans="1:26">
      <c r="A185" s="232"/>
      <c r="B185" s="232"/>
      <c r="C185" s="232"/>
      <c r="D185" s="232"/>
      <c r="E185" s="232"/>
      <c r="F185" s="232"/>
      <c r="G185" s="232"/>
      <c r="H185" s="232"/>
      <c r="I185" s="232"/>
      <c r="J185" s="232"/>
      <c r="K185" s="232"/>
      <c r="L185" s="232"/>
      <c r="M185" s="232"/>
      <c r="N185" s="232"/>
      <c r="O185" s="232"/>
      <c r="P185" s="232"/>
      <c r="Q185" s="232"/>
      <c r="R185" s="98"/>
      <c r="W185" s="111"/>
      <c r="X185" s="111"/>
      <c r="Y185" s="111"/>
      <c r="Z185" s="111"/>
    </row>
    <row r="186" spans="1:26">
      <c r="A186" s="232"/>
      <c r="B186" s="232"/>
      <c r="C186" s="232"/>
      <c r="D186" s="232"/>
      <c r="E186" s="232"/>
      <c r="F186" s="232"/>
      <c r="G186" s="232"/>
      <c r="H186" s="232"/>
      <c r="I186" s="232"/>
      <c r="J186" s="232"/>
      <c r="K186" s="232"/>
      <c r="L186" s="232"/>
      <c r="M186" s="232"/>
      <c r="N186" s="232"/>
      <c r="O186" s="232"/>
      <c r="P186" s="232"/>
      <c r="Q186" s="232"/>
      <c r="R186" s="98"/>
      <c r="W186" s="111"/>
      <c r="X186" s="111"/>
      <c r="Y186" s="111"/>
      <c r="Z186" s="111"/>
    </row>
    <row r="187" spans="1:26">
      <c r="A187" s="232"/>
      <c r="B187" s="232"/>
      <c r="C187" s="232"/>
      <c r="D187" s="232"/>
      <c r="E187" s="232"/>
      <c r="F187" s="232"/>
      <c r="G187" s="232"/>
      <c r="H187" s="232"/>
      <c r="I187" s="232"/>
      <c r="J187" s="232"/>
      <c r="K187" s="232"/>
      <c r="L187" s="232"/>
      <c r="M187" s="232"/>
      <c r="N187" s="232"/>
      <c r="O187" s="232"/>
      <c r="P187" s="232"/>
      <c r="Q187" s="232"/>
      <c r="R187" s="98"/>
      <c r="W187" s="111"/>
      <c r="X187" s="111"/>
      <c r="Y187" s="111"/>
      <c r="Z187" s="111"/>
    </row>
    <row r="188" spans="1:26">
      <c r="A188" s="232"/>
      <c r="B188" s="232"/>
      <c r="C188" s="232"/>
      <c r="D188" s="232"/>
      <c r="E188" s="232"/>
      <c r="F188" s="232"/>
      <c r="G188" s="232"/>
      <c r="H188" s="232"/>
      <c r="I188" s="232"/>
      <c r="J188" s="232"/>
      <c r="K188" s="232"/>
      <c r="L188" s="232"/>
      <c r="M188" s="232"/>
      <c r="N188" s="232"/>
      <c r="O188" s="232"/>
      <c r="P188" s="232"/>
      <c r="Q188" s="232"/>
      <c r="R188" s="98"/>
      <c r="W188" s="111"/>
      <c r="X188" s="111"/>
      <c r="Y188" s="111"/>
      <c r="Z188" s="111"/>
    </row>
    <row r="189" spans="1:26">
      <c r="A189" s="232"/>
      <c r="B189" s="232"/>
      <c r="C189" s="232"/>
      <c r="D189" s="232"/>
      <c r="E189" s="232"/>
      <c r="F189" s="232"/>
      <c r="G189" s="232"/>
      <c r="H189" s="232"/>
      <c r="I189" s="232"/>
      <c r="J189" s="232"/>
      <c r="K189" s="232"/>
      <c r="L189" s="232"/>
      <c r="M189" s="232"/>
      <c r="N189" s="232"/>
      <c r="O189" s="232"/>
      <c r="P189" s="232"/>
      <c r="Q189" s="232"/>
      <c r="R189" s="98"/>
      <c r="W189" s="111"/>
      <c r="X189" s="111"/>
      <c r="Y189" s="111"/>
      <c r="Z189" s="111"/>
    </row>
    <row r="190" spans="1:26">
      <c r="A190" s="232"/>
      <c r="B190" s="232"/>
      <c r="C190" s="232"/>
      <c r="D190" s="232"/>
      <c r="E190" s="232"/>
      <c r="F190" s="232"/>
      <c r="G190" s="232"/>
      <c r="H190" s="232"/>
      <c r="I190" s="232"/>
      <c r="J190" s="232"/>
      <c r="K190" s="232"/>
      <c r="L190" s="232"/>
      <c r="M190" s="232"/>
      <c r="N190" s="232"/>
      <c r="O190" s="232"/>
      <c r="P190" s="232"/>
      <c r="Q190" s="232"/>
      <c r="R190" s="98"/>
      <c r="W190" s="111"/>
      <c r="X190" s="111"/>
      <c r="Y190" s="111"/>
      <c r="Z190" s="111"/>
    </row>
    <row r="191" spans="1:26">
      <c r="A191" s="232"/>
      <c r="B191" s="232"/>
      <c r="C191" s="232"/>
      <c r="D191" s="232"/>
      <c r="E191" s="232"/>
      <c r="F191" s="232"/>
      <c r="G191" s="232"/>
      <c r="H191" s="232"/>
      <c r="I191" s="232"/>
      <c r="J191" s="232"/>
      <c r="K191" s="232"/>
      <c r="L191" s="232"/>
      <c r="M191" s="232"/>
      <c r="N191" s="232"/>
      <c r="O191" s="232"/>
      <c r="P191" s="232"/>
      <c r="Q191" s="232"/>
      <c r="R191" s="98"/>
      <c r="W191" s="111"/>
      <c r="X191" s="111"/>
      <c r="Y191" s="111"/>
      <c r="Z191" s="111"/>
    </row>
    <row r="192" spans="1:26">
      <c r="A192" s="98"/>
      <c r="B192" s="98"/>
      <c r="C192" s="98"/>
      <c r="D192" s="98"/>
      <c r="E192" s="98"/>
      <c r="F192" s="98"/>
      <c r="G192" s="98"/>
      <c r="H192" s="98"/>
      <c r="I192" s="98"/>
      <c r="J192" s="98"/>
      <c r="K192" s="98"/>
      <c r="L192" s="98"/>
      <c r="M192" s="98"/>
      <c r="N192" s="98"/>
      <c r="O192" s="98"/>
      <c r="P192" s="98"/>
      <c r="Q192" s="98"/>
      <c r="R192" s="98"/>
      <c r="W192" s="111"/>
      <c r="X192" s="111"/>
      <c r="Y192" s="111"/>
      <c r="Z192" s="111"/>
    </row>
    <row r="193" spans="1:26">
      <c r="A193" s="232" t="e" vm="3">
        <v>#VALUE!</v>
      </c>
      <c r="B193" s="232"/>
      <c r="C193" s="232"/>
      <c r="D193" s="98"/>
      <c r="E193" s="98"/>
      <c r="F193" s="98"/>
      <c r="G193" s="98"/>
      <c r="H193" s="98"/>
      <c r="I193" s="98"/>
      <c r="J193" s="98"/>
      <c r="K193" s="98"/>
      <c r="L193" s="98"/>
      <c r="M193" s="98"/>
      <c r="N193" s="98"/>
      <c r="O193" s="98"/>
      <c r="P193" s="98"/>
      <c r="Q193" s="98"/>
      <c r="R193" s="98"/>
      <c r="W193" s="111"/>
      <c r="X193" s="111"/>
      <c r="Y193" s="111"/>
      <c r="Z193" s="111"/>
    </row>
    <row r="194" spans="1:26">
      <c r="A194" s="232"/>
      <c r="B194" s="232"/>
      <c r="C194" s="232"/>
      <c r="D194" s="98"/>
      <c r="E194" s="98"/>
      <c r="F194" s="98"/>
      <c r="G194" s="98"/>
      <c r="H194" s="98"/>
      <c r="I194" s="98"/>
      <c r="J194" s="98"/>
      <c r="K194" s="98"/>
      <c r="L194" s="98"/>
      <c r="M194" s="98"/>
      <c r="N194" s="98"/>
      <c r="O194" s="98"/>
      <c r="P194" s="98"/>
      <c r="Q194" s="98"/>
      <c r="R194" s="98"/>
      <c r="W194" s="111"/>
      <c r="X194" s="111"/>
      <c r="Y194" s="111"/>
      <c r="Z194" s="111"/>
    </row>
    <row r="195" spans="1:26">
      <c r="A195" s="232"/>
      <c r="B195" s="232"/>
      <c r="C195" s="232"/>
      <c r="D195" s="98"/>
      <c r="E195" s="98"/>
      <c r="F195" s="98"/>
      <c r="G195" s="98"/>
      <c r="H195" s="98"/>
      <c r="I195" s="98"/>
      <c r="J195" s="98"/>
      <c r="K195" s="98"/>
      <c r="L195" s="98"/>
      <c r="M195" s="98"/>
      <c r="N195" s="98"/>
      <c r="O195" s="98"/>
      <c r="P195" s="98"/>
      <c r="Q195" s="98"/>
      <c r="R195" s="98"/>
      <c r="W195" s="111"/>
      <c r="X195" s="111"/>
      <c r="Y195" s="111"/>
      <c r="Z195" s="111"/>
    </row>
    <row r="196" spans="1:26">
      <c r="A196" s="232"/>
      <c r="B196" s="232"/>
      <c r="C196" s="232"/>
      <c r="D196" s="98"/>
      <c r="E196" s="98"/>
      <c r="F196" s="98"/>
      <c r="G196" s="98"/>
      <c r="H196" s="98"/>
      <c r="I196" s="98"/>
      <c r="J196" s="98"/>
      <c r="K196" s="98"/>
      <c r="L196" s="98"/>
      <c r="M196" s="98"/>
      <c r="N196" s="98"/>
      <c r="O196" s="98"/>
      <c r="P196" s="98"/>
      <c r="Q196" s="98"/>
      <c r="R196" s="98"/>
      <c r="W196" s="111"/>
      <c r="X196" s="111"/>
      <c r="Y196" s="111"/>
      <c r="Z196" s="111"/>
    </row>
    <row r="197" spans="1:26">
      <c r="A197" s="232"/>
      <c r="B197" s="232"/>
      <c r="C197" s="232"/>
      <c r="D197" s="98"/>
      <c r="E197" s="98"/>
      <c r="F197" s="98"/>
      <c r="G197" s="98"/>
      <c r="H197" s="98"/>
      <c r="I197" s="98"/>
      <c r="J197" s="98"/>
      <c r="K197" s="98"/>
      <c r="L197" s="98"/>
      <c r="M197" s="98"/>
      <c r="N197" s="98"/>
      <c r="O197" s="98"/>
      <c r="P197" s="98"/>
      <c r="Q197" s="98"/>
      <c r="R197" s="98"/>
      <c r="W197" s="111"/>
      <c r="X197" s="111"/>
      <c r="Y197" s="111"/>
      <c r="Z197" s="111"/>
    </row>
    <row r="198" spans="1:26">
      <c r="A198" s="232"/>
      <c r="B198" s="232"/>
      <c r="C198" s="232"/>
      <c r="D198" s="98"/>
      <c r="E198" s="98"/>
      <c r="F198" s="98"/>
      <c r="G198" s="98"/>
      <c r="H198" s="98"/>
      <c r="I198" s="98"/>
      <c r="J198" s="98"/>
      <c r="K198" s="98"/>
      <c r="L198" s="98"/>
      <c r="M198" s="98"/>
      <c r="N198" s="98"/>
      <c r="O198" s="98"/>
      <c r="P198" s="98"/>
      <c r="Q198" s="98"/>
      <c r="R198" s="98"/>
      <c r="W198" s="111"/>
      <c r="X198" s="111"/>
      <c r="Y198" s="111"/>
      <c r="Z198" s="111"/>
    </row>
    <row r="199" spans="1:26">
      <c r="A199" s="232"/>
      <c r="B199" s="232"/>
      <c r="C199" s="232"/>
      <c r="D199" s="98"/>
      <c r="E199" s="98"/>
      <c r="F199" s="98"/>
      <c r="G199" s="98"/>
      <c r="H199" s="98"/>
      <c r="I199" s="98"/>
      <c r="J199" s="98"/>
      <c r="K199" s="98"/>
      <c r="L199" s="98"/>
      <c r="M199" s="98"/>
      <c r="N199" s="98"/>
      <c r="O199" s="98"/>
      <c r="P199" s="98"/>
      <c r="Q199" s="98"/>
      <c r="R199" s="98"/>
      <c r="W199" s="111"/>
      <c r="X199" s="111"/>
      <c r="Y199" s="111"/>
      <c r="Z199" s="111"/>
    </row>
    <row r="200" spans="1:26">
      <c r="A200" s="232"/>
      <c r="B200" s="232"/>
      <c r="C200" s="232"/>
      <c r="D200" s="98"/>
      <c r="E200" s="98"/>
      <c r="F200" s="98"/>
      <c r="G200" s="98"/>
      <c r="H200" s="98"/>
      <c r="I200" s="98"/>
      <c r="J200" s="98"/>
      <c r="K200" s="98"/>
      <c r="L200" s="98"/>
      <c r="M200" s="98"/>
      <c r="N200" s="98"/>
      <c r="O200" s="98"/>
      <c r="P200" s="98"/>
      <c r="Q200" s="98"/>
      <c r="R200" s="98"/>
    </row>
    <row r="201" spans="1:26">
      <c r="A201" s="232"/>
      <c r="B201" s="232"/>
      <c r="C201" s="232"/>
      <c r="D201" s="98"/>
      <c r="E201" s="98"/>
      <c r="F201" s="98"/>
      <c r="G201" s="98"/>
      <c r="H201" s="98"/>
      <c r="I201" s="98"/>
      <c r="J201" s="98"/>
      <c r="K201" s="98"/>
      <c r="L201" s="98"/>
      <c r="M201" s="98"/>
      <c r="N201" s="98"/>
      <c r="O201" s="98"/>
      <c r="P201" s="98"/>
      <c r="Q201" s="98"/>
      <c r="R201" s="98"/>
    </row>
    <row r="202" spans="1:26">
      <c r="A202" s="232"/>
      <c r="B202" s="232"/>
      <c r="C202" s="232"/>
      <c r="D202" s="98"/>
      <c r="E202" s="98"/>
      <c r="F202" s="98"/>
      <c r="G202" s="98"/>
      <c r="H202" s="98"/>
      <c r="I202" s="98"/>
      <c r="J202" s="98"/>
      <c r="K202" s="98"/>
      <c r="L202" s="98"/>
      <c r="M202" s="98"/>
      <c r="N202" s="98"/>
      <c r="O202" s="98"/>
      <c r="P202" s="98"/>
      <c r="Q202" s="98"/>
      <c r="R202" s="98"/>
    </row>
    <row r="203" spans="1:26">
      <c r="A203" s="232"/>
      <c r="B203" s="232"/>
      <c r="C203" s="232"/>
      <c r="D203" s="98"/>
      <c r="E203" s="98"/>
      <c r="F203" s="98"/>
      <c r="G203" s="98"/>
      <c r="H203" s="98"/>
      <c r="I203" s="98"/>
      <c r="J203" s="98"/>
      <c r="K203" s="98"/>
      <c r="L203" s="98"/>
      <c r="M203" s="98"/>
      <c r="N203" s="98"/>
      <c r="O203" s="98"/>
      <c r="P203" s="98"/>
      <c r="Q203" s="98"/>
      <c r="R203" s="98"/>
    </row>
    <row r="204" spans="1:26">
      <c r="A204" s="232"/>
      <c r="B204" s="232"/>
      <c r="C204" s="232"/>
      <c r="D204" s="98"/>
      <c r="E204" s="98"/>
      <c r="F204" s="98"/>
      <c r="G204" s="98"/>
      <c r="H204" s="98"/>
      <c r="I204" s="98"/>
      <c r="J204" s="98"/>
      <c r="K204" s="98"/>
      <c r="L204" s="98"/>
      <c r="M204" s="98"/>
      <c r="N204" s="98"/>
      <c r="O204" s="98"/>
      <c r="P204" s="98"/>
      <c r="Q204" s="98"/>
      <c r="R204" s="98"/>
    </row>
    <row r="205" spans="1:26">
      <c r="A205" s="232"/>
      <c r="B205" s="232"/>
      <c r="C205" s="232"/>
      <c r="D205" s="98"/>
      <c r="E205" s="98"/>
      <c r="F205" s="98"/>
      <c r="G205" s="98"/>
      <c r="H205" s="98"/>
      <c r="I205" s="98"/>
      <c r="J205" s="98"/>
      <c r="K205" s="98"/>
      <c r="L205" s="98"/>
      <c r="M205" s="98"/>
      <c r="N205" s="98"/>
      <c r="O205" s="98"/>
      <c r="P205" s="98"/>
      <c r="Q205" s="98"/>
      <c r="R205" s="98"/>
    </row>
    <row r="206" spans="1:26">
      <c r="A206" s="232"/>
      <c r="B206" s="232"/>
      <c r="C206" s="232"/>
      <c r="D206" s="98"/>
      <c r="E206" s="98"/>
      <c r="F206" s="98"/>
      <c r="G206" s="98"/>
      <c r="H206" s="98"/>
      <c r="I206" s="98"/>
      <c r="J206" s="98"/>
      <c r="K206" s="98"/>
      <c r="L206" s="98"/>
      <c r="M206" s="98"/>
      <c r="N206" s="98"/>
      <c r="O206" s="98"/>
      <c r="P206" s="98"/>
      <c r="Q206" s="98"/>
      <c r="R206" s="98"/>
    </row>
    <row r="207" spans="1:26">
      <c r="A207" s="232"/>
      <c r="B207" s="232"/>
      <c r="C207" s="232"/>
      <c r="D207" s="98"/>
      <c r="E207" s="98"/>
      <c r="F207" s="98"/>
      <c r="G207" s="98"/>
      <c r="H207" s="98"/>
      <c r="I207" s="98"/>
      <c r="J207" s="98"/>
      <c r="K207" s="98"/>
      <c r="L207" s="98"/>
      <c r="M207" s="98"/>
      <c r="N207" s="98"/>
      <c r="O207" s="98"/>
      <c r="P207" s="98"/>
      <c r="Q207" s="98"/>
      <c r="R207" s="98"/>
    </row>
    <row r="208" spans="1:26">
      <c r="A208" s="232"/>
      <c r="B208" s="232"/>
      <c r="C208" s="232"/>
      <c r="D208" s="98"/>
      <c r="E208" s="98"/>
      <c r="F208" s="98"/>
      <c r="G208" s="98"/>
      <c r="H208" s="98"/>
      <c r="I208" s="98"/>
      <c r="J208" s="98"/>
      <c r="K208" s="98"/>
      <c r="L208" s="98"/>
      <c r="M208" s="98"/>
      <c r="N208" s="98"/>
      <c r="O208" s="98"/>
      <c r="P208" s="98"/>
      <c r="Q208" s="98"/>
      <c r="R208" s="98"/>
    </row>
    <row r="209" spans="1:21">
      <c r="A209" s="98"/>
      <c r="B209" s="98"/>
      <c r="C209" s="98"/>
      <c r="D209" s="98"/>
      <c r="E209" s="98"/>
      <c r="F209" s="98"/>
      <c r="G209" s="98"/>
      <c r="H209" s="98"/>
      <c r="I209" s="98"/>
      <c r="J209" s="98"/>
      <c r="K209" s="98"/>
      <c r="L209" s="98"/>
      <c r="M209" s="98"/>
      <c r="N209" s="98"/>
      <c r="O209" s="98"/>
      <c r="P209" s="98"/>
      <c r="Q209" s="98"/>
      <c r="R209" s="98"/>
    </row>
    <row r="210" spans="1:21">
      <c r="A210" s="98"/>
      <c r="B210" s="98"/>
      <c r="C210" s="98"/>
      <c r="D210" s="98"/>
      <c r="E210" s="98"/>
      <c r="F210" s="98"/>
      <c r="G210" s="98"/>
      <c r="H210" s="98"/>
      <c r="I210" s="98"/>
      <c r="J210" s="98"/>
      <c r="K210" s="98"/>
      <c r="L210" s="98"/>
      <c r="M210" s="98"/>
      <c r="N210" s="98"/>
      <c r="O210" s="98"/>
      <c r="P210" s="98"/>
      <c r="Q210" s="98"/>
      <c r="R210" s="98"/>
    </row>
    <row r="211" spans="1:21">
      <c r="A211" s="98"/>
      <c r="B211" s="98"/>
      <c r="C211" s="98"/>
      <c r="D211" s="98"/>
      <c r="E211" s="98"/>
      <c r="F211" s="98"/>
      <c r="G211" s="98"/>
      <c r="H211" s="98"/>
      <c r="I211" s="98"/>
      <c r="J211" s="98"/>
      <c r="K211" s="98"/>
      <c r="L211" s="98"/>
      <c r="M211" s="98"/>
      <c r="N211" s="98"/>
      <c r="O211" s="98"/>
      <c r="P211" s="98"/>
      <c r="Q211" s="98"/>
      <c r="R211" s="98"/>
    </row>
    <row r="212" spans="1:21">
      <c r="A212" s="98"/>
      <c r="B212" s="98"/>
      <c r="C212" s="98"/>
      <c r="D212" s="98"/>
      <c r="E212" s="98"/>
      <c r="F212" s="98"/>
      <c r="G212" s="98"/>
      <c r="H212" s="98"/>
      <c r="I212" s="98"/>
      <c r="J212" s="98"/>
      <c r="K212" s="98"/>
      <c r="L212" s="98"/>
      <c r="M212" s="98"/>
      <c r="N212" s="98"/>
      <c r="O212" s="98"/>
      <c r="P212" s="98"/>
      <c r="Q212" s="98"/>
      <c r="R212" s="98"/>
    </row>
    <row r="213" spans="1:21">
      <c r="A213" s="98"/>
      <c r="B213" s="98"/>
      <c r="C213" s="98"/>
      <c r="D213" s="98"/>
      <c r="E213" s="98"/>
      <c r="F213" s="98"/>
      <c r="G213" s="98"/>
      <c r="H213" s="98"/>
      <c r="I213" s="98"/>
      <c r="J213" s="98"/>
      <c r="K213" s="98"/>
      <c r="L213" s="98"/>
      <c r="M213" s="98"/>
      <c r="N213" s="98"/>
      <c r="O213" s="98"/>
      <c r="P213" s="98"/>
      <c r="Q213" s="98"/>
      <c r="R213" s="98"/>
    </row>
    <row r="214" spans="1:21">
      <c r="A214" s="98"/>
      <c r="B214" s="98"/>
      <c r="C214" s="98"/>
      <c r="D214" s="98"/>
      <c r="E214" s="98"/>
      <c r="F214" s="98"/>
      <c r="G214" s="98"/>
      <c r="H214" s="98"/>
      <c r="I214" s="98"/>
      <c r="J214" s="98"/>
      <c r="K214" s="98"/>
      <c r="L214" s="98"/>
      <c r="M214" s="98"/>
      <c r="N214" s="98"/>
      <c r="O214" s="98"/>
      <c r="P214" s="98"/>
      <c r="Q214" s="98"/>
      <c r="R214" s="98"/>
    </row>
    <row r="215" spans="1:21">
      <c r="A215" s="98"/>
      <c r="B215" s="98"/>
      <c r="C215" s="98"/>
      <c r="D215" s="98"/>
      <c r="E215" s="98"/>
      <c r="F215" s="98"/>
      <c r="G215" s="98"/>
      <c r="H215" s="98"/>
      <c r="I215" s="98"/>
      <c r="J215" s="98"/>
      <c r="K215" s="98"/>
      <c r="L215" s="98"/>
      <c r="M215" s="98"/>
      <c r="N215" s="98"/>
      <c r="O215" s="98"/>
      <c r="P215" s="98"/>
      <c r="Q215" s="98"/>
      <c r="R215" s="98"/>
    </row>
    <row r="216" spans="1:21">
      <c r="A216" s="98"/>
      <c r="B216" s="98"/>
      <c r="C216" s="98"/>
      <c r="D216" s="98"/>
      <c r="E216" s="98"/>
      <c r="F216" s="98"/>
      <c r="G216" s="98"/>
      <c r="H216" s="98"/>
      <c r="I216" s="98"/>
      <c r="J216" s="98"/>
      <c r="K216" s="98"/>
      <c r="L216" s="98"/>
      <c r="M216" s="98"/>
      <c r="N216" s="98"/>
      <c r="O216" s="98"/>
      <c r="P216" s="98"/>
      <c r="Q216" s="98"/>
      <c r="R216" s="98"/>
    </row>
    <row r="217" spans="1:21">
      <c r="A217" s="237"/>
      <c r="B217" s="237"/>
      <c r="C217" s="237"/>
      <c r="D217" s="237"/>
      <c r="E217" s="237"/>
      <c r="F217" s="237"/>
      <c r="G217" s="237"/>
      <c r="H217" s="237"/>
      <c r="I217" s="237"/>
      <c r="J217" s="237"/>
      <c r="K217" s="237"/>
      <c r="L217" s="237"/>
    </row>
    <row r="218" spans="1:21">
      <c r="A218" s="237"/>
      <c r="B218" s="237"/>
      <c r="C218" s="237"/>
      <c r="D218" s="237"/>
      <c r="E218" s="237"/>
      <c r="F218" s="237"/>
      <c r="G218" s="237"/>
      <c r="H218" s="237"/>
      <c r="I218" s="237"/>
      <c r="J218" s="237"/>
      <c r="K218" s="237"/>
      <c r="L218" s="237"/>
    </row>
    <row r="219" spans="1:21">
      <c r="A219" s="237"/>
      <c r="B219" s="237"/>
      <c r="C219" s="237"/>
      <c r="D219" s="237"/>
      <c r="E219" s="237"/>
      <c r="F219" s="237"/>
      <c r="G219" s="237"/>
      <c r="H219" s="237"/>
      <c r="I219" s="237"/>
      <c r="J219" s="237"/>
      <c r="K219" s="237"/>
      <c r="L219" s="237"/>
    </row>
    <row r="220" spans="1:21" ht="19">
      <c r="A220" s="237"/>
      <c r="B220" s="237"/>
      <c r="C220" s="237"/>
      <c r="D220" s="237"/>
      <c r="E220" s="237"/>
      <c r="F220" s="237"/>
      <c r="G220" s="237"/>
      <c r="H220" s="237"/>
      <c r="I220" s="237"/>
      <c r="J220" s="237"/>
      <c r="K220" s="237"/>
      <c r="L220" s="237"/>
      <c r="U220" s="97" t="s">
        <v>609</v>
      </c>
    </row>
    <row r="221" spans="1:21">
      <c r="A221" s="237"/>
      <c r="B221" s="237"/>
      <c r="C221" s="237"/>
      <c r="D221" s="237"/>
      <c r="E221" s="237"/>
      <c r="F221" s="237"/>
      <c r="G221" s="237"/>
      <c r="H221" s="237"/>
      <c r="I221" s="237"/>
      <c r="J221" s="237"/>
      <c r="K221" s="237"/>
      <c r="L221" s="237"/>
    </row>
    <row r="222" spans="1:21" ht="19">
      <c r="A222" s="237"/>
      <c r="B222" s="237"/>
      <c r="C222" s="237"/>
      <c r="D222" s="237"/>
      <c r="E222" s="237"/>
      <c r="F222" s="237"/>
      <c r="G222" s="237"/>
      <c r="H222" s="237"/>
      <c r="I222" s="237"/>
      <c r="J222" s="237"/>
      <c r="K222" s="237"/>
      <c r="L222" s="237"/>
      <c r="Q222" s="97"/>
      <c r="R222" s="97"/>
    </row>
    <row r="223" spans="1:21">
      <c r="A223" s="237"/>
      <c r="B223" s="237"/>
      <c r="C223" s="237"/>
      <c r="D223" s="237"/>
      <c r="E223" s="237"/>
      <c r="F223" s="237"/>
      <c r="G223" s="237"/>
      <c r="H223" s="237"/>
      <c r="I223" s="237"/>
      <c r="J223" s="237"/>
      <c r="K223" s="237"/>
      <c r="L223" s="237"/>
    </row>
    <row r="224" spans="1:21">
      <c r="A224" s="237"/>
      <c r="B224" s="237"/>
      <c r="C224" s="237"/>
      <c r="D224" s="237"/>
      <c r="E224" s="237"/>
      <c r="F224" s="237"/>
      <c r="G224" s="237"/>
      <c r="H224" s="237"/>
      <c r="I224" s="237"/>
      <c r="J224" s="237"/>
      <c r="K224" s="237"/>
      <c r="L224" s="237"/>
    </row>
    <row r="225" spans="1:12">
      <c r="A225" s="237"/>
      <c r="B225" s="237"/>
      <c r="C225" s="237"/>
      <c r="D225" s="237"/>
      <c r="E225" s="237"/>
      <c r="F225" s="237"/>
      <c r="G225" s="237"/>
      <c r="H225" s="237"/>
      <c r="I225" s="237"/>
      <c r="J225" s="237"/>
      <c r="K225" s="237"/>
      <c r="L225" s="237"/>
    </row>
    <row r="226" spans="1:12">
      <c r="A226" s="237"/>
      <c r="B226" s="237"/>
      <c r="C226" s="237"/>
      <c r="D226" s="237"/>
      <c r="E226" s="237"/>
      <c r="F226" s="237"/>
      <c r="G226" s="237"/>
      <c r="H226" s="237"/>
      <c r="I226" s="237"/>
      <c r="J226" s="237"/>
      <c r="K226" s="237"/>
      <c r="L226" s="237"/>
    </row>
    <row r="227" spans="1:12">
      <c r="A227" s="237"/>
      <c r="B227" s="237"/>
      <c r="C227" s="237"/>
      <c r="D227" s="237"/>
      <c r="E227" s="237"/>
      <c r="F227" s="237"/>
      <c r="G227" s="237"/>
      <c r="H227" s="237"/>
      <c r="I227" s="237"/>
      <c r="J227" s="237"/>
      <c r="K227" s="237"/>
      <c r="L227" s="237"/>
    </row>
    <row r="228" spans="1:12">
      <c r="A228" s="237"/>
      <c r="B228" s="237"/>
      <c r="C228" s="237"/>
      <c r="D228" s="237"/>
      <c r="E228" s="237"/>
      <c r="F228" s="237"/>
      <c r="G228" s="237"/>
      <c r="H228" s="237"/>
      <c r="I228" s="237"/>
      <c r="J228" s="237"/>
      <c r="K228" s="237"/>
      <c r="L228" s="237"/>
    </row>
    <row r="229" spans="1:12">
      <c r="A229" s="237"/>
      <c r="B229" s="237"/>
      <c r="C229" s="237"/>
      <c r="D229" s="237"/>
      <c r="E229" s="237"/>
      <c r="F229" s="237"/>
      <c r="G229" s="237"/>
      <c r="H229" s="237"/>
      <c r="I229" s="237"/>
      <c r="J229" s="237"/>
      <c r="K229" s="237"/>
      <c r="L229" s="237"/>
    </row>
    <row r="230" spans="1:12">
      <c r="A230" s="237"/>
      <c r="B230" s="237"/>
      <c r="C230" s="237"/>
      <c r="D230" s="237"/>
      <c r="E230" s="237"/>
      <c r="F230" s="237"/>
      <c r="G230" s="237"/>
      <c r="H230" s="237"/>
      <c r="I230" s="237"/>
      <c r="J230" s="237"/>
      <c r="K230" s="237"/>
      <c r="L230" s="237"/>
    </row>
    <row r="231" spans="1:12">
      <c r="A231" s="237"/>
      <c r="B231" s="237"/>
      <c r="C231" s="237"/>
      <c r="D231" s="237"/>
      <c r="E231" s="237"/>
      <c r="F231" s="237"/>
      <c r="G231" s="237"/>
      <c r="H231" s="237"/>
      <c r="I231" s="237"/>
      <c r="J231" s="237"/>
      <c r="K231" s="237"/>
      <c r="L231" s="237"/>
    </row>
    <row r="232" spans="1:12">
      <c r="A232" s="237"/>
      <c r="B232" s="237"/>
      <c r="C232" s="237"/>
      <c r="D232" s="237"/>
      <c r="E232" s="237"/>
      <c r="F232" s="237"/>
      <c r="G232" s="237"/>
      <c r="H232" s="237"/>
      <c r="I232" s="237"/>
      <c r="J232" s="237"/>
      <c r="K232" s="237"/>
      <c r="L232" s="237"/>
    </row>
    <row r="233" spans="1:12">
      <c r="A233" s="237"/>
      <c r="B233" s="237"/>
      <c r="C233" s="237"/>
      <c r="D233" s="237"/>
      <c r="E233" s="237"/>
      <c r="F233" s="237"/>
      <c r="G233" s="237"/>
      <c r="H233" s="237"/>
      <c r="I233" s="237"/>
      <c r="J233" s="237"/>
      <c r="K233" s="237"/>
      <c r="L233" s="237"/>
    </row>
    <row r="234" spans="1:12">
      <c r="A234" s="237"/>
      <c r="B234" s="237"/>
      <c r="C234" s="237"/>
      <c r="D234" s="237"/>
      <c r="E234" s="237"/>
      <c r="F234" s="237"/>
      <c r="G234" s="237"/>
      <c r="H234" s="237"/>
      <c r="I234" s="237"/>
      <c r="J234" s="237"/>
      <c r="K234" s="237"/>
      <c r="L234" s="237"/>
    </row>
    <row r="235" spans="1:12">
      <c r="A235" s="237"/>
      <c r="B235" s="237"/>
      <c r="C235" s="237"/>
      <c r="D235" s="237"/>
      <c r="E235" s="237"/>
      <c r="F235" s="237"/>
      <c r="G235" s="237"/>
      <c r="H235" s="237"/>
      <c r="I235" s="237"/>
      <c r="J235" s="237"/>
      <c r="K235" s="237"/>
      <c r="L235" s="237"/>
    </row>
    <row r="236" spans="1:12">
      <c r="A236" s="237"/>
      <c r="B236" s="237"/>
      <c r="C236" s="237"/>
      <c r="D236" s="237"/>
      <c r="E236" s="237"/>
      <c r="F236" s="237"/>
      <c r="G236" s="237"/>
      <c r="H236" s="237"/>
      <c r="I236" s="237"/>
      <c r="J236" s="237"/>
      <c r="K236" s="237"/>
      <c r="L236" s="237"/>
    </row>
    <row r="237" spans="1:12">
      <c r="A237" s="237"/>
      <c r="B237" s="237"/>
      <c r="C237" s="237"/>
      <c r="D237" s="237"/>
      <c r="E237" s="237"/>
      <c r="F237" s="237"/>
      <c r="G237" s="237"/>
      <c r="H237" s="237"/>
      <c r="I237" s="237"/>
      <c r="J237" s="237"/>
      <c r="K237" s="237"/>
      <c r="L237" s="237"/>
    </row>
    <row r="238" spans="1:12">
      <c r="A238" s="237"/>
      <c r="B238" s="237"/>
      <c r="C238" s="237"/>
      <c r="D238" s="237"/>
      <c r="E238" s="237"/>
      <c r="F238" s="237"/>
      <c r="G238" s="237"/>
      <c r="H238" s="237"/>
      <c r="I238" s="237"/>
      <c r="J238" s="237"/>
      <c r="K238" s="237"/>
      <c r="L238" s="237"/>
    </row>
    <row r="239" spans="1:12">
      <c r="A239" s="237"/>
      <c r="B239" s="237"/>
      <c r="C239" s="237"/>
      <c r="D239" s="237"/>
      <c r="E239" s="237"/>
      <c r="F239" s="237"/>
      <c r="G239" s="237"/>
      <c r="H239" s="237"/>
      <c r="I239" s="237"/>
      <c r="J239" s="237"/>
      <c r="K239" s="237"/>
      <c r="L239" s="237"/>
    </row>
    <row r="240" spans="1:12">
      <c r="A240" s="237"/>
      <c r="B240" s="237"/>
      <c r="C240" s="237"/>
      <c r="D240" s="237"/>
      <c r="E240" s="237"/>
      <c r="F240" s="237"/>
      <c r="G240" s="237"/>
      <c r="H240" s="237"/>
      <c r="I240" s="237"/>
      <c r="J240" s="237"/>
      <c r="K240" s="237"/>
      <c r="L240" s="237"/>
    </row>
    <row r="241" spans="1:12">
      <c r="A241" s="237"/>
      <c r="B241" s="237"/>
      <c r="C241" s="237"/>
      <c r="D241" s="237"/>
      <c r="E241" s="237"/>
      <c r="F241" s="237"/>
      <c r="G241" s="237"/>
      <c r="H241" s="237"/>
      <c r="I241" s="237"/>
      <c r="J241" s="237"/>
      <c r="K241" s="237"/>
      <c r="L241" s="237"/>
    </row>
    <row r="242" spans="1:12">
      <c r="A242" s="237"/>
      <c r="B242" s="237"/>
      <c r="C242" s="237"/>
      <c r="D242" s="237"/>
      <c r="E242" s="237"/>
      <c r="F242" s="237"/>
      <c r="G242" s="237"/>
      <c r="H242" s="237"/>
      <c r="I242" s="237"/>
      <c r="J242" s="237"/>
      <c r="K242" s="237"/>
      <c r="L242" s="237"/>
    </row>
    <row r="243" spans="1:12">
      <c r="A243" s="237"/>
      <c r="B243" s="237"/>
      <c r="C243" s="237"/>
      <c r="D243" s="237"/>
      <c r="E243" s="237"/>
      <c r="F243" s="237"/>
      <c r="G243" s="237"/>
      <c r="H243" s="237"/>
      <c r="I243" s="237"/>
      <c r="J243" s="237"/>
      <c r="K243" s="237"/>
      <c r="L243" s="237"/>
    </row>
    <row r="244" spans="1:12">
      <c r="A244" s="237"/>
      <c r="B244" s="237"/>
      <c r="C244" s="237"/>
      <c r="D244" s="237"/>
      <c r="E244" s="237"/>
      <c r="F244" s="237"/>
      <c r="G244" s="237"/>
      <c r="H244" s="237"/>
      <c r="I244" s="237"/>
      <c r="J244" s="237"/>
      <c r="K244" s="237"/>
      <c r="L244" s="237"/>
    </row>
    <row r="245" spans="1:12">
      <c r="A245" s="237"/>
      <c r="B245" s="237"/>
      <c r="C245" s="237"/>
      <c r="D245" s="237"/>
      <c r="E245" s="237"/>
      <c r="F245" s="237"/>
      <c r="G245" s="237"/>
      <c r="H245" s="237"/>
      <c r="I245" s="237"/>
      <c r="J245" s="237"/>
      <c r="K245" s="237"/>
      <c r="L245" s="237"/>
    </row>
    <row r="246" spans="1:12">
      <c r="A246" s="237"/>
      <c r="B246" s="237"/>
      <c r="C246" s="237"/>
      <c r="D246" s="237"/>
      <c r="E246" s="237"/>
      <c r="F246" s="237"/>
      <c r="G246" s="237"/>
      <c r="H246" s="237"/>
      <c r="I246" s="237"/>
      <c r="J246" s="237"/>
      <c r="K246" s="237"/>
      <c r="L246" s="237"/>
    </row>
    <row r="247" spans="1:12">
      <c r="A247" s="237"/>
      <c r="B247" s="237"/>
      <c r="C247" s="237"/>
      <c r="D247" s="237"/>
      <c r="E247" s="237"/>
      <c r="F247" s="237"/>
      <c r="G247" s="237"/>
      <c r="H247" s="237"/>
      <c r="I247" s="237"/>
      <c r="J247" s="237"/>
      <c r="K247" s="237"/>
      <c r="L247" s="237"/>
    </row>
    <row r="248" spans="1:12">
      <c r="A248" s="237"/>
      <c r="B248" s="237"/>
      <c r="C248" s="237"/>
      <c r="D248" s="237"/>
      <c r="E248" s="237"/>
      <c r="F248" s="237"/>
      <c r="G248" s="237"/>
      <c r="H248" s="237"/>
      <c r="I248" s="237"/>
      <c r="J248" s="237"/>
      <c r="K248" s="237"/>
      <c r="L248" s="237"/>
    </row>
    <row r="249" spans="1:12">
      <c r="A249" s="237"/>
      <c r="B249" s="237"/>
      <c r="C249" s="237"/>
      <c r="D249" s="237"/>
      <c r="E249" s="237"/>
      <c r="F249" s="237"/>
      <c r="G249" s="237"/>
      <c r="H249" s="237"/>
      <c r="I249" s="237"/>
      <c r="J249" s="237"/>
      <c r="K249" s="237"/>
      <c r="L249" s="237"/>
    </row>
    <row r="250" spans="1:12">
      <c r="A250" s="237"/>
      <c r="B250" s="237"/>
      <c r="C250" s="237"/>
      <c r="D250" s="237"/>
      <c r="E250" s="237"/>
      <c r="F250" s="237"/>
      <c r="G250" s="237"/>
      <c r="H250" s="237"/>
      <c r="I250" s="237"/>
      <c r="J250" s="237"/>
      <c r="K250" s="237"/>
      <c r="L250" s="237"/>
    </row>
    <row r="251" spans="1:12">
      <c r="A251" s="237"/>
      <c r="B251" s="237"/>
      <c r="C251" s="237"/>
      <c r="D251" s="237"/>
      <c r="E251" s="237"/>
      <c r="F251" s="237"/>
      <c r="G251" s="237"/>
      <c r="H251" s="237"/>
      <c r="I251" s="237"/>
      <c r="J251" s="237"/>
      <c r="K251" s="237"/>
      <c r="L251" s="237"/>
    </row>
    <row r="252" spans="1:12">
      <c r="A252" s="237"/>
      <c r="B252" s="237"/>
      <c r="C252" s="237"/>
      <c r="D252" s="237"/>
      <c r="E252" s="237"/>
      <c r="F252" s="237"/>
      <c r="G252" s="237"/>
      <c r="H252" s="237"/>
      <c r="I252" s="237"/>
      <c r="J252" s="237"/>
      <c r="K252" s="237"/>
      <c r="L252" s="237"/>
    </row>
    <row r="253" spans="1:12">
      <c r="A253" s="237"/>
      <c r="B253" s="237"/>
      <c r="C253" s="237"/>
      <c r="D253" s="237"/>
      <c r="E253" s="237"/>
      <c r="F253" s="237"/>
      <c r="G253" s="237"/>
      <c r="H253" s="237"/>
      <c r="I253" s="237"/>
      <c r="J253" s="237"/>
      <c r="K253" s="237"/>
      <c r="L253" s="237"/>
    </row>
    <row r="254" spans="1:12">
      <c r="A254" s="237"/>
      <c r="B254" s="237"/>
      <c r="C254" s="237"/>
      <c r="D254" s="237"/>
      <c r="E254" s="237"/>
      <c r="F254" s="237"/>
      <c r="G254" s="237"/>
      <c r="H254" s="237"/>
      <c r="I254" s="237"/>
      <c r="J254" s="237"/>
      <c r="K254" s="237"/>
      <c r="L254" s="237"/>
    </row>
    <row r="255" spans="1:12">
      <c r="A255" s="237"/>
      <c r="B255" s="237"/>
      <c r="C255" s="237"/>
      <c r="D255" s="237"/>
      <c r="E255" s="237"/>
      <c r="F255" s="237"/>
      <c r="G255" s="237"/>
      <c r="H255" s="237"/>
      <c r="I255" s="237"/>
      <c r="J255" s="237"/>
      <c r="K255" s="237"/>
      <c r="L255" s="237"/>
    </row>
    <row r="256" spans="1:12">
      <c r="A256" s="237"/>
      <c r="B256" s="237"/>
      <c r="C256" s="237"/>
      <c r="D256" s="237"/>
      <c r="E256" s="237"/>
      <c r="F256" s="237"/>
      <c r="G256" s="237"/>
      <c r="H256" s="237"/>
      <c r="I256" s="237"/>
      <c r="J256" s="237"/>
      <c r="K256" s="237"/>
      <c r="L256" s="237"/>
    </row>
    <row r="257" spans="1:18">
      <c r="A257" s="237"/>
      <c r="B257" s="237"/>
      <c r="C257" s="237"/>
      <c r="D257" s="237"/>
      <c r="E257" s="237"/>
      <c r="F257" s="237"/>
      <c r="G257" s="237"/>
      <c r="H257" s="237"/>
      <c r="I257" s="237"/>
      <c r="J257" s="237"/>
      <c r="K257" s="237"/>
      <c r="L257" s="237"/>
    </row>
    <row r="258" spans="1:18">
      <c r="A258" s="237"/>
      <c r="B258" s="237"/>
      <c r="C258" s="237"/>
      <c r="D258" s="237"/>
      <c r="E258" s="237"/>
      <c r="F258" s="237"/>
      <c r="G258" s="237"/>
      <c r="H258" s="237"/>
      <c r="I258" s="237"/>
      <c r="J258" s="237"/>
      <c r="K258" s="237"/>
      <c r="L258" s="237"/>
    </row>
    <row r="259" spans="1:18">
      <c r="A259" s="237"/>
      <c r="B259" s="237"/>
      <c r="C259" s="237"/>
      <c r="D259" s="237"/>
      <c r="E259" s="237"/>
      <c r="F259" s="237"/>
      <c r="G259" s="237"/>
      <c r="H259" s="237"/>
      <c r="I259" s="237"/>
      <c r="J259" s="237"/>
      <c r="K259" s="237"/>
      <c r="L259" s="237"/>
    </row>
    <row r="260" spans="1:18">
      <c r="A260" s="237"/>
      <c r="B260" s="237"/>
      <c r="C260" s="237"/>
      <c r="D260" s="237"/>
      <c r="E260" s="237"/>
      <c r="F260" s="237"/>
      <c r="G260" s="237"/>
      <c r="H260" s="237"/>
      <c r="I260" s="237"/>
      <c r="J260" s="237"/>
      <c r="K260" s="237"/>
      <c r="L260" s="237"/>
    </row>
    <row r="261" spans="1:18">
      <c r="A261" s="237"/>
      <c r="B261" s="237"/>
      <c r="C261" s="237"/>
      <c r="D261" s="237"/>
      <c r="E261" s="237"/>
      <c r="F261" s="237"/>
      <c r="G261" s="237"/>
      <c r="H261" s="237"/>
      <c r="I261" s="237"/>
      <c r="J261" s="237"/>
      <c r="K261" s="237"/>
      <c r="L261" s="237"/>
    </row>
    <row r="262" spans="1:18">
      <c r="A262" s="237"/>
      <c r="B262" s="237"/>
      <c r="C262" s="237"/>
      <c r="D262" s="237"/>
      <c r="E262" s="237"/>
      <c r="F262" s="237"/>
      <c r="G262" s="237"/>
      <c r="H262" s="237"/>
      <c r="I262" s="237"/>
      <c r="J262" s="237"/>
      <c r="K262" s="237"/>
      <c r="L262" s="237"/>
    </row>
    <row r="263" spans="1:18">
      <c r="A263" s="111"/>
      <c r="B263" s="111"/>
      <c r="C263" s="111"/>
      <c r="D263" s="111"/>
      <c r="E263" s="98"/>
      <c r="F263" s="98"/>
      <c r="G263" s="98"/>
      <c r="H263" s="98"/>
      <c r="I263" s="98"/>
      <c r="J263" s="98"/>
      <c r="K263" s="98"/>
      <c r="L263" s="98"/>
      <c r="M263" s="98"/>
      <c r="N263" s="98"/>
      <c r="O263" s="98"/>
      <c r="P263" s="98"/>
      <c r="Q263" s="98"/>
      <c r="R263" s="98"/>
    </row>
    <row r="264" spans="1:18">
      <c r="A264" s="111"/>
      <c r="B264" s="111"/>
      <c r="C264" s="111"/>
      <c r="D264" s="111"/>
      <c r="E264" s="98"/>
      <c r="F264" s="98"/>
      <c r="G264" s="98"/>
      <c r="H264" s="98"/>
      <c r="I264" s="98"/>
      <c r="J264" s="98"/>
      <c r="K264" s="98"/>
      <c r="L264" s="98"/>
      <c r="M264" s="98"/>
      <c r="N264" s="98"/>
      <c r="O264" s="98"/>
      <c r="P264" s="98"/>
      <c r="Q264" s="98"/>
      <c r="R264" s="98"/>
    </row>
    <row r="265" spans="1:18">
      <c r="A265" s="111"/>
      <c r="B265" s="111"/>
      <c r="C265" s="111"/>
      <c r="D265" s="111"/>
      <c r="E265" s="98"/>
      <c r="F265" s="98"/>
      <c r="G265" s="98"/>
      <c r="H265" s="98"/>
      <c r="I265" s="98"/>
      <c r="J265" s="98"/>
      <c r="K265" s="98"/>
      <c r="L265" s="98"/>
      <c r="M265" s="98"/>
      <c r="N265" s="98"/>
      <c r="O265" s="98"/>
      <c r="P265" s="98"/>
      <c r="Q265" s="98"/>
      <c r="R265" s="98"/>
    </row>
    <row r="266" spans="1:18">
      <c r="A266" s="111"/>
      <c r="B266" s="111"/>
      <c r="C266" s="111"/>
      <c r="D266" s="111"/>
      <c r="E266" s="98"/>
      <c r="F266" s="98"/>
      <c r="G266" s="98"/>
      <c r="H266" s="98"/>
      <c r="I266" s="98"/>
      <c r="J266" s="98"/>
      <c r="K266" s="98"/>
      <c r="L266" s="98"/>
      <c r="M266" s="98"/>
      <c r="N266" s="98"/>
      <c r="O266" s="98"/>
      <c r="P266" s="98"/>
      <c r="Q266" s="98"/>
      <c r="R266" s="98"/>
    </row>
    <row r="267" spans="1:18">
      <c r="A267" s="111"/>
      <c r="B267" s="111"/>
      <c r="C267" s="111"/>
      <c r="D267" s="111"/>
      <c r="E267" s="98"/>
      <c r="F267" s="98"/>
      <c r="G267" s="98"/>
      <c r="H267" s="98"/>
      <c r="I267" s="98"/>
      <c r="J267" s="98"/>
      <c r="K267" s="98"/>
      <c r="L267" s="98"/>
      <c r="M267" s="98"/>
      <c r="N267" s="98"/>
      <c r="O267" s="98"/>
      <c r="P267" s="98"/>
      <c r="Q267" s="98"/>
      <c r="R267" s="98"/>
    </row>
    <row r="268" spans="1:18">
      <c r="A268" s="111"/>
      <c r="B268" s="111"/>
      <c r="C268" s="111"/>
      <c r="D268" s="111"/>
      <c r="E268" s="98"/>
      <c r="F268" s="98"/>
      <c r="G268" s="98"/>
      <c r="H268" s="98"/>
      <c r="I268" s="98"/>
      <c r="J268" s="98"/>
      <c r="K268" s="98"/>
      <c r="L268" s="98"/>
      <c r="M268" s="98"/>
      <c r="N268" s="98"/>
      <c r="O268" s="98"/>
      <c r="P268" s="98"/>
      <c r="Q268" s="98"/>
      <c r="R268" s="98"/>
    </row>
    <row r="269" spans="1:18">
      <c r="A269" s="111"/>
      <c r="B269" s="111"/>
      <c r="C269" s="111"/>
      <c r="D269" s="111"/>
      <c r="E269" s="98"/>
      <c r="F269" s="98"/>
      <c r="G269" s="98"/>
      <c r="H269" s="98"/>
      <c r="I269" s="98"/>
      <c r="J269" s="98"/>
      <c r="K269" s="98"/>
      <c r="L269" s="98"/>
      <c r="M269" s="98"/>
      <c r="N269" s="98"/>
      <c r="O269" s="98"/>
      <c r="P269" s="98"/>
      <c r="Q269" s="98"/>
      <c r="R269" s="98"/>
    </row>
    <row r="270" spans="1:18">
      <c r="A270" s="111"/>
      <c r="B270" s="111"/>
      <c r="C270" s="111"/>
      <c r="D270" s="111"/>
      <c r="E270" s="98"/>
      <c r="F270" s="98"/>
      <c r="G270" s="98"/>
      <c r="H270" s="98"/>
      <c r="I270" s="98"/>
      <c r="J270" s="98"/>
      <c r="K270" s="98"/>
      <c r="L270" s="98"/>
      <c r="M270" s="98"/>
      <c r="N270" s="98"/>
      <c r="O270" s="98"/>
      <c r="P270" s="98"/>
      <c r="Q270" s="98"/>
      <c r="R270" s="98"/>
    </row>
    <row r="271" spans="1:18">
      <c r="A271" s="111"/>
      <c r="B271" s="111"/>
      <c r="C271" s="111"/>
      <c r="D271" s="111"/>
      <c r="E271" s="98"/>
      <c r="F271" s="98"/>
      <c r="G271" s="98"/>
      <c r="H271" s="98"/>
      <c r="I271" s="98"/>
      <c r="J271" s="98"/>
      <c r="K271" s="98"/>
      <c r="L271" s="98"/>
      <c r="M271" s="98"/>
      <c r="N271" s="98"/>
      <c r="O271" s="98"/>
      <c r="P271" s="98"/>
      <c r="Q271" s="98"/>
      <c r="R271" s="98"/>
    </row>
    <row r="272" spans="1:18">
      <c r="A272" s="111"/>
      <c r="B272" s="111"/>
      <c r="C272" s="111"/>
      <c r="D272" s="111"/>
      <c r="E272" s="98"/>
      <c r="F272" s="98"/>
      <c r="G272" s="98"/>
      <c r="H272" s="98"/>
      <c r="I272" s="98"/>
      <c r="J272" s="98"/>
      <c r="K272" s="98"/>
      <c r="L272" s="98"/>
      <c r="M272" s="98"/>
      <c r="N272" s="98"/>
      <c r="O272" s="98"/>
      <c r="P272" s="98"/>
      <c r="Q272" s="98"/>
      <c r="R272" s="98"/>
    </row>
    <row r="273" spans="1:18">
      <c r="A273" s="111"/>
      <c r="B273" s="111"/>
      <c r="C273" s="111"/>
      <c r="D273" s="111"/>
      <c r="E273" s="98"/>
      <c r="F273" s="98"/>
      <c r="G273" s="98"/>
      <c r="H273" s="98"/>
      <c r="I273" s="98"/>
      <c r="J273" s="98"/>
      <c r="K273" s="98"/>
      <c r="L273" s="98"/>
      <c r="M273" s="98"/>
      <c r="N273" s="98"/>
      <c r="O273" s="98"/>
      <c r="P273" s="98"/>
      <c r="Q273" s="98"/>
      <c r="R273" s="98"/>
    </row>
    <row r="274" spans="1:18">
      <c r="A274" s="111"/>
      <c r="B274" s="111"/>
      <c r="C274" s="111"/>
      <c r="D274" s="111"/>
      <c r="E274" s="98"/>
      <c r="F274" s="98"/>
      <c r="G274" s="98"/>
      <c r="H274" s="98"/>
      <c r="I274" s="98"/>
      <c r="J274" s="98"/>
      <c r="K274" s="98"/>
      <c r="L274" s="98"/>
      <c r="M274" s="98"/>
      <c r="N274" s="98"/>
      <c r="O274" s="98"/>
      <c r="P274" s="98"/>
      <c r="Q274" s="98"/>
      <c r="R274" s="98"/>
    </row>
    <row r="275" spans="1:18">
      <c r="A275" s="111"/>
      <c r="B275" s="111"/>
      <c r="C275" s="111"/>
      <c r="D275" s="111"/>
      <c r="E275" s="98"/>
      <c r="F275" s="98"/>
      <c r="G275" s="98"/>
      <c r="H275" s="98"/>
      <c r="I275" s="98"/>
      <c r="J275" s="98"/>
      <c r="K275" s="98"/>
      <c r="L275" s="98"/>
      <c r="M275" s="98"/>
      <c r="N275" s="98"/>
      <c r="O275" s="98"/>
      <c r="P275" s="98"/>
      <c r="Q275" s="98"/>
      <c r="R275" s="98"/>
    </row>
    <row r="276" spans="1:18">
      <c r="A276" s="111"/>
      <c r="B276" s="111"/>
      <c r="C276" s="111"/>
      <c r="D276" s="111"/>
      <c r="E276" s="98"/>
      <c r="F276" s="98"/>
      <c r="G276" s="98"/>
      <c r="H276" s="98"/>
      <c r="I276" s="98"/>
      <c r="J276" s="98"/>
      <c r="K276" s="98"/>
      <c r="L276" s="98"/>
      <c r="M276" s="98"/>
      <c r="N276" s="98"/>
      <c r="O276" s="98"/>
      <c r="P276" s="98"/>
      <c r="Q276" s="98"/>
      <c r="R276" s="98"/>
    </row>
    <row r="277" spans="1:18">
      <c r="A277" s="111"/>
      <c r="B277" s="111"/>
      <c r="C277" s="111"/>
      <c r="D277" s="111"/>
      <c r="E277" s="98"/>
      <c r="F277" s="98"/>
      <c r="G277" s="98"/>
      <c r="H277" s="98"/>
      <c r="I277" s="98"/>
      <c r="J277" s="98"/>
      <c r="K277" s="98"/>
      <c r="L277" s="98"/>
      <c r="M277" s="98"/>
      <c r="N277" s="98"/>
      <c r="O277" s="98"/>
      <c r="P277" s="98"/>
      <c r="Q277" s="98"/>
      <c r="R277" s="98"/>
    </row>
    <row r="278" spans="1:18">
      <c r="A278" s="111"/>
      <c r="B278" s="111"/>
      <c r="C278" s="111"/>
      <c r="D278" s="111"/>
      <c r="E278" s="98"/>
      <c r="F278" s="98"/>
      <c r="G278" s="98"/>
      <c r="H278" s="98"/>
      <c r="I278" s="98"/>
      <c r="J278" s="98"/>
      <c r="K278" s="98"/>
      <c r="L278" s="98"/>
      <c r="M278" s="98"/>
      <c r="N278" s="98"/>
      <c r="O278" s="98"/>
      <c r="P278" s="98"/>
      <c r="Q278" s="98"/>
      <c r="R278" s="98"/>
    </row>
    <row r="279" spans="1:18">
      <c r="A279" s="111"/>
      <c r="B279" s="111"/>
      <c r="C279" s="111"/>
      <c r="D279" s="111"/>
      <c r="E279" s="98"/>
      <c r="F279" s="98"/>
      <c r="G279" s="98"/>
      <c r="H279" s="98"/>
      <c r="I279" s="98"/>
      <c r="J279" s="98"/>
      <c r="K279" s="98"/>
      <c r="L279" s="98"/>
      <c r="M279" s="98"/>
      <c r="N279" s="98"/>
      <c r="O279" s="98"/>
      <c r="P279" s="98"/>
      <c r="Q279" s="98"/>
      <c r="R279" s="98"/>
    </row>
    <row r="280" spans="1:18">
      <c r="A280" s="111"/>
      <c r="B280" s="111"/>
      <c r="C280" s="111"/>
      <c r="D280" s="111"/>
      <c r="E280" s="98"/>
      <c r="F280" s="98"/>
      <c r="G280" s="98"/>
      <c r="H280" s="98"/>
      <c r="I280" s="98"/>
      <c r="J280" s="98"/>
      <c r="K280" s="98"/>
      <c r="L280" s="98"/>
      <c r="M280" s="98"/>
      <c r="N280" s="98"/>
      <c r="O280" s="98"/>
      <c r="P280" s="98"/>
      <c r="Q280" s="98"/>
      <c r="R280" s="98"/>
    </row>
    <row r="281" spans="1:18">
      <c r="A281" s="111"/>
      <c r="B281" s="111"/>
      <c r="C281" s="111"/>
      <c r="D281" s="111"/>
      <c r="E281" s="98"/>
      <c r="F281" s="98"/>
      <c r="G281" s="98"/>
      <c r="H281" s="98"/>
      <c r="I281" s="98"/>
      <c r="J281" s="98"/>
      <c r="K281" s="98"/>
      <c r="L281" s="98"/>
      <c r="M281" s="98"/>
      <c r="N281" s="98"/>
      <c r="O281" s="98"/>
      <c r="P281" s="98"/>
      <c r="Q281" s="98"/>
      <c r="R281" s="98"/>
    </row>
    <row r="282" spans="1:18">
      <c r="A282" s="111"/>
      <c r="B282" s="111"/>
      <c r="C282" s="111"/>
      <c r="D282" s="111"/>
      <c r="E282" s="98"/>
      <c r="F282" s="98"/>
      <c r="G282" s="98"/>
      <c r="H282" s="98"/>
      <c r="I282" s="98"/>
      <c r="J282" s="98"/>
      <c r="K282" s="98"/>
      <c r="L282" s="98"/>
      <c r="M282" s="98"/>
      <c r="N282" s="98"/>
      <c r="O282" s="98"/>
      <c r="P282" s="98"/>
      <c r="Q282" s="98"/>
      <c r="R282" s="98"/>
    </row>
    <row r="283" spans="1:18">
      <c r="A283" s="111"/>
      <c r="B283" s="111"/>
      <c r="C283" s="111"/>
      <c r="D283" s="111"/>
      <c r="E283" s="98"/>
      <c r="F283" s="98"/>
      <c r="G283" s="98"/>
      <c r="H283" s="98"/>
      <c r="I283" s="98"/>
      <c r="J283" s="98"/>
      <c r="K283" s="98"/>
      <c r="L283" s="98"/>
      <c r="M283" s="98"/>
      <c r="N283" s="98"/>
      <c r="O283" s="98"/>
      <c r="P283" s="98"/>
      <c r="Q283" s="98"/>
      <c r="R283" s="98"/>
    </row>
    <row r="284" spans="1:18">
      <c r="A284" s="111"/>
      <c r="B284" s="111"/>
      <c r="C284" s="111"/>
      <c r="D284" s="111"/>
      <c r="E284" s="98"/>
      <c r="F284" s="98"/>
      <c r="G284" s="98"/>
      <c r="H284" s="98"/>
      <c r="I284" s="98"/>
      <c r="J284" s="98"/>
      <c r="K284" s="98"/>
      <c r="L284" s="98"/>
      <c r="M284" s="98"/>
      <c r="N284" s="98"/>
      <c r="O284" s="98"/>
      <c r="P284" s="98"/>
      <c r="Q284" s="98"/>
      <c r="R284" s="98"/>
    </row>
    <row r="285" spans="1:18">
      <c r="A285" s="111"/>
      <c r="B285" s="111"/>
      <c r="C285" s="111"/>
      <c r="D285" s="111"/>
      <c r="E285" s="98"/>
      <c r="F285" s="98"/>
      <c r="G285" s="98"/>
      <c r="H285" s="98"/>
      <c r="I285" s="98"/>
      <c r="J285" s="98"/>
      <c r="K285" s="98"/>
      <c r="L285" s="98"/>
      <c r="M285" s="98"/>
      <c r="N285" s="98"/>
      <c r="O285" s="98"/>
      <c r="P285" s="98"/>
      <c r="Q285" s="98"/>
      <c r="R285" s="98"/>
    </row>
    <row r="286" spans="1:18">
      <c r="A286" s="111"/>
      <c r="B286" s="111"/>
      <c r="C286" s="111"/>
      <c r="D286" s="111"/>
      <c r="E286" s="98"/>
      <c r="F286" s="98"/>
      <c r="G286" s="98"/>
      <c r="H286" s="98"/>
      <c r="I286" s="98"/>
      <c r="J286" s="98"/>
      <c r="K286" s="98"/>
      <c r="L286" s="98"/>
      <c r="M286" s="98"/>
      <c r="N286" s="98"/>
      <c r="O286" s="98"/>
      <c r="P286" s="98"/>
      <c r="Q286" s="98"/>
      <c r="R286" s="98"/>
    </row>
    <row r="287" spans="1:18">
      <c r="A287" s="111"/>
      <c r="B287" s="111"/>
      <c r="C287" s="111"/>
      <c r="D287" s="111"/>
      <c r="E287" s="98"/>
      <c r="F287" s="98"/>
      <c r="G287" s="98"/>
      <c r="H287" s="98"/>
      <c r="I287" s="98"/>
      <c r="J287" s="98"/>
      <c r="K287" s="98"/>
      <c r="L287" s="98"/>
      <c r="M287" s="98"/>
      <c r="N287" s="98"/>
      <c r="O287" s="98"/>
      <c r="P287" s="98"/>
      <c r="Q287" s="98"/>
      <c r="R287" s="98"/>
    </row>
    <row r="288" spans="1:18">
      <c r="A288" s="111"/>
      <c r="B288" s="111"/>
      <c r="C288" s="111"/>
      <c r="D288" s="111"/>
      <c r="E288" s="98"/>
      <c r="F288" s="98"/>
      <c r="G288" s="98"/>
      <c r="H288" s="98"/>
      <c r="I288" s="98"/>
      <c r="J288" s="98"/>
      <c r="K288" s="98"/>
      <c r="L288" s="98"/>
      <c r="M288" s="98"/>
      <c r="N288" s="98"/>
      <c r="O288" s="98"/>
      <c r="P288" s="98"/>
      <c r="Q288" s="98"/>
      <c r="R288" s="98"/>
    </row>
    <row r="289" spans="1:22" ht="10.25" customHeight="1">
      <c r="A289" s="231"/>
      <c r="B289" s="231"/>
      <c r="C289" s="231"/>
      <c r="D289" s="231"/>
      <c r="E289" s="231"/>
      <c r="F289" s="231"/>
      <c r="G289" s="231"/>
      <c r="H289" s="231"/>
      <c r="I289" s="231"/>
      <c r="J289" s="231"/>
      <c r="K289" s="231"/>
      <c r="L289" s="231"/>
      <c r="M289" s="231"/>
      <c r="N289" s="231"/>
      <c r="O289" s="231"/>
      <c r="P289" s="231"/>
      <c r="Q289" s="231"/>
      <c r="R289" s="231"/>
    </row>
    <row r="290" spans="1:22" ht="14.5" hidden="1" customHeight="1">
      <c r="A290" s="231"/>
      <c r="B290" s="231"/>
      <c r="C290" s="231"/>
      <c r="D290" s="231"/>
      <c r="E290" s="231"/>
      <c r="F290" s="231"/>
      <c r="G290" s="231"/>
      <c r="H290" s="231"/>
      <c r="I290" s="231"/>
      <c r="J290" s="231"/>
      <c r="K290" s="231"/>
      <c r="L290" s="231"/>
      <c r="M290" s="231"/>
      <c r="N290" s="231"/>
      <c r="O290" s="231"/>
      <c r="P290" s="231"/>
      <c r="Q290" s="231"/>
      <c r="R290" s="231"/>
    </row>
    <row r="291" spans="1:22">
      <c r="A291" s="231"/>
      <c r="B291" s="231"/>
      <c r="C291" s="231"/>
      <c r="D291" s="231"/>
      <c r="E291" s="231"/>
      <c r="F291" s="231"/>
      <c r="G291" s="231"/>
      <c r="H291" s="231"/>
      <c r="I291" s="231"/>
      <c r="J291" s="231"/>
      <c r="K291" s="231"/>
      <c r="L291" s="231"/>
      <c r="M291" s="231"/>
      <c r="N291" s="231"/>
      <c r="O291" s="231"/>
      <c r="P291" s="231"/>
      <c r="Q291" s="231"/>
      <c r="R291" s="231"/>
    </row>
    <row r="292" spans="1:22">
      <c r="A292" s="231"/>
      <c r="B292" s="231"/>
      <c r="C292" s="231"/>
      <c r="D292" s="231"/>
      <c r="E292" s="231"/>
      <c r="F292" s="231"/>
      <c r="G292" s="231"/>
      <c r="H292" s="231"/>
      <c r="I292" s="231"/>
      <c r="J292" s="231"/>
      <c r="K292" s="231"/>
      <c r="L292" s="231"/>
      <c r="M292" s="231"/>
      <c r="N292" s="231"/>
      <c r="O292" s="231"/>
      <c r="P292" s="231"/>
      <c r="Q292" s="231"/>
      <c r="R292" s="231"/>
    </row>
    <row r="293" spans="1:22">
      <c r="A293" s="231"/>
      <c r="B293" s="231"/>
      <c r="C293" s="231"/>
      <c r="D293" s="231"/>
      <c r="E293" s="231"/>
      <c r="F293" s="231"/>
      <c r="G293" s="231"/>
      <c r="H293" s="231"/>
      <c r="I293" s="231"/>
      <c r="J293" s="231"/>
      <c r="K293" s="231"/>
      <c r="L293" s="231"/>
      <c r="M293" s="231"/>
      <c r="N293" s="231"/>
      <c r="O293" s="231"/>
      <c r="P293" s="231"/>
      <c r="Q293" s="231"/>
      <c r="R293" s="231"/>
    </row>
    <row r="294" spans="1:22">
      <c r="A294" s="231"/>
      <c r="B294" s="231"/>
      <c r="C294" s="231"/>
      <c r="D294" s="231"/>
      <c r="E294" s="231"/>
      <c r="F294" s="231"/>
      <c r="G294" s="231"/>
      <c r="H294" s="231"/>
      <c r="I294" s="231"/>
      <c r="J294" s="231"/>
      <c r="K294" s="231"/>
      <c r="L294" s="231"/>
      <c r="M294" s="231"/>
      <c r="N294" s="231"/>
      <c r="O294" s="231"/>
      <c r="P294" s="231"/>
      <c r="Q294" s="231"/>
      <c r="R294" s="231"/>
    </row>
    <row r="295" spans="1:22">
      <c r="A295" s="231"/>
      <c r="B295" s="231"/>
      <c r="C295" s="231"/>
      <c r="D295" s="231"/>
      <c r="E295" s="231"/>
      <c r="F295" s="231"/>
      <c r="G295" s="231"/>
      <c r="H295" s="231"/>
      <c r="I295" s="231"/>
      <c r="J295" s="231"/>
      <c r="K295" s="231"/>
      <c r="L295" s="231"/>
      <c r="M295" s="231"/>
      <c r="N295" s="231"/>
      <c r="O295" s="231"/>
      <c r="P295" s="231"/>
      <c r="Q295" s="231"/>
      <c r="R295" s="231"/>
    </row>
    <row r="296" spans="1:22">
      <c r="A296" s="231"/>
      <c r="B296" s="231"/>
      <c r="C296" s="231"/>
      <c r="D296" s="231"/>
      <c r="E296" s="231"/>
      <c r="F296" s="231"/>
      <c r="G296" s="231"/>
      <c r="H296" s="231"/>
      <c r="I296" s="231"/>
      <c r="J296" s="231"/>
      <c r="K296" s="231"/>
      <c r="L296" s="231"/>
      <c r="M296" s="231"/>
      <c r="N296" s="231"/>
      <c r="O296" s="231"/>
      <c r="P296" s="231"/>
      <c r="Q296" s="231"/>
      <c r="R296" s="231"/>
    </row>
    <row r="297" spans="1:22">
      <c r="A297" s="231"/>
      <c r="B297" s="231"/>
      <c r="C297" s="231"/>
      <c r="D297" s="231"/>
      <c r="E297" s="231"/>
      <c r="F297" s="231"/>
      <c r="G297" s="231"/>
      <c r="H297" s="231"/>
      <c r="I297" s="231"/>
      <c r="J297" s="231"/>
      <c r="K297" s="231"/>
      <c r="L297" s="231"/>
      <c r="M297" s="231"/>
      <c r="N297" s="231"/>
      <c r="O297" s="231"/>
      <c r="P297" s="231"/>
      <c r="Q297" s="231"/>
      <c r="R297" s="231"/>
    </row>
    <row r="298" spans="1:22">
      <c r="A298" s="231"/>
      <c r="B298" s="231"/>
      <c r="C298" s="231"/>
      <c r="D298" s="231"/>
      <c r="E298" s="231"/>
      <c r="F298" s="231"/>
      <c r="G298" s="231"/>
      <c r="H298" s="231"/>
      <c r="I298" s="231"/>
      <c r="J298" s="231"/>
      <c r="K298" s="231"/>
      <c r="L298" s="231"/>
      <c r="M298" s="231"/>
      <c r="N298" s="231"/>
      <c r="O298" s="231"/>
      <c r="P298" s="231"/>
      <c r="Q298" s="231"/>
      <c r="R298" s="231"/>
    </row>
    <row r="299" spans="1:22">
      <c r="A299" s="231"/>
      <c r="B299" s="231"/>
      <c r="C299" s="231"/>
      <c r="D299" s="231"/>
      <c r="E299" s="231"/>
      <c r="F299" s="231"/>
      <c r="G299" s="231"/>
      <c r="H299" s="231"/>
      <c r="I299" s="231"/>
      <c r="J299" s="231"/>
      <c r="K299" s="231"/>
      <c r="L299" s="231"/>
      <c r="M299" s="231"/>
      <c r="N299" s="231"/>
      <c r="O299" s="231"/>
      <c r="P299" s="231"/>
      <c r="Q299" s="231"/>
      <c r="R299" s="231"/>
    </row>
    <row r="300" spans="1:22" ht="19">
      <c r="A300" s="231"/>
      <c r="B300" s="231"/>
      <c r="C300" s="231"/>
      <c r="D300" s="231"/>
      <c r="E300" s="231"/>
      <c r="F300" s="231"/>
      <c r="G300" s="231"/>
      <c r="H300" s="231"/>
      <c r="I300" s="231"/>
      <c r="J300" s="231"/>
      <c r="K300" s="231"/>
      <c r="L300" s="231"/>
      <c r="M300" s="231"/>
      <c r="N300" s="231"/>
      <c r="O300" s="231"/>
      <c r="P300" s="231"/>
      <c r="Q300" s="231"/>
      <c r="R300" s="231"/>
      <c r="V300" s="97"/>
    </row>
    <row r="301" spans="1:22">
      <c r="A301" s="231"/>
      <c r="B301" s="231"/>
      <c r="C301" s="231"/>
      <c r="D301" s="231"/>
      <c r="E301" s="231"/>
      <c r="F301" s="231"/>
      <c r="G301" s="231"/>
      <c r="H301" s="231"/>
      <c r="I301" s="231"/>
      <c r="J301" s="231"/>
      <c r="K301" s="231"/>
      <c r="L301" s="231"/>
      <c r="M301" s="231"/>
      <c r="N301" s="231"/>
      <c r="O301" s="231"/>
      <c r="P301" s="231"/>
      <c r="Q301" s="231"/>
      <c r="R301" s="231"/>
    </row>
    <row r="302" spans="1:22">
      <c r="A302" s="231"/>
      <c r="B302" s="231"/>
      <c r="C302" s="231"/>
      <c r="D302" s="231"/>
      <c r="E302" s="231"/>
      <c r="F302" s="231"/>
      <c r="G302" s="231"/>
      <c r="H302" s="231"/>
      <c r="I302" s="231"/>
      <c r="J302" s="231"/>
      <c r="K302" s="231"/>
      <c r="L302" s="231"/>
      <c r="M302" s="231"/>
      <c r="N302" s="231"/>
      <c r="O302" s="231"/>
      <c r="P302" s="231"/>
      <c r="Q302" s="231"/>
      <c r="R302" s="231"/>
    </row>
    <row r="303" spans="1:22">
      <c r="A303" s="231"/>
      <c r="B303" s="231"/>
      <c r="C303" s="231"/>
      <c r="D303" s="231"/>
      <c r="E303" s="231"/>
      <c r="F303" s="231"/>
      <c r="G303" s="231"/>
      <c r="H303" s="231"/>
      <c r="I303" s="231"/>
      <c r="J303" s="231"/>
      <c r="K303" s="231"/>
      <c r="L303" s="231"/>
      <c r="M303" s="231"/>
      <c r="N303" s="231"/>
      <c r="O303" s="231"/>
      <c r="P303" s="231"/>
      <c r="Q303" s="231"/>
      <c r="R303" s="231"/>
    </row>
    <row r="304" spans="1:22">
      <c r="A304" s="231"/>
      <c r="B304" s="231"/>
      <c r="C304" s="231"/>
      <c r="D304" s="231"/>
      <c r="E304" s="231"/>
      <c r="F304" s="231"/>
      <c r="G304" s="231"/>
      <c r="H304" s="231"/>
      <c r="I304" s="231"/>
      <c r="J304" s="231"/>
      <c r="K304" s="231"/>
      <c r="L304" s="231"/>
      <c r="M304" s="231"/>
      <c r="N304" s="231"/>
      <c r="O304" s="231"/>
      <c r="P304" s="231"/>
      <c r="Q304" s="231"/>
      <c r="R304" s="231"/>
    </row>
    <row r="305" spans="1:18">
      <c r="A305" s="231"/>
      <c r="B305" s="231"/>
      <c r="C305" s="231"/>
      <c r="D305" s="231"/>
      <c r="E305" s="231"/>
      <c r="F305" s="231"/>
      <c r="G305" s="231"/>
      <c r="H305" s="231"/>
      <c r="I305" s="231"/>
      <c r="J305" s="231"/>
      <c r="K305" s="231"/>
      <c r="L305" s="231"/>
      <c r="M305" s="231"/>
      <c r="N305" s="231"/>
      <c r="O305" s="231"/>
      <c r="P305" s="231"/>
      <c r="Q305" s="231"/>
      <c r="R305" s="231"/>
    </row>
    <row r="306" spans="1:18">
      <c r="A306" s="231"/>
      <c r="B306" s="231"/>
      <c r="C306" s="231"/>
      <c r="D306" s="231"/>
      <c r="E306" s="231"/>
      <c r="F306" s="231"/>
      <c r="G306" s="231"/>
      <c r="H306" s="231"/>
      <c r="I306" s="231"/>
      <c r="J306" s="231"/>
      <c r="K306" s="231"/>
      <c r="L306" s="231"/>
      <c r="M306" s="231"/>
      <c r="N306" s="231"/>
      <c r="O306" s="231"/>
      <c r="P306" s="231"/>
      <c r="Q306" s="231"/>
      <c r="R306" s="231"/>
    </row>
    <row r="307" spans="1:18">
      <c r="A307" s="231"/>
      <c r="B307" s="231"/>
      <c r="C307" s="231"/>
      <c r="D307" s="231"/>
      <c r="E307" s="231"/>
      <c r="F307" s="231"/>
      <c r="G307" s="231"/>
      <c r="H307" s="231"/>
      <c r="I307" s="231"/>
      <c r="J307" s="231"/>
      <c r="K307" s="231"/>
      <c r="L307" s="231"/>
      <c r="M307" s="231"/>
      <c r="N307" s="231"/>
      <c r="O307" s="231"/>
      <c r="P307" s="231"/>
      <c r="Q307" s="231"/>
      <c r="R307" s="231"/>
    </row>
    <row r="308" spans="1:18">
      <c r="A308" s="231"/>
      <c r="B308" s="231"/>
      <c r="C308" s="231"/>
      <c r="D308" s="231"/>
      <c r="E308" s="231"/>
      <c r="F308" s="231"/>
      <c r="G308" s="231"/>
      <c r="H308" s="231"/>
      <c r="I308" s="231"/>
      <c r="J308" s="231"/>
      <c r="K308" s="231"/>
      <c r="L308" s="231"/>
      <c r="M308" s="231"/>
      <c r="N308" s="231"/>
      <c r="O308" s="231"/>
      <c r="P308" s="231"/>
      <c r="Q308" s="231"/>
      <c r="R308" s="231"/>
    </row>
    <row r="309" spans="1:18">
      <c r="A309" s="231"/>
      <c r="B309" s="231"/>
      <c r="C309" s="231"/>
      <c r="D309" s="231"/>
      <c r="E309" s="231"/>
      <c r="F309" s="231"/>
      <c r="G309" s="231"/>
      <c r="H309" s="231"/>
      <c r="I309" s="231"/>
      <c r="J309" s="231"/>
      <c r="K309" s="231"/>
      <c r="L309" s="231"/>
      <c r="M309" s="231"/>
      <c r="N309" s="231"/>
      <c r="O309" s="231"/>
      <c r="P309" s="231"/>
      <c r="Q309" s="231"/>
      <c r="R309" s="231"/>
    </row>
    <row r="310" spans="1:18">
      <c r="A310" s="231"/>
      <c r="B310" s="231"/>
      <c r="C310" s="231"/>
      <c r="D310" s="231"/>
      <c r="E310" s="231"/>
      <c r="F310" s="231"/>
      <c r="G310" s="231"/>
      <c r="H310" s="231"/>
      <c r="I310" s="231"/>
      <c r="J310" s="231"/>
      <c r="K310" s="231"/>
      <c r="L310" s="231"/>
      <c r="M310" s="231"/>
      <c r="N310" s="231"/>
      <c r="O310" s="231"/>
      <c r="P310" s="231"/>
      <c r="Q310" s="231"/>
      <c r="R310" s="231"/>
    </row>
    <row r="311" spans="1:18">
      <c r="A311" s="231"/>
      <c r="B311" s="231"/>
      <c r="C311" s="231"/>
      <c r="D311" s="231"/>
      <c r="E311" s="231"/>
      <c r="F311" s="231"/>
      <c r="G311" s="231"/>
      <c r="H311" s="231"/>
      <c r="I311" s="231"/>
      <c r="J311" s="231"/>
      <c r="K311" s="231"/>
      <c r="L311" s="231"/>
      <c r="M311" s="231"/>
      <c r="N311" s="231"/>
      <c r="O311" s="231"/>
      <c r="P311" s="231"/>
      <c r="Q311" s="231"/>
      <c r="R311" s="231"/>
    </row>
    <row r="312" spans="1:18">
      <c r="A312" s="231"/>
      <c r="B312" s="231"/>
      <c r="C312" s="231"/>
      <c r="D312" s="231"/>
      <c r="E312" s="231"/>
      <c r="F312" s="231"/>
      <c r="G312" s="231"/>
      <c r="H312" s="231"/>
      <c r="I312" s="231"/>
      <c r="J312" s="231"/>
      <c r="K312" s="231"/>
      <c r="L312" s="231"/>
      <c r="M312" s="231"/>
      <c r="N312" s="231"/>
      <c r="O312" s="231"/>
      <c r="P312" s="231"/>
      <c r="Q312" s="231"/>
      <c r="R312" s="231"/>
    </row>
    <row r="313" spans="1:18">
      <c r="A313" s="231"/>
      <c r="B313" s="231"/>
      <c r="C313" s="231"/>
      <c r="D313" s="231"/>
      <c r="E313" s="231"/>
      <c r="F313" s="231"/>
      <c r="G313" s="231"/>
      <c r="H313" s="231"/>
      <c r="I313" s="231"/>
      <c r="J313" s="231"/>
      <c r="K313" s="231"/>
      <c r="L313" s="231"/>
      <c r="M313" s="231"/>
      <c r="N313" s="231"/>
      <c r="O313" s="231"/>
      <c r="P313" s="231"/>
      <c r="Q313" s="231"/>
      <c r="R313" s="231"/>
    </row>
    <row r="314" spans="1:18">
      <c r="A314" s="231"/>
      <c r="B314" s="231"/>
      <c r="C314" s="231"/>
      <c r="D314" s="231"/>
      <c r="E314" s="231"/>
      <c r="F314" s="231"/>
      <c r="G314" s="231"/>
      <c r="H314" s="231"/>
      <c r="I314" s="231"/>
      <c r="J314" s="231"/>
      <c r="K314" s="231"/>
      <c r="L314" s="231"/>
      <c r="M314" s="231"/>
      <c r="N314" s="231"/>
      <c r="O314" s="231"/>
      <c r="P314" s="231"/>
      <c r="Q314" s="231"/>
      <c r="R314" s="231"/>
    </row>
    <row r="315" spans="1:18">
      <c r="A315" s="231"/>
      <c r="B315" s="231"/>
      <c r="C315" s="231"/>
      <c r="D315" s="231"/>
      <c r="E315" s="231"/>
      <c r="F315" s="231"/>
      <c r="G315" s="231"/>
      <c r="H315" s="231"/>
      <c r="I315" s="231"/>
      <c r="J315" s="231"/>
      <c r="K315" s="231"/>
      <c r="L315" s="231"/>
      <c r="M315" s="231"/>
      <c r="N315" s="231"/>
      <c r="O315" s="231"/>
      <c r="P315" s="231"/>
      <c r="Q315" s="231"/>
      <c r="R315" s="231"/>
    </row>
    <row r="316" spans="1:18">
      <c r="A316" s="231"/>
      <c r="B316" s="231"/>
      <c r="C316" s="231"/>
      <c r="D316" s="231"/>
      <c r="E316" s="231"/>
      <c r="F316" s="231"/>
      <c r="G316" s="231"/>
      <c r="H316" s="231"/>
      <c r="I316" s="231"/>
      <c r="J316" s="231"/>
      <c r="K316" s="231"/>
      <c r="L316" s="231"/>
      <c r="M316" s="231"/>
      <c r="N316" s="231"/>
      <c r="O316" s="231"/>
      <c r="P316" s="231"/>
      <c r="Q316" s="231"/>
      <c r="R316" s="231"/>
    </row>
    <row r="317" spans="1:18">
      <c r="A317" s="231"/>
      <c r="B317" s="231"/>
      <c r="C317" s="231"/>
      <c r="D317" s="231"/>
      <c r="E317" s="231"/>
      <c r="F317" s="231"/>
      <c r="G317" s="231"/>
      <c r="H317" s="231"/>
      <c r="I317" s="231"/>
      <c r="J317" s="231"/>
      <c r="K317" s="231"/>
      <c r="L317" s="231"/>
      <c r="M317" s="231"/>
      <c r="N317" s="231"/>
      <c r="O317" s="231"/>
      <c r="P317" s="231"/>
      <c r="Q317" s="231"/>
      <c r="R317" s="231"/>
    </row>
    <row r="318" spans="1:18">
      <c r="A318" s="231"/>
      <c r="B318" s="231"/>
      <c r="C318" s="231"/>
      <c r="D318" s="231"/>
      <c r="E318" s="231"/>
      <c r="F318" s="231"/>
      <c r="G318" s="231"/>
      <c r="H318" s="231"/>
      <c r="I318" s="231"/>
      <c r="J318" s="231"/>
      <c r="K318" s="231"/>
      <c r="L318" s="231"/>
      <c r="M318" s="231"/>
      <c r="N318" s="231"/>
      <c r="O318" s="231"/>
      <c r="P318" s="231"/>
      <c r="Q318" s="231"/>
      <c r="R318" s="231"/>
    </row>
    <row r="319" spans="1:18">
      <c r="A319" s="231"/>
      <c r="B319" s="231"/>
      <c r="C319" s="231"/>
      <c r="D319" s="231"/>
      <c r="E319" s="231"/>
      <c r="F319" s="231"/>
      <c r="G319" s="231"/>
      <c r="H319" s="231"/>
      <c r="I319" s="231"/>
      <c r="J319" s="231"/>
      <c r="K319" s="231"/>
      <c r="L319" s="231"/>
      <c r="M319" s="231"/>
      <c r="N319" s="231"/>
      <c r="O319" s="231"/>
      <c r="P319" s="231"/>
      <c r="Q319" s="231"/>
      <c r="R319" s="231"/>
    </row>
    <row r="320" spans="1:18">
      <c r="A320" s="231"/>
      <c r="B320" s="231"/>
      <c r="C320" s="231"/>
      <c r="D320" s="231"/>
      <c r="E320" s="231"/>
      <c r="F320" s="231"/>
      <c r="G320" s="231"/>
      <c r="H320" s="231"/>
      <c r="I320" s="231"/>
      <c r="J320" s="231"/>
      <c r="K320" s="231"/>
      <c r="L320" s="231"/>
      <c r="M320" s="231"/>
      <c r="N320" s="231"/>
      <c r="O320" s="231"/>
      <c r="P320" s="231"/>
      <c r="Q320" s="231"/>
      <c r="R320" s="231"/>
    </row>
    <row r="321" customFormat="1" ht="6.5" customHeight="1"/>
    <row r="322" customFormat="1" ht="5" customHeigh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row r="350" customFormat="1"/>
    <row r="351" customFormat="1"/>
    <row r="352" customFormat="1"/>
    <row r="353" customFormat="1"/>
    <row r="354" customFormat="1"/>
    <row r="355" customFormat="1"/>
    <row r="356" customFormat="1"/>
    <row r="357" customFormat="1"/>
    <row r="358" customFormat="1"/>
    <row r="359" customFormat="1"/>
    <row r="360" customFormat="1"/>
    <row r="361" customFormat="1"/>
    <row r="362" customFormat="1"/>
    <row r="363" customFormat="1"/>
    <row r="364" customFormat="1"/>
    <row r="365" customFormat="1"/>
    <row r="366" customFormat="1"/>
    <row r="367" customFormat="1"/>
    <row r="405" customFormat="1"/>
    <row r="406" customFormat="1"/>
    <row r="407" customFormat="1"/>
    <row r="408" customFormat="1"/>
    <row r="409" customFormat="1"/>
    <row r="410" customFormat="1"/>
    <row r="411" customFormat="1"/>
    <row r="412" customFormat="1"/>
    <row r="413" customFormat="1"/>
    <row r="414" customFormat="1"/>
    <row r="415" customFormat="1"/>
    <row r="416" customFormat="1"/>
    <row r="417" customFormat="1"/>
    <row r="418" customFormat="1"/>
    <row r="419" customFormat="1"/>
    <row r="420" customFormat="1"/>
    <row r="421" customFormat="1"/>
    <row r="422" customFormat="1"/>
    <row r="423" customFormat="1"/>
    <row r="424" customFormat="1"/>
    <row r="425" customFormat="1"/>
    <row r="426" customFormat="1"/>
    <row r="427" customFormat="1"/>
    <row r="428" customFormat="1"/>
    <row r="429" customFormat="1"/>
    <row r="430" customFormat="1"/>
    <row r="431" customFormat="1"/>
    <row r="432" customFormat="1"/>
    <row r="433" customFormat="1"/>
    <row r="434" customFormat="1"/>
    <row r="435" customFormat="1"/>
    <row r="436" customFormat="1"/>
    <row r="437" customFormat="1"/>
    <row r="438" customFormat="1"/>
    <row r="439" customFormat="1"/>
    <row r="440" customFormat="1"/>
    <row r="441" customFormat="1"/>
    <row r="442" customFormat="1"/>
    <row r="443" customFormat="1"/>
    <row r="444" customFormat="1"/>
    <row r="445" customFormat="1"/>
    <row r="446" customFormat="1"/>
    <row r="447" customFormat="1"/>
    <row r="448" customFormat="1"/>
    <row r="449" customFormat="1"/>
    <row r="450" customFormat="1"/>
    <row r="451" customFormat="1"/>
    <row r="452" customFormat="1"/>
    <row r="453" customFormat="1"/>
    <row r="454" customFormat="1"/>
    <row r="455" customFormat="1"/>
    <row r="456" customFormat="1"/>
    <row r="457" customFormat="1"/>
    <row r="458" customFormat="1"/>
    <row r="459" customFormat="1"/>
    <row r="460" customFormat="1"/>
    <row r="461" customFormat="1"/>
    <row r="462" customFormat="1"/>
    <row r="463" customFormat="1"/>
    <row r="464" customFormat="1"/>
    <row r="465" customFormat="1"/>
    <row r="466" customFormat="1"/>
    <row r="467" customFormat="1"/>
    <row r="468" customFormat="1"/>
    <row r="469" customFormat="1"/>
    <row r="470" customFormat="1"/>
    <row r="471" customFormat="1"/>
    <row r="472" customFormat="1"/>
    <row r="473" customFormat="1"/>
    <row r="474" customFormat="1"/>
    <row r="475" customFormat="1"/>
    <row r="476" customFormat="1"/>
    <row r="477" customFormat="1"/>
  </sheetData>
  <mergeCells count="22">
    <mergeCell ref="B2:C2"/>
    <mergeCell ref="A4:C6"/>
    <mergeCell ref="A8:C8"/>
    <mergeCell ref="L24:N24"/>
    <mergeCell ref="C10:D10"/>
    <mergeCell ref="C11:D11"/>
    <mergeCell ref="C12:D12"/>
    <mergeCell ref="C9:D9"/>
    <mergeCell ref="I18:K19"/>
    <mergeCell ref="I15:O15"/>
    <mergeCell ref="A289:R320"/>
    <mergeCell ref="A193:C208"/>
    <mergeCell ref="O18:Q19"/>
    <mergeCell ref="A217:L262"/>
    <mergeCell ref="O24:R24"/>
    <mergeCell ref="A164:D191"/>
    <mergeCell ref="E164:Q191"/>
    <mergeCell ref="I24:K24"/>
    <mergeCell ref="A161:C163"/>
    <mergeCell ref="E161:K163"/>
    <mergeCell ref="D161:D163"/>
    <mergeCell ref="L161:Q163"/>
  </mergeCells>
  <conditionalFormatting pivot="1">
    <cfRule type="cellIs" dxfId="6" priority="7" operator="greaterThan">
      <formula>0</formula>
    </cfRule>
  </conditionalFormatting>
  <conditionalFormatting pivot="1" sqref="G69">
    <cfRule type="cellIs" dxfId="5" priority="4" operator="greaterThan">
      <formula>1</formula>
    </cfRule>
  </conditionalFormatting>
  <conditionalFormatting pivot="1" sqref="G69">
    <cfRule type="cellIs" dxfId="4" priority="3" operator="greaterThan">
      <formula>0</formula>
    </cfRule>
  </conditionalFormatting>
  <conditionalFormatting pivot="1" sqref="H69">
    <cfRule type="cellIs" dxfId="3" priority="1" operator="greaterThan">
      <formula>0</formula>
    </cfRule>
  </conditionalFormatting>
  <hyperlinks>
    <hyperlink ref="D2" r:id="rId5" xr:uid="{AFB0E44E-7F1A-49B5-9673-3C1DD88055B5}"/>
    <hyperlink ref="I15" r:id="rId6" display="OEM Evacuation Information" xr:uid="{65E99D90-11DE-4550-B54B-D2F889F8B1AC}"/>
    <hyperlink ref="D15" r:id="rId7" display="ODF Wildland Fire Situation Report as of" xr:uid="{2206EB9E-27C7-4B55-BF28-63A88B974B86}"/>
    <hyperlink ref="A24" r:id="rId8" location="OR-981S-210215" display="Northwest Large Fire Information Summary" xr:uid="{E9D0E70C-B0ED-46AE-9B02-C070B457FBD4}"/>
    <hyperlink ref="I15:O15" r:id="rId9" display="OEM Evacuation Information (Addresses)" xr:uid="{13717A46-0E20-4EE1-A614-C4E464CD5152}"/>
    <hyperlink ref="E164" r:id="rId10" xr:uid="{5D5AC62F-AEDB-46A3-8725-7A03289EA7AC}"/>
  </hyperlinks>
  <printOptions horizontalCentered="1"/>
  <pageMargins left="0.25" right="0.25" top="0.25" bottom="0.25" header="0.3" footer="0.2"/>
  <pageSetup scale="59" fitToHeight="0" orientation="landscape" r:id="rId11"/>
  <headerFooter>
    <oddFooter>&amp;L&amp;D, &amp;T&amp;CDaily wildfire report&amp;RPage &amp;P of &amp;N</oddFooter>
  </headerFooter>
  <rowBreaks count="3" manualBreakCount="3">
    <brk id="159" max="16383" man="1"/>
    <brk id="215" max="16383" man="1"/>
    <brk id="262" max="16383" man="1"/>
  </rowBreaks>
  <drawing r:id="rId12"/>
  <extLst>
    <ext xmlns:x14="http://schemas.microsoft.com/office/spreadsheetml/2009/9/main" uri="{CCE6A557-97BC-4b89-ADB6-D9C93CAAB3DF}">
      <x14:dataValidations xmlns:xm="http://schemas.microsoft.com/office/excel/2006/main" count="1">
        <x14:dataValidation type="list" allowBlank="1" showInputMessage="1" showErrorMessage="1" xr:uid="{365AFB9E-117C-4E89-B034-B288E9BEADB0}">
          <x14:formula1>
            <xm:f>'ODEM data'!$C$2:$C$1000</xm:f>
          </x14:formula1>
          <xm:sqref>E3</xm:sqref>
        </x14:dataValidation>
      </x14:dataValidations>
    </ext>
    <ext xmlns:x14="http://schemas.microsoft.com/office/spreadsheetml/2009/9/main" uri="{A8765BA9-456A-4dab-B4F3-ACF838C121DE}">
      <x14:slicerList>
        <x14:slicer r:id="rId1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F0205-94FF-4E90-954C-623DDCA17788}">
  <sheetPr codeName="Sheet4">
    <tabColor rgb="FF00B050"/>
  </sheetPr>
  <dimension ref="A1:P23"/>
  <sheetViews>
    <sheetView zoomScale="120" zoomScaleNormal="120" workbookViewId="0">
      <selection activeCell="J9" sqref="J9"/>
    </sheetView>
  </sheetViews>
  <sheetFormatPr baseColWidth="10" defaultColWidth="8.83203125" defaultRowHeight="15"/>
  <cols>
    <col min="3" max="3" width="12.33203125" customWidth="1"/>
    <col min="6" max="6" width="10.33203125" customWidth="1"/>
    <col min="7" max="7" width="9.5" customWidth="1"/>
    <col min="8" max="8" width="9.6640625" customWidth="1"/>
    <col min="9" max="10" width="16.5" customWidth="1"/>
    <col min="11" max="11" width="11.33203125" customWidth="1"/>
    <col min="15" max="15" width="10.1640625" bestFit="1" customWidth="1"/>
  </cols>
  <sheetData>
    <row r="1" spans="1:16" ht="16" thickBot="1">
      <c r="A1" s="57">
        <v>1</v>
      </c>
      <c r="B1" s="57">
        <v>2</v>
      </c>
      <c r="C1" s="57">
        <v>3</v>
      </c>
      <c r="D1" s="57">
        <v>4</v>
      </c>
      <c r="E1" s="57">
        <v>5</v>
      </c>
      <c r="F1" s="57">
        <v>6</v>
      </c>
      <c r="G1" s="57">
        <v>7</v>
      </c>
      <c r="H1" s="57">
        <v>8</v>
      </c>
      <c r="I1" s="57">
        <v>9</v>
      </c>
      <c r="J1" s="190"/>
      <c r="K1" s="56"/>
    </row>
    <row r="2" spans="1:16" ht="63.5" customHeight="1" thickBot="1">
      <c r="A2" s="45" t="s">
        <v>317</v>
      </c>
      <c r="B2" s="192" t="s">
        <v>573</v>
      </c>
      <c r="C2" s="193" t="s">
        <v>499</v>
      </c>
      <c r="D2" s="194" t="s">
        <v>497</v>
      </c>
      <c r="E2" s="195" t="s">
        <v>501</v>
      </c>
      <c r="F2" s="195" t="s">
        <v>500</v>
      </c>
      <c r="G2" s="196" t="s">
        <v>498</v>
      </c>
      <c r="H2" s="197" t="s">
        <v>502</v>
      </c>
      <c r="I2" s="197" t="s">
        <v>604</v>
      </c>
      <c r="J2" s="199" t="s">
        <v>752</v>
      </c>
      <c r="K2" s="198" t="s">
        <v>565</v>
      </c>
    </row>
    <row r="3" spans="1:16">
      <c r="A3" s="58">
        <v>2020</v>
      </c>
      <c r="B3" s="58" t="s">
        <v>574</v>
      </c>
      <c r="C3" s="59">
        <v>44123</v>
      </c>
      <c r="D3" s="60">
        <v>0</v>
      </c>
      <c r="E3" s="61">
        <v>912</v>
      </c>
      <c r="F3" s="61">
        <v>551816</v>
      </c>
      <c r="G3" s="62">
        <v>0</v>
      </c>
      <c r="H3" s="63">
        <v>2027</v>
      </c>
      <c r="I3" s="63">
        <v>1221324</v>
      </c>
      <c r="J3" s="200">
        <f t="shared" ref="J3:J9" si="0">I3/H3</f>
        <v>602.52787370498277</v>
      </c>
      <c r="K3" s="66" t="s">
        <v>566</v>
      </c>
    </row>
    <row r="4" spans="1:16">
      <c r="A4" s="58">
        <v>2021</v>
      </c>
      <c r="B4" s="58" t="s">
        <v>574</v>
      </c>
      <c r="C4" s="59">
        <v>44492</v>
      </c>
      <c r="D4" s="60">
        <v>0</v>
      </c>
      <c r="E4" s="61"/>
      <c r="F4" s="61"/>
      <c r="G4" s="62">
        <v>0</v>
      </c>
      <c r="H4" s="63">
        <v>1858</v>
      </c>
      <c r="I4" s="63">
        <v>827596</v>
      </c>
      <c r="J4" s="201">
        <f t="shared" si="0"/>
        <v>445.42303552206675</v>
      </c>
      <c r="K4" s="191" t="s">
        <v>504</v>
      </c>
    </row>
    <row r="5" spans="1:16">
      <c r="A5" s="46">
        <v>2022</v>
      </c>
      <c r="B5" s="58" t="s">
        <v>574</v>
      </c>
      <c r="C5" s="44">
        <v>44860</v>
      </c>
      <c r="D5" s="55">
        <v>0</v>
      </c>
      <c r="E5" s="50">
        <v>967</v>
      </c>
      <c r="F5" s="50">
        <v>16975</v>
      </c>
      <c r="G5" s="48">
        <v>0</v>
      </c>
      <c r="H5" s="52">
        <v>1784</v>
      </c>
      <c r="I5" s="52">
        <v>344899</v>
      </c>
      <c r="J5" s="201">
        <f t="shared" si="0"/>
        <v>193.32903587443946</v>
      </c>
      <c r="K5" s="191"/>
    </row>
    <row r="6" spans="1:16">
      <c r="A6" s="40">
        <v>2023</v>
      </c>
      <c r="B6" s="58" t="s">
        <v>574</v>
      </c>
      <c r="C6" s="41">
        <v>45217</v>
      </c>
      <c r="D6" s="42">
        <v>0</v>
      </c>
      <c r="E6" s="49">
        <v>975</v>
      </c>
      <c r="F6" s="49">
        <v>17968</v>
      </c>
      <c r="G6" s="47">
        <v>0</v>
      </c>
      <c r="H6" s="51">
        <v>1731</v>
      </c>
      <c r="I6" s="51">
        <v>190507</v>
      </c>
      <c r="J6" s="201">
        <f t="shared" si="0"/>
        <v>110.05603697284806</v>
      </c>
      <c r="K6" s="191" t="s">
        <v>503</v>
      </c>
    </row>
    <row r="7" spans="1:16">
      <c r="A7" s="46">
        <v>2024</v>
      </c>
      <c r="B7" s="46" t="s">
        <v>574</v>
      </c>
      <c r="C7" s="44">
        <v>45558</v>
      </c>
      <c r="D7" s="55">
        <v>0</v>
      </c>
      <c r="E7" s="50">
        <v>848</v>
      </c>
      <c r="F7" s="50">
        <v>321600</v>
      </c>
      <c r="G7" s="48">
        <v>0</v>
      </c>
      <c r="H7" s="52">
        <v>2039</v>
      </c>
      <c r="I7" s="52">
        <v>1915554</v>
      </c>
      <c r="J7" s="201">
        <f t="shared" si="0"/>
        <v>939.45757724374698</v>
      </c>
      <c r="K7" s="191" t="s">
        <v>603</v>
      </c>
    </row>
    <row r="8" spans="1:16">
      <c r="A8" s="46">
        <v>2025</v>
      </c>
      <c r="B8" s="46" t="s">
        <v>574</v>
      </c>
      <c r="C8" s="44">
        <v>45947</v>
      </c>
      <c r="D8" s="55">
        <v>0</v>
      </c>
      <c r="E8" s="50">
        <v>1091</v>
      </c>
      <c r="F8" s="50">
        <v>23796</v>
      </c>
      <c r="G8" s="48">
        <v>3</v>
      </c>
      <c r="H8" s="52">
        <v>2944</v>
      </c>
      <c r="I8" s="52">
        <v>340991</v>
      </c>
      <c r="J8" s="201">
        <f t="shared" si="0"/>
        <v>115.8257472826087</v>
      </c>
      <c r="K8" s="191" t="s">
        <v>603</v>
      </c>
      <c r="M8" t="s">
        <v>817</v>
      </c>
    </row>
    <row r="9" spans="1:16">
      <c r="A9" s="46">
        <v>2026</v>
      </c>
      <c r="B9" s="46" t="s">
        <v>574</v>
      </c>
      <c r="C9" s="44">
        <v>46227</v>
      </c>
      <c r="D9" s="55">
        <v>16</v>
      </c>
      <c r="E9" s="50">
        <v>616</v>
      </c>
      <c r="F9" s="50">
        <v>81098</v>
      </c>
      <c r="G9" s="48">
        <v>30</v>
      </c>
      <c r="H9" s="52">
        <v>1238</v>
      </c>
      <c r="I9" s="52">
        <v>577106</v>
      </c>
      <c r="J9" s="201">
        <f t="shared" si="0"/>
        <v>466.15993537964459</v>
      </c>
      <c r="K9" s="119"/>
    </row>
    <row r="10" spans="1:16" ht="24">
      <c r="A10" s="46"/>
      <c r="B10" s="46"/>
      <c r="C10" s="44"/>
      <c r="D10" s="55"/>
      <c r="E10" s="50"/>
      <c r="F10" s="50"/>
      <c r="G10" s="48"/>
      <c r="H10" s="52"/>
      <c r="I10" s="52"/>
      <c r="J10" s="201"/>
      <c r="K10" s="119"/>
      <c r="O10" s="204" t="s">
        <v>753</v>
      </c>
    </row>
    <row r="11" spans="1:16" ht="24">
      <c r="A11" s="46"/>
      <c r="B11" s="46"/>
      <c r="C11" s="44"/>
      <c r="D11" s="55"/>
      <c r="E11" s="50"/>
      <c r="F11" s="50"/>
      <c r="G11" s="48"/>
      <c r="H11" s="52"/>
      <c r="I11" s="52"/>
      <c r="J11" s="201"/>
      <c r="K11" s="119"/>
      <c r="O11" s="204" t="s">
        <v>943</v>
      </c>
    </row>
    <row r="12" spans="1:16" ht="24">
      <c r="A12" s="46"/>
      <c r="B12" s="46"/>
      <c r="C12" s="44"/>
      <c r="D12" s="55"/>
      <c r="E12" s="50"/>
      <c r="F12" s="50"/>
      <c r="G12" s="48"/>
      <c r="H12" s="52"/>
      <c r="I12" s="52"/>
      <c r="J12" s="201"/>
      <c r="K12" s="119"/>
      <c r="O12" s="13" t="str">
        <f>CONCATENATE(O11,"as of: ",P14,")",O13)</f>
        <v>2020-2026  (as of: 07/24/2026)  source:  ODF Wildland Fire statistics</v>
      </c>
    </row>
    <row r="13" spans="1:16" ht="16">
      <c r="A13" s="46"/>
      <c r="B13" s="46"/>
      <c r="C13" s="44"/>
      <c r="D13" s="55"/>
      <c r="E13" s="50"/>
      <c r="F13" s="50"/>
      <c r="G13" s="48"/>
      <c r="H13" s="52"/>
      <c r="I13" s="52"/>
      <c r="J13" s="201"/>
      <c r="K13" s="119"/>
      <c r="O13" s="118" t="s">
        <v>780</v>
      </c>
    </row>
    <row r="14" spans="1:16">
      <c r="A14" s="46"/>
      <c r="B14" s="46"/>
      <c r="C14" s="44"/>
      <c r="D14" s="55"/>
      <c r="E14" s="50"/>
      <c r="F14" s="50"/>
      <c r="G14" s="48"/>
      <c r="H14" s="52"/>
      <c r="I14" s="52"/>
      <c r="J14" s="201"/>
      <c r="K14" s="119"/>
      <c r="O14" s="202">
        <f>C9</f>
        <v>46227</v>
      </c>
      <c r="P14" s="203" t="str">
        <f>TEXT(O14,"MM/DD/YyyY")</f>
        <v>07/24/2026</v>
      </c>
    </row>
    <row r="15" spans="1:16">
      <c r="A15" s="46"/>
      <c r="B15" s="46"/>
      <c r="C15" s="44"/>
      <c r="D15" s="55"/>
      <c r="E15" s="50"/>
      <c r="F15" s="50"/>
      <c r="G15" s="48"/>
      <c r="H15" s="52"/>
      <c r="I15" s="52"/>
      <c r="J15" s="201"/>
      <c r="K15" s="119"/>
      <c r="O15" t="str">
        <f>CONCATENATE(O10," ",O12," ",O13)</f>
        <v>Statewide total acres burned and total number of wildfires 2020-2026  (as of: 07/24/2026)  source:  ODF Wildland Fire statistics   source:  ODF Wildland Fire statistics</v>
      </c>
    </row>
    <row r="16" spans="1:16">
      <c r="A16" s="46"/>
      <c r="B16" s="46"/>
      <c r="C16" s="44"/>
      <c r="D16" s="55"/>
      <c r="E16" s="50"/>
      <c r="F16" s="50"/>
      <c r="G16" s="48"/>
      <c r="H16" s="52"/>
      <c r="I16" s="52"/>
      <c r="J16" s="201"/>
      <c r="K16" s="119"/>
    </row>
    <row r="17" spans="1:11">
      <c r="A17" s="46"/>
      <c r="B17" s="46"/>
      <c r="C17" s="44"/>
      <c r="D17" s="55"/>
      <c r="E17" s="50"/>
      <c r="F17" s="50"/>
      <c r="G17" s="48"/>
      <c r="H17" s="52"/>
      <c r="I17" s="52"/>
      <c r="J17" s="201"/>
      <c r="K17" s="119"/>
    </row>
    <row r="18" spans="1:11">
      <c r="A18" s="46"/>
      <c r="B18" s="46"/>
      <c r="C18" s="44"/>
      <c r="D18" s="55"/>
      <c r="E18" s="50"/>
      <c r="F18" s="50"/>
      <c r="G18" s="48"/>
      <c r="H18" s="52"/>
      <c r="I18" s="52"/>
      <c r="J18" s="201"/>
      <c r="K18" s="119"/>
    </row>
    <row r="19" spans="1:11">
      <c r="A19" s="46"/>
      <c r="B19" s="46"/>
      <c r="C19" s="44"/>
      <c r="D19" s="55"/>
      <c r="E19" s="50"/>
      <c r="F19" s="50"/>
      <c r="G19" s="48"/>
      <c r="H19" s="52"/>
      <c r="I19" s="52"/>
      <c r="J19" s="201"/>
      <c r="K19" s="119"/>
    </row>
    <row r="20" spans="1:11">
      <c r="A20" s="46"/>
      <c r="B20" s="46"/>
      <c r="C20" s="44"/>
      <c r="D20" s="55"/>
      <c r="E20" s="50"/>
      <c r="F20" s="50"/>
      <c r="G20" s="48"/>
      <c r="H20" s="52"/>
      <c r="I20" s="52"/>
      <c r="J20" s="201"/>
      <c r="K20" s="119"/>
    </row>
    <row r="21" spans="1:11">
      <c r="A21" s="46"/>
      <c r="B21" s="46"/>
      <c r="C21" s="44"/>
      <c r="D21" s="55"/>
      <c r="E21" s="50"/>
      <c r="F21" s="50"/>
      <c r="G21" s="48"/>
      <c r="H21" s="52"/>
      <c r="I21" s="52"/>
      <c r="J21" s="201"/>
      <c r="K21" s="119"/>
    </row>
    <row r="22" spans="1:11">
      <c r="A22" s="46"/>
      <c r="B22" s="46"/>
      <c r="C22" s="44"/>
      <c r="D22" s="55"/>
      <c r="E22" s="50"/>
      <c r="F22" s="50"/>
      <c r="G22" s="48"/>
      <c r="H22" s="52"/>
      <c r="I22" s="52"/>
      <c r="J22" s="201"/>
      <c r="K22" s="119"/>
    </row>
    <row r="23" spans="1:11">
      <c r="A23" s="46"/>
      <c r="B23" s="46"/>
      <c r="C23" s="44"/>
      <c r="D23" s="55"/>
      <c r="E23" s="50"/>
      <c r="F23" s="50"/>
      <c r="G23" s="48"/>
      <c r="H23" s="52"/>
      <c r="I23" s="52"/>
      <c r="J23" s="201"/>
    </row>
  </sheetData>
  <hyperlinks>
    <hyperlink ref="K7" r:id="rId1" xr:uid="{7FC029F1-E1B4-41E6-952A-7AA1B84F3F0F}"/>
    <hyperlink ref="K8" r:id="rId2" xr:uid="{32581B4C-6E04-4F1E-A8D0-E151312D6783}"/>
  </hyperlinks>
  <pageMargins left="0.7" right="0.7" top="0.75" bottom="0.75" header="0.3" footer="0.3"/>
  <pageSetup orientation="portrait"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906F4-45A2-4278-A085-51D4F937A456}">
  <sheetPr codeName="Sheet6">
    <pageSetUpPr fitToPage="1"/>
  </sheetPr>
  <dimension ref="A1:AE315"/>
  <sheetViews>
    <sheetView topLeftCell="A18" zoomScaleNormal="100" workbookViewId="0">
      <selection activeCell="S202" sqref="S202"/>
    </sheetView>
  </sheetViews>
  <sheetFormatPr baseColWidth="10" defaultColWidth="8.83203125" defaultRowHeight="15"/>
  <cols>
    <col min="1" max="1" width="12.6640625" customWidth="1"/>
    <col min="2" max="2" width="27.83203125" customWidth="1"/>
    <col min="3" max="3" width="30.33203125" customWidth="1"/>
    <col min="4" max="4" width="33.5" style="12" customWidth="1"/>
    <col min="5" max="5" width="14.1640625" style="14" customWidth="1"/>
    <col min="6" max="6" width="11.6640625" style="12" customWidth="1"/>
    <col min="7" max="7" width="5.33203125" style="12" customWidth="1"/>
    <col min="8" max="12" width="5.6640625" style="12" customWidth="1"/>
    <col min="13" max="17" width="5.6640625" customWidth="1"/>
    <col min="24" max="24" width="19.5" bestFit="1" customWidth="1"/>
    <col min="25" max="25" width="7.83203125" bestFit="1" customWidth="1"/>
    <col min="26" max="26" width="31.6640625" bestFit="1" customWidth="1"/>
    <col min="27" max="27" width="9.33203125" bestFit="1" customWidth="1"/>
    <col min="28" max="28" width="14.5" bestFit="1" customWidth="1"/>
    <col min="29" max="29" width="10.5" bestFit="1" customWidth="1"/>
    <col min="30" max="30" width="15.5" bestFit="1" customWidth="1"/>
    <col min="31" max="31" width="14.5" bestFit="1" customWidth="1"/>
  </cols>
  <sheetData>
    <row r="1" spans="1:31" ht="16" thickBot="1">
      <c r="A1" s="116">
        <f>E3</f>
        <v>45824</v>
      </c>
      <c r="B1" t="s">
        <v>586</v>
      </c>
    </row>
    <row r="2" spans="1:31" ht="29.5" customHeight="1">
      <c r="A2" s="128">
        <f>B19</f>
        <v>2026</v>
      </c>
      <c r="B2" s="247" t="s">
        <v>587</v>
      </c>
      <c r="C2" s="248"/>
      <c r="D2" s="121" t="s">
        <v>140</v>
      </c>
      <c r="E2" s="122"/>
      <c r="F2" s="132"/>
    </row>
    <row r="3" spans="1:31" ht="19.25" customHeight="1" thickBot="1">
      <c r="A3" s="129"/>
      <c r="B3" s="130"/>
      <c r="C3" s="131"/>
      <c r="D3" s="151" t="s">
        <v>575</v>
      </c>
      <c r="E3" s="152">
        <v>45824</v>
      </c>
    </row>
    <row r="4" spans="1:31">
      <c r="A4" s="280" t="s">
        <v>612</v>
      </c>
      <c r="B4" s="281"/>
      <c r="C4" s="281"/>
      <c r="D4" s="69" t="s">
        <v>135</v>
      </c>
      <c r="E4" s="70">
        <f>_xlfn.IFNA(VLOOKUP($E$3,ODEM,2,FALSE),"no data")</f>
        <v>9</v>
      </c>
    </row>
    <row r="5" spans="1:31" s="15" customFormat="1" ht="16">
      <c r="A5" s="282"/>
      <c r="B5" s="283"/>
      <c r="C5" s="283"/>
      <c r="D5" s="71" t="s">
        <v>146</v>
      </c>
      <c r="E5" s="186">
        <f>_xlfn.IFNA(VLOOKUP($E$3,ODEM,3,FALSE),"no data")</f>
        <v>15630</v>
      </c>
      <c r="F5" s="12"/>
      <c r="Q5"/>
      <c r="R5"/>
      <c r="S5"/>
      <c r="T5"/>
      <c r="X5"/>
      <c r="Y5"/>
      <c r="Z5"/>
      <c r="AA5"/>
      <c r="AB5"/>
      <c r="AC5"/>
      <c r="AD5"/>
      <c r="AE5"/>
    </row>
    <row r="6" spans="1:31" s="15" customFormat="1" ht="42.5" customHeight="1" thickBot="1">
      <c r="A6" s="284"/>
      <c r="B6" s="285"/>
      <c r="C6" s="285"/>
      <c r="D6" s="72" t="s">
        <v>134</v>
      </c>
      <c r="E6" s="73">
        <f>IFERROR(GETPIVOTDATA("Name",$A$10,"Status","Large"),0)</f>
        <v>37</v>
      </c>
      <c r="F6" s="12"/>
      <c r="Q6"/>
      <c r="R6"/>
      <c r="S6"/>
      <c r="T6"/>
      <c r="X6"/>
      <c r="Y6"/>
      <c r="Z6"/>
      <c r="AA6"/>
      <c r="AB6"/>
      <c r="AC6"/>
      <c r="AD6"/>
      <c r="AE6"/>
    </row>
    <row r="7" spans="1:31" s="15" customFormat="1">
      <c r="A7"/>
      <c r="B7"/>
      <c r="C7"/>
      <c r="D7"/>
      <c r="E7" s="67"/>
      <c r="F7" s="12"/>
      <c r="G7"/>
      <c r="H7"/>
      <c r="I7"/>
      <c r="J7" s="12"/>
      <c r="K7" s="12"/>
      <c r="L7" s="12"/>
      <c r="M7"/>
      <c r="N7"/>
      <c r="O7"/>
      <c r="Q7"/>
      <c r="R7"/>
      <c r="S7"/>
      <c r="T7"/>
      <c r="X7"/>
      <c r="Y7"/>
      <c r="Z7"/>
      <c r="AA7"/>
      <c r="AB7"/>
      <c r="AC7"/>
      <c r="AD7"/>
      <c r="AE7"/>
    </row>
    <row r="8" spans="1:31" ht="16" thickBot="1">
      <c r="E8" s="74"/>
    </row>
    <row r="9" spans="1:31" ht="20" thickBot="1">
      <c r="A9" s="255" t="s">
        <v>585</v>
      </c>
      <c r="B9" s="255"/>
      <c r="C9" s="286"/>
      <c r="D9" s="127" t="s">
        <v>145</v>
      </c>
      <c r="E9" s="125" t="s">
        <v>166</v>
      </c>
      <c r="F9" s="126">
        <f>_xlfn.IFNA(VLOOKUP($B$19,ODF,3,FALSE),"no data")</f>
        <v>46227</v>
      </c>
      <c r="G9" s="75"/>
      <c r="H9" s="68" t="s">
        <v>170</v>
      </c>
      <c r="M9" s="12"/>
    </row>
    <row r="10" spans="1:31" ht="29" thickBot="1">
      <c r="A10" s="303"/>
      <c r="B10" s="304" t="s">
        <v>306</v>
      </c>
      <c r="D10" s="78"/>
      <c r="E10" s="79" t="s">
        <v>143</v>
      </c>
      <c r="F10" s="80" t="s">
        <v>144</v>
      </c>
      <c r="G10" s="75"/>
      <c r="H10" s="315" t="s">
        <v>307</v>
      </c>
      <c r="I10" s="316" t="s">
        <v>590</v>
      </c>
      <c r="J10" s="317" t="s">
        <v>308</v>
      </c>
      <c r="M10" s="12"/>
      <c r="N10" s="307" t="s">
        <v>309</v>
      </c>
      <c r="O10" s="308" t="s">
        <v>168</v>
      </c>
      <c r="P10" s="309" t="s">
        <v>316</v>
      </c>
    </row>
    <row r="11" spans="1:31" ht="20" thickBot="1">
      <c r="A11" s="318" t="s">
        <v>847</v>
      </c>
      <c r="B11" s="319">
        <v>37</v>
      </c>
      <c r="D11" s="81" t="s">
        <v>142</v>
      </c>
      <c r="E11" s="82">
        <f>_xlfn.IFNA(VLOOKUP($B$19,ODF,4,FALSE),"no data")</f>
        <v>16</v>
      </c>
      <c r="F11" s="87">
        <f>_xlfn.IFNA(VLOOKUP($B$19,ODF,7,FALSE),"no data")</f>
        <v>30</v>
      </c>
      <c r="G11" s="75"/>
      <c r="H11" s="295">
        <v>7816</v>
      </c>
      <c r="I11" s="296">
        <v>4000</v>
      </c>
      <c r="J11" s="297">
        <v>2831</v>
      </c>
      <c r="K11" s="77"/>
      <c r="L11" s="77"/>
      <c r="M11" s="77"/>
      <c r="N11" s="295">
        <v>26</v>
      </c>
      <c r="O11" s="296"/>
      <c r="P11" s="297">
        <v>72</v>
      </c>
    </row>
    <row r="12" spans="1:31" ht="20" thickBot="1">
      <c r="A12" s="320" t="s">
        <v>169</v>
      </c>
      <c r="B12" s="321">
        <v>23</v>
      </c>
      <c r="D12" s="81" t="s">
        <v>494</v>
      </c>
      <c r="E12" s="82">
        <f>_xlfn.IFNA(VLOOKUP($B$19,ODF,5,FALSE),"no data")</f>
        <v>616</v>
      </c>
      <c r="F12" s="87">
        <f>_xlfn.IFNA(VLOOKUP($B$19,ODF,8,FALSE),"no data")</f>
        <v>1238</v>
      </c>
      <c r="G12" s="75"/>
      <c r="H12" s="274" t="s">
        <v>188</v>
      </c>
      <c r="I12" s="275"/>
      <c r="J12" s="276"/>
      <c r="M12" s="12"/>
      <c r="N12" s="277" t="s">
        <v>310</v>
      </c>
      <c r="O12" s="278"/>
      <c r="P12" s="279"/>
    </row>
    <row r="13" spans="1:31" ht="20" thickBot="1">
      <c r="A13" s="320" t="s">
        <v>634</v>
      </c>
      <c r="B13" s="321">
        <v>1</v>
      </c>
      <c r="D13" s="83" t="s">
        <v>495</v>
      </c>
      <c r="E13" s="84">
        <f>_xlfn.IFNA(VLOOKUP($B$19,ODF,6,FALSE),"no data")</f>
        <v>81098</v>
      </c>
      <c r="F13" s="88">
        <f>_xlfn.IFNA(VLOOKUP($B$19,ODF,9,FALSE),"no data")</f>
        <v>577106</v>
      </c>
      <c r="G13" s="75"/>
      <c r="H13" s="75"/>
      <c r="I13" s="75"/>
      <c r="M13" s="76"/>
      <c r="N13" s="76"/>
      <c r="O13" s="76"/>
    </row>
    <row r="14" spans="1:31" ht="19">
      <c r="A14" s="305" t="s">
        <v>177</v>
      </c>
      <c r="B14" s="306">
        <v>61</v>
      </c>
      <c r="C14" s="142"/>
      <c r="D14" s="143"/>
      <c r="E14" s="144"/>
      <c r="F14" s="145"/>
      <c r="G14" s="75"/>
      <c r="H14" s="75"/>
      <c r="I14" s="75"/>
      <c r="M14" s="76"/>
      <c r="N14" s="76"/>
      <c r="O14" s="76"/>
    </row>
    <row r="15" spans="1:31" ht="19">
      <c r="B15" s="146" t="s">
        <v>584</v>
      </c>
      <c r="C15" s="147"/>
      <c r="D15" s="68"/>
      <c r="E15" s="144"/>
      <c r="F15" s="145"/>
      <c r="G15" s="75"/>
      <c r="H15" s="75"/>
      <c r="I15" s="75"/>
      <c r="M15" s="76"/>
      <c r="N15" s="76"/>
      <c r="O15" s="76"/>
    </row>
    <row r="16" spans="1:31" ht="19">
      <c r="B16" s="148" t="s">
        <v>610</v>
      </c>
      <c r="C16" s="142"/>
      <c r="D16" s="143"/>
      <c r="E16" s="144"/>
      <c r="F16" s="145"/>
      <c r="G16" s="75"/>
      <c r="H16" s="75"/>
      <c r="I16" s="75"/>
      <c r="M16" s="76"/>
      <c r="N16" s="76"/>
      <c r="O16" s="76"/>
    </row>
    <row r="17" spans="1:17" ht="19">
      <c r="B17" s="148" t="s">
        <v>611</v>
      </c>
      <c r="C17" s="142"/>
      <c r="D17" s="143"/>
      <c r="E17" s="144"/>
      <c r="F17" s="145"/>
      <c r="G17" s="75"/>
      <c r="H17" s="75"/>
      <c r="I17" s="75"/>
      <c r="M17" s="76"/>
      <c r="N17" s="76"/>
      <c r="O17" s="76"/>
    </row>
    <row r="18" spans="1:17" ht="26.5" customHeight="1">
      <c r="B18" s="148" t="s">
        <v>633</v>
      </c>
      <c r="C18" s="142"/>
      <c r="D18" s="143"/>
      <c r="E18" s="144"/>
      <c r="F18" s="145"/>
      <c r="G18" s="75"/>
      <c r="H18" s="75"/>
      <c r="I18" s="75"/>
      <c r="M18" s="76"/>
      <c r="N18" s="76"/>
      <c r="O18" s="76"/>
    </row>
    <row r="19" spans="1:17" ht="12.5" hidden="1" customHeight="1">
      <c r="A19" s="31" t="s">
        <v>317</v>
      </c>
      <c r="B19" s="39">
        <v>2026</v>
      </c>
      <c r="E19" s="67"/>
      <c r="F19" s="85"/>
      <c r="G19" s="86"/>
    </row>
    <row r="20" spans="1:17" ht="27.5" customHeight="1">
      <c r="A20" s="133" t="s">
        <v>139</v>
      </c>
      <c r="I20" s="273" t="s">
        <v>188</v>
      </c>
      <c r="J20" s="273"/>
      <c r="K20" s="273"/>
      <c r="L20" s="273" t="s">
        <v>118</v>
      </c>
      <c r="M20" s="273"/>
      <c r="O20" s="273" t="s">
        <v>123</v>
      </c>
      <c r="P20" s="273"/>
      <c r="Q20" s="273"/>
    </row>
    <row r="21" spans="1:17">
      <c r="D21"/>
      <c r="E21"/>
      <c r="F21" s="89" t="s">
        <v>189</v>
      </c>
      <c r="G21" s="156"/>
      <c r="H21" s="156"/>
      <c r="I21" s="32"/>
      <c r="J21" s="33"/>
      <c r="K21" s="34"/>
      <c r="L21" s="35"/>
      <c r="M21" s="149"/>
      <c r="N21" s="149"/>
      <c r="O21" s="34"/>
      <c r="P21" s="34"/>
      <c r="Q21" s="34"/>
    </row>
    <row r="22" spans="1:17" ht="68">
      <c r="A22" s="31" t="s">
        <v>167</v>
      </c>
      <c r="B22" s="31" t="s">
        <v>2</v>
      </c>
      <c r="C22" s="31" t="s">
        <v>1</v>
      </c>
      <c r="D22" s="31" t="s">
        <v>5</v>
      </c>
      <c r="E22" s="37" t="s">
        <v>4</v>
      </c>
      <c r="F22" s="117" t="s">
        <v>571</v>
      </c>
      <c r="G22" s="157" t="s">
        <v>645</v>
      </c>
      <c r="H22" s="157" t="s">
        <v>644</v>
      </c>
      <c r="I22" s="26" t="s">
        <v>179</v>
      </c>
      <c r="J22" s="27" t="s">
        <v>180</v>
      </c>
      <c r="K22" s="28" t="s">
        <v>181</v>
      </c>
      <c r="L22" s="29" t="s">
        <v>622</v>
      </c>
      <c r="M22" s="29" t="s">
        <v>618</v>
      </c>
      <c r="N22" s="29" t="s">
        <v>621</v>
      </c>
      <c r="O22" s="30" t="s">
        <v>623</v>
      </c>
      <c r="P22" s="30" t="s">
        <v>619</v>
      </c>
      <c r="Q22" s="30" t="s">
        <v>620</v>
      </c>
    </row>
    <row r="23" spans="1:17">
      <c r="A23" t="s">
        <v>847</v>
      </c>
      <c r="B23" t="s">
        <v>907</v>
      </c>
      <c r="C23" t="s">
        <v>96</v>
      </c>
      <c r="D23" t="s">
        <v>895</v>
      </c>
      <c r="E23" s="38">
        <v>0.05</v>
      </c>
      <c r="F23" s="11">
        <v>27222</v>
      </c>
      <c r="G23" s="293"/>
      <c r="H23" s="293"/>
      <c r="I23" s="293">
        <v>3898</v>
      </c>
      <c r="J23" s="293">
        <v>396</v>
      </c>
      <c r="K23" s="293">
        <v>460</v>
      </c>
      <c r="L23" s="293">
        <v>4812</v>
      </c>
      <c r="M23" s="293"/>
      <c r="N23" s="293"/>
      <c r="O23" s="293">
        <v>2</v>
      </c>
      <c r="P23" s="293"/>
      <c r="Q23" s="293"/>
    </row>
    <row r="24" spans="1:17">
      <c r="B24" t="s">
        <v>909</v>
      </c>
      <c r="C24" t="s">
        <v>88</v>
      </c>
      <c r="D24" t="s">
        <v>899</v>
      </c>
      <c r="E24" s="38">
        <v>0.35</v>
      </c>
      <c r="F24" s="11">
        <v>28827</v>
      </c>
      <c r="G24" s="293"/>
      <c r="H24" s="293"/>
      <c r="I24" s="293"/>
      <c r="J24" s="293"/>
      <c r="K24" s="293"/>
      <c r="L24" s="293">
        <v>8</v>
      </c>
      <c r="M24" s="293"/>
      <c r="N24" s="293"/>
      <c r="O24" s="293"/>
      <c r="P24" s="293"/>
      <c r="Q24" s="293"/>
    </row>
    <row r="25" spans="1:17">
      <c r="B25" t="s">
        <v>910</v>
      </c>
      <c r="C25" t="s">
        <v>88</v>
      </c>
      <c r="D25" t="s">
        <v>898</v>
      </c>
      <c r="E25" s="38">
        <v>0.56999999999999995</v>
      </c>
      <c r="F25" s="11">
        <v>17447</v>
      </c>
      <c r="G25" s="293"/>
      <c r="H25" s="293"/>
      <c r="I25" s="293"/>
      <c r="J25" s="293"/>
      <c r="K25" s="293"/>
      <c r="L25" s="293">
        <v>100</v>
      </c>
      <c r="M25" s="293"/>
      <c r="N25" s="293"/>
      <c r="O25" s="293"/>
      <c r="P25" s="293"/>
      <c r="Q25" s="293"/>
    </row>
    <row r="26" spans="1:17">
      <c r="B26" t="s">
        <v>944</v>
      </c>
      <c r="C26" t="s">
        <v>96</v>
      </c>
      <c r="D26" t="s">
        <v>945</v>
      </c>
      <c r="E26" s="38">
        <v>0.77</v>
      </c>
      <c r="F26" s="11">
        <v>4834</v>
      </c>
      <c r="G26" s="293"/>
      <c r="H26" s="293"/>
      <c r="I26" s="293"/>
      <c r="J26" s="293"/>
      <c r="K26" s="293"/>
      <c r="L26" s="293">
        <v>30</v>
      </c>
      <c r="M26" s="293"/>
      <c r="N26" s="293"/>
      <c r="O26" s="293"/>
      <c r="P26" s="293"/>
      <c r="Q26" s="293"/>
    </row>
    <row r="27" spans="1:17">
      <c r="B27" t="s">
        <v>963</v>
      </c>
      <c r="C27" t="s">
        <v>112</v>
      </c>
      <c r="D27" t="s">
        <v>964</v>
      </c>
      <c r="E27" s="38">
        <v>0</v>
      </c>
      <c r="F27" s="11">
        <v>191</v>
      </c>
      <c r="G27" s="293"/>
      <c r="H27" s="293"/>
      <c r="I27" s="293">
        <v>308</v>
      </c>
      <c r="J27" s="293">
        <v>1068</v>
      </c>
      <c r="K27" s="293">
        <v>61</v>
      </c>
      <c r="L27" s="293"/>
      <c r="M27" s="293"/>
      <c r="N27" s="293"/>
      <c r="O27" s="293"/>
      <c r="P27" s="293"/>
      <c r="Q27" s="293"/>
    </row>
    <row r="28" spans="1:17">
      <c r="B28" t="s">
        <v>946</v>
      </c>
      <c r="C28" t="s">
        <v>114</v>
      </c>
      <c r="D28" t="s">
        <v>947</v>
      </c>
      <c r="E28" s="38">
        <v>0</v>
      </c>
      <c r="F28" s="11">
        <v>53976</v>
      </c>
      <c r="G28" s="293"/>
      <c r="H28" s="293"/>
      <c r="I28" s="293">
        <v>0</v>
      </c>
      <c r="J28" s="293">
        <v>5</v>
      </c>
      <c r="K28" s="293">
        <v>17</v>
      </c>
      <c r="L28" s="293"/>
      <c r="M28" s="293"/>
      <c r="N28" s="293"/>
      <c r="O28" s="293">
        <v>3</v>
      </c>
      <c r="P28" s="293"/>
      <c r="Q28" s="293"/>
    </row>
    <row r="29" spans="1:17">
      <c r="B29" t="s">
        <v>965</v>
      </c>
      <c r="C29" t="s">
        <v>88</v>
      </c>
      <c r="D29" t="s">
        <v>685</v>
      </c>
      <c r="E29" s="38">
        <v>0</v>
      </c>
      <c r="F29" s="11">
        <v>2136</v>
      </c>
      <c r="G29" s="293"/>
      <c r="H29" s="293"/>
      <c r="I29" s="293"/>
      <c r="J29" s="293"/>
      <c r="K29" s="293"/>
      <c r="L29" s="293"/>
      <c r="M29" s="293"/>
      <c r="N29" s="293"/>
      <c r="O29" s="293"/>
      <c r="P29" s="293"/>
      <c r="Q29" s="293"/>
    </row>
    <row r="30" spans="1:17">
      <c r="B30" t="s">
        <v>949</v>
      </c>
      <c r="C30" t="s">
        <v>94</v>
      </c>
      <c r="D30" t="s">
        <v>948</v>
      </c>
      <c r="E30" s="38">
        <v>0.8</v>
      </c>
      <c r="F30" s="11">
        <v>745</v>
      </c>
      <c r="G30" s="293"/>
      <c r="H30" s="293"/>
      <c r="I30" s="293"/>
      <c r="J30" s="293"/>
      <c r="K30" s="293"/>
      <c r="L30" s="293">
        <v>15</v>
      </c>
      <c r="M30" s="293"/>
      <c r="N30" s="293"/>
      <c r="O30" s="293"/>
      <c r="P30" s="293"/>
      <c r="Q30" s="293"/>
    </row>
    <row r="31" spans="1:17">
      <c r="B31" t="s">
        <v>967</v>
      </c>
      <c r="C31" t="s">
        <v>112</v>
      </c>
      <c r="D31" t="s">
        <v>966</v>
      </c>
      <c r="E31" s="38">
        <v>0</v>
      </c>
      <c r="F31" s="11">
        <v>532</v>
      </c>
      <c r="G31" s="293"/>
      <c r="H31" s="293"/>
      <c r="I31" s="293"/>
      <c r="J31" s="293"/>
      <c r="K31" s="293"/>
      <c r="L31" s="293"/>
      <c r="M31" s="293"/>
      <c r="N31" s="293"/>
      <c r="O31" s="293"/>
      <c r="P31" s="293"/>
      <c r="Q31" s="293"/>
    </row>
    <row r="32" spans="1:17">
      <c r="B32" t="s">
        <v>873</v>
      </c>
      <c r="C32" t="s">
        <v>82</v>
      </c>
      <c r="D32" t="s">
        <v>875</v>
      </c>
      <c r="E32" s="38">
        <v>0.89</v>
      </c>
      <c r="F32" s="11">
        <v>2550</v>
      </c>
      <c r="G32" s="293"/>
      <c r="H32" s="293"/>
      <c r="I32" s="293">
        <v>24</v>
      </c>
      <c r="J32" s="293">
        <v>12</v>
      </c>
      <c r="K32" s="293"/>
      <c r="L32" s="293">
        <v>50</v>
      </c>
      <c r="M32" s="293"/>
      <c r="N32" s="293"/>
      <c r="O32" s="293"/>
      <c r="P32" s="293"/>
      <c r="Q32" s="293"/>
    </row>
    <row r="33" spans="2:17">
      <c r="B33" t="s">
        <v>968</v>
      </c>
      <c r="C33" t="s">
        <v>94</v>
      </c>
      <c r="D33" t="s">
        <v>969</v>
      </c>
      <c r="E33" s="38">
        <v>0.01</v>
      </c>
      <c r="F33" s="11">
        <v>25992</v>
      </c>
      <c r="G33" s="293"/>
      <c r="H33" s="293"/>
      <c r="I33" s="293"/>
      <c r="J33" s="293"/>
      <c r="K33" s="293"/>
      <c r="L33" s="293">
        <v>104</v>
      </c>
      <c r="M33" s="293"/>
      <c r="N33" s="293"/>
      <c r="O33" s="293"/>
      <c r="P33" s="293"/>
      <c r="Q33" s="293"/>
    </row>
    <row r="34" spans="2:17">
      <c r="B34" t="s">
        <v>970</v>
      </c>
      <c r="C34" t="s">
        <v>96</v>
      </c>
      <c r="D34" t="s">
        <v>971</v>
      </c>
      <c r="E34" s="38">
        <v>0</v>
      </c>
      <c r="F34" s="11">
        <v>13648</v>
      </c>
      <c r="G34" s="293"/>
      <c r="H34" s="293"/>
      <c r="I34" s="293"/>
      <c r="J34" s="293"/>
      <c r="K34" s="293"/>
      <c r="L34" s="293"/>
      <c r="M34" s="293">
        <v>44</v>
      </c>
      <c r="N34" s="293"/>
      <c r="O34" s="293"/>
      <c r="P34" s="293"/>
      <c r="Q34" s="293"/>
    </row>
    <row r="35" spans="2:17">
      <c r="B35" t="s">
        <v>950</v>
      </c>
      <c r="C35" t="s">
        <v>96</v>
      </c>
      <c r="D35" t="s">
        <v>951</v>
      </c>
      <c r="E35" s="38">
        <v>0</v>
      </c>
      <c r="F35" s="11">
        <v>20180</v>
      </c>
      <c r="G35" s="293"/>
      <c r="H35" s="293"/>
      <c r="I35" s="293">
        <v>609</v>
      </c>
      <c r="J35" s="293">
        <v>327</v>
      </c>
      <c r="K35" s="293">
        <v>120</v>
      </c>
      <c r="L35" s="293">
        <v>18</v>
      </c>
      <c r="M35" s="293"/>
      <c r="N35" s="293"/>
      <c r="O35" s="293"/>
      <c r="P35" s="293"/>
      <c r="Q35" s="293"/>
    </row>
    <row r="36" spans="2:17">
      <c r="B36" t="s">
        <v>952</v>
      </c>
      <c r="C36" t="s">
        <v>103</v>
      </c>
      <c r="D36" t="s">
        <v>953</v>
      </c>
      <c r="E36" s="38">
        <v>0.05</v>
      </c>
      <c r="F36" s="11">
        <v>280000</v>
      </c>
      <c r="G36" s="293"/>
      <c r="H36" s="293"/>
      <c r="I36" s="293"/>
      <c r="J36" s="293"/>
      <c r="K36" s="293"/>
      <c r="L36" s="293">
        <v>336</v>
      </c>
      <c r="M36" s="293"/>
      <c r="N36" s="293"/>
      <c r="O36" s="293"/>
      <c r="P36" s="293"/>
      <c r="Q36" s="293"/>
    </row>
    <row r="37" spans="2:17">
      <c r="B37" t="s">
        <v>972</v>
      </c>
      <c r="C37" t="s">
        <v>82</v>
      </c>
      <c r="D37" t="s">
        <v>973</v>
      </c>
      <c r="E37" s="38">
        <v>0</v>
      </c>
      <c r="F37" s="11">
        <v>600</v>
      </c>
      <c r="G37" s="293"/>
      <c r="H37" s="293"/>
      <c r="I37" s="293"/>
      <c r="J37" s="293"/>
      <c r="K37" s="293"/>
      <c r="L37" s="293">
        <v>3</v>
      </c>
      <c r="M37" s="293"/>
      <c r="N37" s="293"/>
      <c r="O37" s="293"/>
      <c r="P37" s="293"/>
      <c r="Q37" s="293"/>
    </row>
    <row r="38" spans="2:17">
      <c r="B38" t="s">
        <v>913</v>
      </c>
      <c r="C38" t="s">
        <v>93</v>
      </c>
      <c r="D38" t="s">
        <v>914</v>
      </c>
      <c r="E38" s="38">
        <v>0.44</v>
      </c>
      <c r="F38" s="11">
        <v>2425</v>
      </c>
      <c r="G38" s="293"/>
      <c r="H38" s="293"/>
      <c r="I38" s="293"/>
      <c r="J38" s="293"/>
      <c r="K38" s="293"/>
      <c r="L38" s="293">
        <v>5</v>
      </c>
      <c r="M38" s="293"/>
      <c r="N38" s="293"/>
      <c r="O38" s="293">
        <v>1</v>
      </c>
      <c r="P38" s="293"/>
      <c r="Q38" s="293"/>
    </row>
    <row r="39" spans="2:17">
      <c r="B39" t="s">
        <v>896</v>
      </c>
      <c r="C39" t="s">
        <v>96</v>
      </c>
      <c r="D39" t="s">
        <v>897</v>
      </c>
      <c r="E39" s="38">
        <v>0.05</v>
      </c>
      <c r="F39" s="11">
        <v>51308</v>
      </c>
      <c r="G39" s="293"/>
      <c r="H39" s="293"/>
      <c r="I39" s="293">
        <v>126</v>
      </c>
      <c r="J39" s="293">
        <v>335</v>
      </c>
      <c r="K39" s="293">
        <v>75</v>
      </c>
      <c r="L39" s="293">
        <v>1784</v>
      </c>
      <c r="M39" s="293"/>
      <c r="N39" s="293"/>
      <c r="O39" s="293"/>
      <c r="P39" s="293"/>
      <c r="Q39" s="293">
        <v>15</v>
      </c>
    </row>
    <row r="40" spans="2:17">
      <c r="B40" t="s">
        <v>915</v>
      </c>
      <c r="C40" t="s">
        <v>96</v>
      </c>
      <c r="D40" t="s">
        <v>916</v>
      </c>
      <c r="E40" s="38">
        <v>0</v>
      </c>
      <c r="F40" s="11">
        <v>3015</v>
      </c>
      <c r="G40" s="293"/>
      <c r="H40" s="293"/>
      <c r="I40" s="293">
        <v>18</v>
      </c>
      <c r="J40" s="293"/>
      <c r="K40" s="293"/>
      <c r="L40" s="293">
        <v>46</v>
      </c>
      <c r="M40" s="293"/>
      <c r="N40" s="293"/>
      <c r="O40" s="293"/>
      <c r="P40" s="293"/>
      <c r="Q40" s="293"/>
    </row>
    <row r="41" spans="2:17">
      <c r="B41" t="s">
        <v>974</v>
      </c>
      <c r="C41" t="s">
        <v>91</v>
      </c>
      <c r="D41" t="s">
        <v>879</v>
      </c>
      <c r="E41" s="38">
        <v>0</v>
      </c>
      <c r="F41" s="11">
        <v>1400</v>
      </c>
      <c r="G41" s="293"/>
      <c r="H41" s="293"/>
      <c r="I41" s="293"/>
      <c r="J41" s="293"/>
      <c r="K41" s="293"/>
      <c r="L41" s="293"/>
      <c r="M41" s="293"/>
      <c r="N41" s="293"/>
      <c r="O41" s="293"/>
      <c r="P41" s="293"/>
      <c r="Q41" s="293"/>
    </row>
    <row r="42" spans="2:17">
      <c r="B42" t="s">
        <v>960</v>
      </c>
      <c r="C42" t="s">
        <v>94</v>
      </c>
      <c r="D42" t="s">
        <v>961</v>
      </c>
      <c r="E42" s="38">
        <v>0</v>
      </c>
      <c r="F42" s="11">
        <v>130000</v>
      </c>
      <c r="G42" s="293"/>
      <c r="H42" s="293"/>
      <c r="I42" s="293"/>
      <c r="J42" s="293"/>
      <c r="K42" s="293"/>
      <c r="L42" s="293"/>
      <c r="M42" s="293"/>
      <c r="N42" s="293"/>
      <c r="O42" s="293"/>
      <c r="P42" s="293"/>
      <c r="Q42" s="293"/>
    </row>
    <row r="43" spans="2:17">
      <c r="B43" t="s">
        <v>917</v>
      </c>
      <c r="C43" t="s">
        <v>95</v>
      </c>
      <c r="D43" t="s">
        <v>878</v>
      </c>
      <c r="E43" s="38">
        <v>0.66</v>
      </c>
      <c r="F43" s="11">
        <v>15580</v>
      </c>
      <c r="G43" s="293"/>
      <c r="H43" s="293"/>
      <c r="I43" s="293">
        <v>388</v>
      </c>
      <c r="J43" s="293">
        <v>0</v>
      </c>
      <c r="K43" s="293">
        <v>0</v>
      </c>
      <c r="L43" s="293">
        <v>2347</v>
      </c>
      <c r="M43" s="293"/>
      <c r="N43" s="293"/>
      <c r="O43" s="293">
        <v>1</v>
      </c>
      <c r="P43" s="293"/>
      <c r="Q43" s="293">
        <v>6</v>
      </c>
    </row>
    <row r="44" spans="2:17">
      <c r="B44" t="s">
        <v>901</v>
      </c>
      <c r="C44" t="s">
        <v>94</v>
      </c>
      <c r="D44" t="s">
        <v>902</v>
      </c>
      <c r="E44" s="38">
        <v>0.8</v>
      </c>
      <c r="F44" s="11">
        <v>4553</v>
      </c>
      <c r="G44" s="293"/>
      <c r="H44" s="293"/>
      <c r="I44" s="293"/>
      <c r="J44" s="293"/>
      <c r="K44" s="293"/>
      <c r="L44" s="293"/>
      <c r="M44" s="293"/>
      <c r="N44" s="293"/>
      <c r="O44" s="293"/>
      <c r="P44" s="293"/>
      <c r="Q44" s="293"/>
    </row>
    <row r="45" spans="2:17">
      <c r="B45" t="s">
        <v>975</v>
      </c>
      <c r="C45" t="s">
        <v>93</v>
      </c>
      <c r="D45" t="s">
        <v>976</v>
      </c>
      <c r="E45" s="38">
        <v>0</v>
      </c>
      <c r="F45" s="11">
        <v>26445</v>
      </c>
      <c r="G45" s="293"/>
      <c r="H45" s="293"/>
      <c r="I45" s="293"/>
      <c r="J45" s="293"/>
      <c r="K45" s="293"/>
      <c r="L45" s="293"/>
      <c r="M45" s="293"/>
      <c r="N45" s="293"/>
      <c r="O45" s="293"/>
      <c r="P45" s="293"/>
      <c r="Q45" s="293"/>
    </row>
    <row r="46" spans="2:17">
      <c r="B46" t="s">
        <v>233</v>
      </c>
      <c r="C46" t="s">
        <v>91</v>
      </c>
      <c r="D46" t="s">
        <v>879</v>
      </c>
      <c r="E46" s="38">
        <v>0</v>
      </c>
      <c r="F46" s="11">
        <v>15000</v>
      </c>
      <c r="G46" s="293"/>
      <c r="H46" s="293"/>
      <c r="I46" s="293"/>
      <c r="J46" s="293"/>
      <c r="K46" s="293"/>
      <c r="L46" s="293">
        <v>800</v>
      </c>
      <c r="M46" s="293"/>
      <c r="N46" s="293"/>
      <c r="O46" s="293"/>
      <c r="P46" s="293"/>
      <c r="Q46" s="293"/>
    </row>
    <row r="47" spans="2:17">
      <c r="B47" t="s">
        <v>918</v>
      </c>
      <c r="C47" t="s">
        <v>109</v>
      </c>
      <c r="D47" t="s">
        <v>919</v>
      </c>
      <c r="E47" s="38">
        <v>0</v>
      </c>
      <c r="F47" s="11">
        <v>24038</v>
      </c>
      <c r="G47" s="293"/>
      <c r="H47" s="293"/>
      <c r="I47" s="293"/>
      <c r="J47" s="293"/>
      <c r="K47" s="293"/>
      <c r="L47" s="293">
        <v>1467</v>
      </c>
      <c r="M47" s="293"/>
      <c r="N47" s="293"/>
      <c r="O47" s="293"/>
      <c r="P47" s="293"/>
      <c r="Q47" s="293"/>
    </row>
    <row r="48" spans="2:17">
      <c r="B48" t="s">
        <v>977</v>
      </c>
      <c r="C48" t="s">
        <v>103</v>
      </c>
      <c r="D48" t="s">
        <v>978</v>
      </c>
      <c r="E48" s="38">
        <v>0.35</v>
      </c>
      <c r="F48" s="11">
        <v>42000</v>
      </c>
      <c r="G48" s="293"/>
      <c r="H48" s="293"/>
      <c r="I48" s="293"/>
      <c r="J48" s="293"/>
      <c r="K48" s="293"/>
      <c r="L48" s="293">
        <v>32</v>
      </c>
      <c r="M48" s="293"/>
      <c r="N48" s="293"/>
      <c r="O48" s="293"/>
      <c r="P48" s="293"/>
      <c r="Q48" s="293"/>
    </row>
    <row r="49" spans="1:17">
      <c r="B49" t="s">
        <v>927</v>
      </c>
      <c r="C49" t="s">
        <v>92</v>
      </c>
      <c r="D49" t="s">
        <v>925</v>
      </c>
      <c r="E49" s="38">
        <v>0.6</v>
      </c>
      <c r="F49" s="11">
        <v>181821</v>
      </c>
      <c r="G49" s="293"/>
      <c r="H49" s="293"/>
      <c r="I49" s="293">
        <v>217</v>
      </c>
      <c r="J49" s="293">
        <v>95</v>
      </c>
      <c r="K49" s="293">
        <v>0</v>
      </c>
      <c r="L49" s="293"/>
      <c r="M49" s="293"/>
      <c r="N49" s="293"/>
      <c r="O49" s="293">
        <v>13</v>
      </c>
      <c r="P49" s="293"/>
      <c r="Q49" s="293">
        <v>5</v>
      </c>
    </row>
    <row r="50" spans="1:17">
      <c r="B50" t="s">
        <v>906</v>
      </c>
      <c r="C50" t="s">
        <v>109</v>
      </c>
      <c r="D50" t="s">
        <v>934</v>
      </c>
      <c r="E50" s="38">
        <v>0.6</v>
      </c>
      <c r="F50" s="11">
        <v>831</v>
      </c>
      <c r="G50" s="293"/>
      <c r="H50" s="293"/>
      <c r="I50" s="293"/>
      <c r="J50" s="293"/>
      <c r="K50" s="293"/>
      <c r="L50" s="293">
        <v>60</v>
      </c>
      <c r="M50" s="293"/>
      <c r="N50" s="293"/>
      <c r="O50" s="293"/>
      <c r="P50" s="293"/>
      <c r="Q50" s="293"/>
    </row>
    <row r="51" spans="1:17">
      <c r="B51" t="s">
        <v>920</v>
      </c>
      <c r="C51" t="s">
        <v>111</v>
      </c>
      <c r="D51" t="s">
        <v>921</v>
      </c>
      <c r="E51" s="38">
        <v>0</v>
      </c>
      <c r="F51" s="11">
        <v>740</v>
      </c>
      <c r="G51" s="293"/>
      <c r="H51" s="293"/>
      <c r="I51" s="293"/>
      <c r="J51" s="293"/>
      <c r="K51" s="293"/>
      <c r="L51" s="293"/>
      <c r="M51" s="293"/>
      <c r="N51" s="293"/>
      <c r="O51" s="293"/>
      <c r="P51" s="293"/>
      <c r="Q51" s="293"/>
    </row>
    <row r="52" spans="1:17">
      <c r="B52" t="s">
        <v>979</v>
      </c>
      <c r="C52" t="s">
        <v>94</v>
      </c>
      <c r="D52" t="s">
        <v>980</v>
      </c>
      <c r="E52" s="38">
        <v>0.3</v>
      </c>
      <c r="F52" s="11">
        <v>18539</v>
      </c>
      <c r="G52" s="293"/>
      <c r="H52" s="293"/>
      <c r="I52" s="293"/>
      <c r="J52" s="293"/>
      <c r="K52" s="293"/>
      <c r="L52" s="293">
        <v>34</v>
      </c>
      <c r="M52" s="293"/>
      <c r="N52" s="293"/>
      <c r="O52" s="293"/>
      <c r="P52" s="293"/>
      <c r="Q52" s="293">
        <v>2</v>
      </c>
    </row>
    <row r="53" spans="1:17">
      <c r="B53" t="s">
        <v>861</v>
      </c>
      <c r="C53" t="s">
        <v>109</v>
      </c>
      <c r="D53" t="s">
        <v>862</v>
      </c>
      <c r="E53" s="38">
        <v>0.96</v>
      </c>
      <c r="F53" s="11">
        <v>4887</v>
      </c>
      <c r="G53" s="293"/>
      <c r="H53" s="293"/>
      <c r="I53" s="293">
        <v>21</v>
      </c>
      <c r="J53" s="293">
        <v>0</v>
      </c>
      <c r="K53" s="293">
        <v>0</v>
      </c>
      <c r="L53" s="293"/>
      <c r="M53" s="293"/>
      <c r="N53" s="293"/>
      <c r="O53" s="293"/>
      <c r="P53" s="293"/>
      <c r="Q53" s="293"/>
    </row>
    <row r="54" spans="1:17">
      <c r="B54" t="s">
        <v>876</v>
      </c>
      <c r="C54" t="s">
        <v>93</v>
      </c>
      <c r="D54" t="s">
        <v>872</v>
      </c>
      <c r="E54" s="38">
        <v>0.6</v>
      </c>
      <c r="F54" s="11">
        <v>3054</v>
      </c>
      <c r="G54" s="293"/>
      <c r="H54" s="293"/>
      <c r="I54" s="293">
        <v>0</v>
      </c>
      <c r="J54" s="293">
        <v>99</v>
      </c>
      <c r="K54" s="293">
        <v>27</v>
      </c>
      <c r="L54" s="293">
        <v>38</v>
      </c>
      <c r="M54" s="293"/>
      <c r="N54" s="293"/>
      <c r="O54" s="293"/>
      <c r="P54" s="293"/>
      <c r="Q54" s="293"/>
    </row>
    <row r="55" spans="1:17">
      <c r="B55" t="s">
        <v>900</v>
      </c>
      <c r="C55" t="s">
        <v>82</v>
      </c>
      <c r="D55" t="s">
        <v>935</v>
      </c>
      <c r="E55" s="38">
        <v>0.84</v>
      </c>
      <c r="F55" s="11">
        <v>21026</v>
      </c>
      <c r="G55" s="293"/>
      <c r="H55" s="293"/>
      <c r="I55" s="293"/>
      <c r="J55" s="293"/>
      <c r="K55" s="293"/>
      <c r="L55" s="293">
        <v>3</v>
      </c>
      <c r="M55" s="293"/>
      <c r="N55" s="293"/>
      <c r="O55" s="293"/>
      <c r="P55" s="293"/>
      <c r="Q55" s="293"/>
    </row>
    <row r="56" spans="1:17">
      <c r="B56" t="s">
        <v>926</v>
      </c>
      <c r="C56" t="s">
        <v>114</v>
      </c>
      <c r="D56" t="s">
        <v>889</v>
      </c>
      <c r="E56" s="38">
        <v>0.31</v>
      </c>
      <c r="F56" s="11">
        <v>208759</v>
      </c>
      <c r="G56" s="293"/>
      <c r="H56" s="293"/>
      <c r="I56" s="293">
        <v>4</v>
      </c>
      <c r="J56" s="293">
        <v>0</v>
      </c>
      <c r="K56" s="293">
        <v>9</v>
      </c>
      <c r="L56" s="293"/>
      <c r="M56" s="293"/>
      <c r="N56" s="293"/>
      <c r="O56" s="293"/>
      <c r="P56" s="293"/>
      <c r="Q56" s="293"/>
    </row>
    <row r="57" spans="1:17">
      <c r="B57" t="s">
        <v>871</v>
      </c>
      <c r="C57" t="s">
        <v>93</v>
      </c>
      <c r="D57" t="s">
        <v>872</v>
      </c>
      <c r="E57" s="38">
        <v>0.6</v>
      </c>
      <c r="F57" s="11">
        <v>1426</v>
      </c>
      <c r="G57" s="293"/>
      <c r="H57" s="293"/>
      <c r="I57" s="293">
        <v>0</v>
      </c>
      <c r="J57" s="293">
        <v>20</v>
      </c>
      <c r="K57" s="293">
        <v>0</v>
      </c>
      <c r="L57" s="293">
        <v>38</v>
      </c>
      <c r="M57" s="293"/>
      <c r="N57" s="293"/>
      <c r="O57" s="293"/>
      <c r="P57" s="293"/>
      <c r="Q57" s="293">
        <v>2</v>
      </c>
    </row>
    <row r="58" spans="1:17">
      <c r="B58" t="s">
        <v>962</v>
      </c>
      <c r="C58" t="s">
        <v>94</v>
      </c>
      <c r="D58" t="s">
        <v>981</v>
      </c>
      <c r="E58" s="38">
        <v>0.05</v>
      </c>
      <c r="F58" s="11">
        <v>76958</v>
      </c>
      <c r="G58" s="293"/>
      <c r="H58" s="293"/>
      <c r="I58" s="293"/>
      <c r="J58" s="293"/>
      <c r="K58" s="293"/>
      <c r="L58" s="293">
        <v>1721</v>
      </c>
      <c r="M58" s="293"/>
      <c r="N58" s="293"/>
      <c r="O58" s="293"/>
      <c r="P58" s="293"/>
      <c r="Q58" s="293">
        <v>2</v>
      </c>
    </row>
    <row r="59" spans="1:17">
      <c r="B59" t="s">
        <v>956</v>
      </c>
      <c r="C59" t="s">
        <v>94</v>
      </c>
      <c r="D59" t="s">
        <v>957</v>
      </c>
      <c r="E59" s="38">
        <v>0.8</v>
      </c>
      <c r="F59" s="11">
        <v>15673</v>
      </c>
      <c r="G59" s="293"/>
      <c r="H59" s="293"/>
      <c r="I59" s="293"/>
      <c r="J59" s="293"/>
      <c r="K59" s="293"/>
      <c r="L59" s="293">
        <v>76</v>
      </c>
      <c r="M59" s="293"/>
      <c r="N59" s="293"/>
      <c r="O59" s="293"/>
      <c r="P59" s="293"/>
      <c r="Q59" s="293"/>
    </row>
    <row r="60" spans="1:17">
      <c r="A60" t="s">
        <v>848</v>
      </c>
      <c r="D60"/>
      <c r="E60"/>
      <c r="F60" s="11">
        <v>1328358</v>
      </c>
      <c r="G60" s="293"/>
      <c r="H60" s="293"/>
      <c r="I60" s="293">
        <v>5613</v>
      </c>
      <c r="J60" s="293">
        <v>2357</v>
      </c>
      <c r="K60" s="293">
        <v>769</v>
      </c>
      <c r="L60" s="293">
        <v>13927</v>
      </c>
      <c r="M60" s="293">
        <v>44</v>
      </c>
      <c r="N60" s="293"/>
      <c r="O60" s="293">
        <v>20</v>
      </c>
      <c r="P60" s="293"/>
      <c r="Q60" s="293">
        <v>32</v>
      </c>
    </row>
    <row r="61" spans="1:17">
      <c r="A61" t="s">
        <v>169</v>
      </c>
      <c r="B61" t="s">
        <v>985</v>
      </c>
      <c r="C61" t="s">
        <v>112</v>
      </c>
      <c r="D61" t="s">
        <v>837</v>
      </c>
      <c r="E61" s="38">
        <v>1</v>
      </c>
      <c r="F61" s="11">
        <v>1634</v>
      </c>
      <c r="G61" s="293"/>
      <c r="H61" s="293"/>
      <c r="I61" s="293"/>
      <c r="J61" s="293"/>
      <c r="K61" s="293"/>
      <c r="L61" s="293"/>
      <c r="M61" s="293"/>
      <c r="N61" s="293"/>
      <c r="O61" s="293"/>
      <c r="P61" s="293"/>
      <c r="Q61" s="293"/>
    </row>
    <row r="62" spans="1:17">
      <c r="B62" t="s">
        <v>986</v>
      </c>
      <c r="C62" t="s">
        <v>92</v>
      </c>
      <c r="D62" t="s">
        <v>838</v>
      </c>
      <c r="E62" s="38">
        <v>1</v>
      </c>
      <c r="F62" s="11">
        <v>450</v>
      </c>
      <c r="G62" s="293"/>
      <c r="H62" s="293"/>
      <c r="I62" s="293"/>
      <c r="J62" s="293"/>
      <c r="K62" s="293"/>
      <c r="L62" s="293"/>
      <c r="M62" s="293"/>
      <c r="N62" s="293"/>
      <c r="O62" s="293"/>
      <c r="P62" s="293"/>
      <c r="Q62" s="293"/>
    </row>
    <row r="63" spans="1:17">
      <c r="B63" t="s">
        <v>983</v>
      </c>
      <c r="C63" t="s">
        <v>92</v>
      </c>
      <c r="D63" t="s">
        <v>857</v>
      </c>
      <c r="E63" s="38">
        <v>1</v>
      </c>
      <c r="F63" s="11">
        <v>440</v>
      </c>
      <c r="G63" s="293"/>
      <c r="H63" s="293"/>
      <c r="I63" s="293"/>
      <c r="J63" s="293"/>
      <c r="K63" s="293"/>
      <c r="L63" s="293"/>
      <c r="M63" s="293"/>
      <c r="N63" s="293"/>
      <c r="O63" s="293"/>
      <c r="P63" s="293"/>
      <c r="Q63" s="293"/>
    </row>
    <row r="64" spans="1:17">
      <c r="B64" t="s">
        <v>982</v>
      </c>
      <c r="C64" t="s">
        <v>112</v>
      </c>
      <c r="D64" t="s">
        <v>863</v>
      </c>
      <c r="E64" s="38">
        <v>1</v>
      </c>
      <c r="F64" s="11">
        <v>1347</v>
      </c>
      <c r="G64" s="293"/>
      <c r="H64" s="293"/>
      <c r="I64" s="293">
        <v>0</v>
      </c>
      <c r="J64" s="293"/>
      <c r="K64" s="293"/>
      <c r="L64" s="293"/>
      <c r="M64" s="293"/>
      <c r="N64" s="293"/>
      <c r="O64" s="293"/>
      <c r="P64" s="293"/>
      <c r="Q64" s="293"/>
    </row>
    <row r="65" spans="2:17">
      <c r="B65" t="s">
        <v>984</v>
      </c>
      <c r="C65" t="s">
        <v>90</v>
      </c>
      <c r="D65" t="s">
        <v>864</v>
      </c>
      <c r="E65" s="38">
        <v>1</v>
      </c>
      <c r="F65" s="11">
        <v>20</v>
      </c>
      <c r="G65" s="293"/>
      <c r="H65" s="293"/>
      <c r="I65" s="293">
        <v>0</v>
      </c>
      <c r="J65" s="293"/>
      <c r="K65" s="293"/>
      <c r="L65" s="293"/>
      <c r="M65" s="293"/>
      <c r="N65" s="293"/>
      <c r="O65" s="293"/>
      <c r="P65" s="293"/>
      <c r="Q65" s="293"/>
    </row>
    <row r="66" spans="2:17">
      <c r="B66" t="s">
        <v>908</v>
      </c>
      <c r="C66" t="s">
        <v>88</v>
      </c>
      <c r="D66" t="s">
        <v>936</v>
      </c>
      <c r="E66" s="38">
        <v>1</v>
      </c>
      <c r="F66" s="11">
        <v>350</v>
      </c>
      <c r="G66" s="293"/>
      <c r="H66" s="293"/>
      <c r="I66" s="293"/>
      <c r="J66" s="293"/>
      <c r="K66" s="293"/>
      <c r="L66" s="293"/>
      <c r="M66" s="293"/>
      <c r="N66" s="293"/>
      <c r="O66" s="293"/>
      <c r="P66" s="293"/>
      <c r="Q66" s="293"/>
    </row>
    <row r="67" spans="2:17">
      <c r="B67" t="s">
        <v>911</v>
      </c>
      <c r="C67" t="s">
        <v>92</v>
      </c>
      <c r="D67" t="s">
        <v>912</v>
      </c>
      <c r="E67" s="38">
        <v>10</v>
      </c>
      <c r="F67" s="11">
        <v>640</v>
      </c>
      <c r="G67" s="293"/>
      <c r="H67" s="293"/>
      <c r="I67" s="293">
        <v>15</v>
      </c>
      <c r="J67" s="293"/>
      <c r="K67" s="293"/>
      <c r="L67" s="293"/>
      <c r="M67" s="293"/>
      <c r="N67" s="293"/>
      <c r="O67" s="293"/>
      <c r="P67" s="293"/>
      <c r="Q67" s="293"/>
    </row>
    <row r="68" spans="2:17">
      <c r="B68" t="s">
        <v>928</v>
      </c>
      <c r="C68" t="s">
        <v>103</v>
      </c>
      <c r="D68" t="s">
        <v>929</v>
      </c>
      <c r="E68" s="38">
        <v>1</v>
      </c>
      <c r="F68" s="11">
        <v>0</v>
      </c>
      <c r="G68" s="293"/>
      <c r="H68" s="293"/>
      <c r="I68" s="293">
        <v>0</v>
      </c>
      <c r="J68" s="293"/>
      <c r="K68" s="293"/>
      <c r="L68" s="293"/>
      <c r="M68" s="293"/>
      <c r="N68" s="293"/>
      <c r="O68" s="293"/>
      <c r="P68" s="293"/>
      <c r="Q68" s="293"/>
    </row>
    <row r="69" spans="2:17">
      <c r="B69" t="s">
        <v>833</v>
      </c>
      <c r="C69" t="s">
        <v>95</v>
      </c>
      <c r="D69" t="s">
        <v>836</v>
      </c>
      <c r="E69" s="38">
        <v>1</v>
      </c>
      <c r="F69" s="11">
        <v>48.2</v>
      </c>
      <c r="G69" s="293"/>
      <c r="H69" s="293"/>
      <c r="I69" s="293">
        <v>0</v>
      </c>
      <c r="J69" s="293"/>
      <c r="K69" s="293"/>
      <c r="L69" s="293"/>
      <c r="M69" s="293"/>
      <c r="N69" s="293"/>
      <c r="O69" s="293"/>
      <c r="P69" s="293"/>
      <c r="Q69" s="293"/>
    </row>
    <row r="70" spans="2:17">
      <c r="B70" t="s">
        <v>858</v>
      </c>
      <c r="C70" t="s">
        <v>103</v>
      </c>
      <c r="D70" t="s">
        <v>859</v>
      </c>
      <c r="E70" s="38">
        <v>1</v>
      </c>
      <c r="F70" s="11">
        <v>2750</v>
      </c>
      <c r="G70" s="293"/>
      <c r="H70" s="293"/>
      <c r="I70" s="293"/>
      <c r="J70" s="293"/>
      <c r="K70" s="293"/>
      <c r="L70" s="293"/>
      <c r="M70" s="293"/>
      <c r="N70" s="293"/>
      <c r="O70" s="293"/>
      <c r="P70" s="293"/>
      <c r="Q70" s="293"/>
    </row>
    <row r="71" spans="2:17">
      <c r="B71" t="s">
        <v>854</v>
      </c>
      <c r="C71" t="s">
        <v>109</v>
      </c>
      <c r="D71" t="s">
        <v>850</v>
      </c>
      <c r="E71" s="38">
        <v>1</v>
      </c>
      <c r="F71" s="11">
        <v>610</v>
      </c>
      <c r="G71" s="293"/>
      <c r="H71" s="293"/>
      <c r="I71" s="293"/>
      <c r="J71" s="293"/>
      <c r="K71" s="293"/>
      <c r="L71" s="293"/>
      <c r="M71" s="293"/>
      <c r="N71" s="293"/>
      <c r="O71" s="293"/>
      <c r="P71" s="293"/>
      <c r="Q71" s="293"/>
    </row>
    <row r="72" spans="2:17">
      <c r="B72" t="s">
        <v>938</v>
      </c>
      <c r="C72" t="s">
        <v>103</v>
      </c>
      <c r="D72" t="s">
        <v>939</v>
      </c>
      <c r="E72" s="38">
        <v>1</v>
      </c>
      <c r="F72" s="11">
        <v>8044</v>
      </c>
      <c r="G72" s="293"/>
      <c r="H72" s="293"/>
      <c r="I72" s="293"/>
      <c r="J72" s="293"/>
      <c r="K72" s="293"/>
      <c r="L72" s="293"/>
      <c r="M72" s="293"/>
      <c r="N72" s="293"/>
      <c r="O72" s="293"/>
      <c r="P72" s="293"/>
      <c r="Q72" s="293"/>
    </row>
    <row r="73" spans="2:17">
      <c r="B73" t="s">
        <v>954</v>
      </c>
      <c r="C73" t="s">
        <v>103</v>
      </c>
      <c r="D73" t="s">
        <v>955</v>
      </c>
      <c r="E73" s="38">
        <v>10</v>
      </c>
      <c r="F73" s="11">
        <v>1500</v>
      </c>
      <c r="G73" s="293"/>
      <c r="H73" s="293"/>
      <c r="I73" s="293"/>
      <c r="J73" s="293"/>
      <c r="K73" s="293"/>
      <c r="L73" s="293"/>
      <c r="M73" s="293"/>
      <c r="N73" s="293"/>
      <c r="O73" s="293"/>
      <c r="P73" s="293"/>
      <c r="Q73" s="293"/>
    </row>
    <row r="74" spans="2:17">
      <c r="B74" t="s">
        <v>843</v>
      </c>
      <c r="C74" t="s">
        <v>82</v>
      </c>
      <c r="D74" t="s">
        <v>845</v>
      </c>
      <c r="E74" s="38">
        <v>1</v>
      </c>
      <c r="F74" s="11">
        <v>1938</v>
      </c>
      <c r="G74" s="293"/>
      <c r="H74" s="293"/>
      <c r="I74" s="293"/>
      <c r="J74" s="293"/>
      <c r="K74" s="293"/>
      <c r="L74" s="293"/>
      <c r="M74" s="293"/>
      <c r="N74" s="293"/>
      <c r="O74" s="293"/>
      <c r="P74" s="293"/>
      <c r="Q74" s="293"/>
    </row>
    <row r="75" spans="2:17">
      <c r="B75" t="s">
        <v>840</v>
      </c>
      <c r="C75" t="s">
        <v>95</v>
      </c>
      <c r="D75" t="s">
        <v>841</v>
      </c>
      <c r="E75" s="38">
        <v>1</v>
      </c>
      <c r="F75" s="11">
        <v>9.8000000000000007</v>
      </c>
      <c r="G75" s="293"/>
      <c r="H75" s="293"/>
      <c r="I75" s="293">
        <v>0</v>
      </c>
      <c r="J75" s="293"/>
      <c r="K75" s="293"/>
      <c r="L75" s="293"/>
      <c r="M75" s="293"/>
      <c r="N75" s="293"/>
      <c r="O75" s="293"/>
      <c r="P75" s="293"/>
      <c r="Q75" s="293"/>
    </row>
    <row r="76" spans="2:17">
      <c r="B76" t="s">
        <v>866</v>
      </c>
      <c r="C76" t="s">
        <v>94</v>
      </c>
      <c r="D76" t="s">
        <v>867</v>
      </c>
      <c r="E76" s="38">
        <v>1</v>
      </c>
      <c r="F76" s="11">
        <v>960</v>
      </c>
      <c r="G76" s="293"/>
      <c r="H76" s="293"/>
      <c r="I76" s="293"/>
      <c r="J76" s="293"/>
      <c r="K76" s="293"/>
      <c r="L76" s="293"/>
      <c r="M76" s="293"/>
      <c r="N76" s="293"/>
      <c r="O76" s="293"/>
      <c r="P76" s="293"/>
      <c r="Q76" s="293"/>
    </row>
    <row r="77" spans="2:17">
      <c r="B77" t="s">
        <v>922</v>
      </c>
      <c r="C77" t="s">
        <v>98</v>
      </c>
      <c r="D77" t="s">
        <v>923</v>
      </c>
      <c r="E77" s="38">
        <v>1</v>
      </c>
      <c r="F77" s="11">
        <v>247</v>
      </c>
      <c r="G77" s="293"/>
      <c r="H77" s="293"/>
      <c r="I77" s="293"/>
      <c r="J77" s="293"/>
      <c r="K77" s="293"/>
      <c r="L77" s="293"/>
      <c r="M77" s="293"/>
      <c r="N77" s="293"/>
      <c r="O77" s="293"/>
      <c r="P77" s="293"/>
      <c r="Q77" s="293"/>
    </row>
    <row r="78" spans="2:17">
      <c r="B78" t="s">
        <v>855</v>
      </c>
      <c r="C78" t="s">
        <v>103</v>
      </c>
      <c r="D78" t="s">
        <v>856</v>
      </c>
      <c r="E78" s="38">
        <v>1</v>
      </c>
      <c r="F78" s="11">
        <v>6052</v>
      </c>
      <c r="G78" s="293"/>
      <c r="H78" s="293"/>
      <c r="I78" s="293">
        <v>0</v>
      </c>
      <c r="J78" s="293"/>
      <c r="K78" s="293"/>
      <c r="L78" s="293"/>
      <c r="M78" s="293"/>
      <c r="N78" s="293"/>
      <c r="O78" s="293"/>
      <c r="P78" s="293"/>
      <c r="Q78" s="293"/>
    </row>
    <row r="79" spans="2:17">
      <c r="B79" t="s">
        <v>849</v>
      </c>
      <c r="C79" t="s">
        <v>109</v>
      </c>
      <c r="D79" t="s">
        <v>850</v>
      </c>
      <c r="E79" s="38">
        <v>1</v>
      </c>
      <c r="F79" s="11">
        <v>1495</v>
      </c>
      <c r="G79" s="293"/>
      <c r="H79" s="293"/>
      <c r="I79" s="293">
        <v>0</v>
      </c>
      <c r="J79" s="293"/>
      <c r="K79" s="293"/>
      <c r="L79" s="293"/>
      <c r="M79" s="293"/>
      <c r="N79" s="293"/>
      <c r="O79" s="293"/>
      <c r="P79" s="293"/>
      <c r="Q79" s="293"/>
    </row>
    <row r="80" spans="2:17">
      <c r="B80" t="s">
        <v>831</v>
      </c>
      <c r="C80" t="s">
        <v>90</v>
      </c>
      <c r="D80" t="s">
        <v>832</v>
      </c>
      <c r="E80" s="38">
        <v>1</v>
      </c>
      <c r="F80" s="11">
        <v>2589</v>
      </c>
      <c r="G80" s="293"/>
      <c r="H80" s="293"/>
      <c r="I80" s="293"/>
      <c r="J80" s="293"/>
      <c r="K80" s="293"/>
      <c r="L80" s="293"/>
      <c r="M80" s="293"/>
      <c r="N80" s="293"/>
      <c r="O80" s="293"/>
      <c r="P80" s="293"/>
      <c r="Q80" s="293"/>
    </row>
    <row r="81" spans="1:17">
      <c r="B81" t="s">
        <v>826</v>
      </c>
      <c r="C81" t="s">
        <v>90</v>
      </c>
      <c r="D81" t="s">
        <v>827</v>
      </c>
      <c r="E81" s="38">
        <v>1</v>
      </c>
      <c r="F81" s="11">
        <v>12</v>
      </c>
      <c r="G81" s="293"/>
      <c r="H81" s="293"/>
      <c r="I81" s="293">
        <v>0</v>
      </c>
      <c r="J81" s="293"/>
      <c r="K81" s="293"/>
      <c r="L81" s="293"/>
      <c r="M81" s="293"/>
      <c r="N81" s="293"/>
      <c r="O81" s="293"/>
      <c r="P81" s="293"/>
      <c r="Q81" s="293"/>
    </row>
    <row r="82" spans="1:17">
      <c r="B82" t="s">
        <v>846</v>
      </c>
      <c r="C82" t="s">
        <v>95</v>
      </c>
      <c r="D82" t="s">
        <v>841</v>
      </c>
      <c r="E82" s="38">
        <v>1</v>
      </c>
      <c r="F82" s="11">
        <v>1</v>
      </c>
      <c r="G82" s="293"/>
      <c r="H82" s="293"/>
      <c r="I82" s="293">
        <v>0</v>
      </c>
      <c r="J82" s="293"/>
      <c r="K82" s="293"/>
      <c r="L82" s="293"/>
      <c r="M82" s="293"/>
      <c r="N82" s="293"/>
      <c r="O82" s="293"/>
      <c r="P82" s="293"/>
      <c r="Q82" s="293"/>
    </row>
    <row r="83" spans="1:17">
      <c r="B83" t="s">
        <v>869</v>
      </c>
      <c r="C83" t="s">
        <v>103</v>
      </c>
      <c r="D83" t="s">
        <v>870</v>
      </c>
      <c r="E83" s="38">
        <v>1</v>
      </c>
      <c r="F83" s="11">
        <v>999</v>
      </c>
      <c r="G83" s="293"/>
      <c r="H83" s="293"/>
      <c r="I83" s="293"/>
      <c r="J83" s="293"/>
      <c r="K83" s="293"/>
      <c r="L83" s="293"/>
      <c r="M83" s="293"/>
      <c r="N83" s="293"/>
      <c r="O83" s="293"/>
      <c r="P83" s="293"/>
      <c r="Q83" s="293"/>
    </row>
    <row r="84" spans="1:17">
      <c r="A84" t="s">
        <v>828</v>
      </c>
      <c r="D84"/>
      <c r="E84"/>
      <c r="F84" s="11">
        <v>32136</v>
      </c>
      <c r="G84" s="293"/>
      <c r="H84" s="293"/>
      <c r="I84" s="293">
        <v>15</v>
      </c>
      <c r="J84" s="293"/>
      <c r="K84" s="293"/>
      <c r="L84" s="293"/>
      <c r="M84" s="293"/>
      <c r="N84" s="293"/>
      <c r="O84" s="293"/>
      <c r="P84" s="293"/>
      <c r="Q84" s="293"/>
    </row>
    <row r="85" spans="1:17">
      <c r="A85" t="s">
        <v>634</v>
      </c>
      <c r="B85" t="s">
        <v>931</v>
      </c>
      <c r="C85" t="s">
        <v>109</v>
      </c>
      <c r="D85" t="s">
        <v>932</v>
      </c>
      <c r="E85" s="38">
        <v>1</v>
      </c>
      <c r="F85" s="11">
        <v>8096</v>
      </c>
      <c r="G85" s="293"/>
      <c r="H85" s="293"/>
      <c r="I85" s="293"/>
      <c r="J85" s="293"/>
      <c r="K85" s="293"/>
      <c r="L85" s="293"/>
      <c r="M85" s="293"/>
      <c r="N85" s="293"/>
      <c r="O85" s="293">
        <v>6</v>
      </c>
      <c r="P85" s="293"/>
      <c r="Q85" s="293">
        <v>40</v>
      </c>
    </row>
    <row r="86" spans="1:17">
      <c r="A86" t="s">
        <v>959</v>
      </c>
      <c r="D86"/>
      <c r="E86"/>
      <c r="F86" s="11">
        <v>8096</v>
      </c>
      <c r="G86" s="293"/>
      <c r="H86" s="293"/>
      <c r="I86" s="293"/>
      <c r="J86" s="293"/>
      <c r="K86" s="293"/>
      <c r="L86" s="293"/>
      <c r="M86" s="293"/>
      <c r="N86" s="293"/>
      <c r="O86" s="293">
        <v>6</v>
      </c>
      <c r="P86" s="293"/>
      <c r="Q86" s="293">
        <v>40</v>
      </c>
    </row>
    <row r="87" spans="1:17" ht="16">
      <c r="A87" t="s">
        <v>940</v>
      </c>
      <c r="B87" t="s">
        <v>937</v>
      </c>
      <c r="C87" t="s">
        <v>82</v>
      </c>
      <c r="D87" t="s">
        <v>879</v>
      </c>
      <c r="E87" s="38" t="s">
        <v>879</v>
      </c>
      <c r="F87" s="11"/>
      <c r="G87" s="293"/>
      <c r="H87" s="293"/>
      <c r="I87" s="293">
        <v>6</v>
      </c>
      <c r="J87" s="293">
        <v>28</v>
      </c>
      <c r="K87" s="293">
        <v>345</v>
      </c>
      <c r="L87" s="293"/>
      <c r="M87" s="293"/>
      <c r="N87" s="293"/>
      <c r="O87" s="293"/>
      <c r="P87" s="293"/>
      <c r="Q87" s="293"/>
    </row>
    <row r="88" spans="1:17" ht="16">
      <c r="C88" t="s">
        <v>88</v>
      </c>
      <c r="D88" t="s">
        <v>879</v>
      </c>
      <c r="E88" s="38" t="s">
        <v>879</v>
      </c>
      <c r="F88" s="11"/>
      <c r="G88" s="293"/>
      <c r="H88" s="293"/>
      <c r="I88" s="293">
        <v>151</v>
      </c>
      <c r="J88" s="293">
        <v>84</v>
      </c>
      <c r="K88" s="293">
        <v>172</v>
      </c>
      <c r="L88" s="293"/>
      <c r="M88" s="293"/>
      <c r="N88" s="293"/>
      <c r="O88" s="293"/>
      <c r="P88" s="293"/>
      <c r="Q88" s="293"/>
    </row>
    <row r="89" spans="1:17" ht="16">
      <c r="C89" t="s">
        <v>90</v>
      </c>
      <c r="D89" t="s">
        <v>879</v>
      </c>
      <c r="E89" s="38" t="s">
        <v>879</v>
      </c>
      <c r="F89" s="11"/>
      <c r="G89" s="293"/>
      <c r="H89" s="293"/>
      <c r="I89" s="293">
        <v>20</v>
      </c>
      <c r="J89" s="293">
        <v>192</v>
      </c>
      <c r="K89" s="293">
        <v>24</v>
      </c>
      <c r="L89" s="293"/>
      <c r="M89" s="293"/>
      <c r="N89" s="293"/>
      <c r="O89" s="293"/>
      <c r="P89" s="293"/>
      <c r="Q89" s="293"/>
    </row>
    <row r="90" spans="1:17" ht="16">
      <c r="C90" t="s">
        <v>92</v>
      </c>
      <c r="D90" t="s">
        <v>879</v>
      </c>
      <c r="E90" s="38" t="s">
        <v>879</v>
      </c>
      <c r="F90" s="11"/>
      <c r="G90" s="293"/>
      <c r="H90" s="293"/>
      <c r="I90" s="293">
        <v>107</v>
      </c>
      <c r="J90" s="293"/>
      <c r="K90" s="293"/>
      <c r="L90" s="293"/>
      <c r="M90" s="293"/>
      <c r="N90" s="293"/>
      <c r="O90" s="293"/>
      <c r="P90" s="293"/>
      <c r="Q90" s="293"/>
    </row>
    <row r="91" spans="1:17" ht="16">
      <c r="C91" t="s">
        <v>93</v>
      </c>
      <c r="D91" t="s">
        <v>879</v>
      </c>
      <c r="E91" s="38" t="s">
        <v>879</v>
      </c>
      <c r="F91" s="11"/>
      <c r="G91" s="293"/>
      <c r="H91" s="293"/>
      <c r="I91" s="293">
        <v>56</v>
      </c>
      <c r="J91" s="293">
        <v>119</v>
      </c>
      <c r="K91" s="293">
        <v>24</v>
      </c>
      <c r="L91" s="293"/>
      <c r="M91" s="293"/>
      <c r="N91" s="293"/>
      <c r="O91" s="293"/>
      <c r="P91" s="293"/>
      <c r="Q91" s="293"/>
    </row>
    <row r="92" spans="1:17" ht="16">
      <c r="C92" t="s">
        <v>94</v>
      </c>
      <c r="D92" t="s">
        <v>879</v>
      </c>
      <c r="E92" s="38" t="s">
        <v>879</v>
      </c>
      <c r="F92" s="11"/>
      <c r="G92" s="293"/>
      <c r="H92" s="293"/>
      <c r="I92" s="293">
        <v>1604</v>
      </c>
      <c r="J92" s="293">
        <v>126</v>
      </c>
      <c r="K92" s="293">
        <v>82</v>
      </c>
      <c r="L92" s="293"/>
      <c r="M92" s="293"/>
      <c r="N92" s="293"/>
      <c r="O92" s="293"/>
      <c r="P92" s="293"/>
      <c r="Q92" s="293"/>
    </row>
    <row r="93" spans="1:17" ht="16">
      <c r="C93" t="s">
        <v>109</v>
      </c>
      <c r="D93" t="s">
        <v>879</v>
      </c>
      <c r="E93" s="38" t="s">
        <v>879</v>
      </c>
      <c r="F93" s="11"/>
      <c r="G93" s="293"/>
      <c r="H93" s="293"/>
      <c r="I93" s="293">
        <v>56</v>
      </c>
      <c r="J93" s="293">
        <v>667</v>
      </c>
      <c r="K93" s="293">
        <v>102</v>
      </c>
      <c r="L93" s="293"/>
      <c r="M93" s="293"/>
      <c r="N93" s="293"/>
      <c r="O93" s="293"/>
      <c r="P93" s="293"/>
      <c r="Q93" s="293"/>
    </row>
    <row r="94" spans="1:17" ht="16">
      <c r="C94" t="s">
        <v>112</v>
      </c>
      <c r="D94" t="s">
        <v>879</v>
      </c>
      <c r="E94" s="38" t="s">
        <v>879</v>
      </c>
      <c r="F94" s="11"/>
      <c r="G94" s="293"/>
      <c r="H94" s="293"/>
      <c r="I94" s="293">
        <v>24</v>
      </c>
      <c r="J94" s="293">
        <v>306</v>
      </c>
      <c r="K94" s="293">
        <v>1132</v>
      </c>
      <c r="L94" s="293"/>
      <c r="M94" s="293"/>
      <c r="N94" s="293"/>
      <c r="O94" s="293"/>
      <c r="P94" s="293"/>
      <c r="Q94" s="293"/>
    </row>
    <row r="95" spans="1:17" ht="16">
      <c r="C95" t="s">
        <v>114</v>
      </c>
      <c r="D95" t="s">
        <v>879</v>
      </c>
      <c r="E95" s="38" t="s">
        <v>879</v>
      </c>
      <c r="F95" s="11"/>
      <c r="G95" s="293"/>
      <c r="H95" s="293"/>
      <c r="I95" s="293">
        <v>160</v>
      </c>
      <c r="J95" s="293">
        <v>42</v>
      </c>
      <c r="K95" s="293">
        <v>160</v>
      </c>
      <c r="L95" s="293"/>
      <c r="M95" s="293"/>
      <c r="N95" s="293"/>
      <c r="O95" s="293"/>
      <c r="P95" s="293"/>
      <c r="Q95" s="293"/>
    </row>
    <row r="96" spans="1:17" ht="16">
      <c r="C96" t="s">
        <v>97</v>
      </c>
      <c r="D96" t="s">
        <v>879</v>
      </c>
      <c r="E96" s="38" t="s">
        <v>879</v>
      </c>
      <c r="F96" s="11"/>
      <c r="G96" s="293"/>
      <c r="H96" s="293"/>
      <c r="I96" s="293"/>
      <c r="J96" s="293"/>
      <c r="K96" s="293"/>
      <c r="L96" s="293"/>
      <c r="M96" s="293"/>
      <c r="N96" s="293"/>
      <c r="O96" s="293"/>
      <c r="P96" s="293"/>
      <c r="Q96" s="293"/>
    </row>
    <row r="97" spans="1:17" ht="16">
      <c r="C97" t="s">
        <v>96</v>
      </c>
      <c r="D97" t="s">
        <v>879</v>
      </c>
      <c r="E97" s="38" t="s">
        <v>879</v>
      </c>
      <c r="F97" s="11"/>
      <c r="G97" s="293"/>
      <c r="H97" s="293"/>
      <c r="I97" s="293">
        <v>3</v>
      </c>
      <c r="J97" s="293">
        <v>15</v>
      </c>
      <c r="K97" s="293">
        <v>21</v>
      </c>
      <c r="L97" s="293"/>
      <c r="M97" s="293"/>
      <c r="N97" s="293"/>
      <c r="O97" s="293"/>
      <c r="P97" s="293"/>
      <c r="Q97" s="293"/>
    </row>
    <row r="98" spans="1:17" ht="16">
      <c r="C98" t="s">
        <v>110</v>
      </c>
      <c r="D98" t="s">
        <v>879</v>
      </c>
      <c r="E98" s="38" t="s">
        <v>879</v>
      </c>
      <c r="F98" s="11"/>
      <c r="G98" s="293"/>
      <c r="H98" s="293"/>
      <c r="I98" s="293">
        <v>1</v>
      </c>
      <c r="J98" s="293">
        <v>64</v>
      </c>
      <c r="K98" s="293"/>
      <c r="L98" s="293"/>
      <c r="M98" s="293"/>
      <c r="N98" s="293"/>
      <c r="O98" s="293"/>
      <c r="P98" s="293"/>
      <c r="Q98" s="293"/>
    </row>
    <row r="99" spans="1:17">
      <c r="A99" t="s">
        <v>941</v>
      </c>
      <c r="D99"/>
      <c r="E99"/>
      <c r="F99" s="11"/>
      <c r="G99" s="293"/>
      <c r="H99" s="293"/>
      <c r="I99" s="293">
        <v>2188</v>
      </c>
      <c r="J99" s="293">
        <v>1643</v>
      </c>
      <c r="K99" s="293">
        <v>2062</v>
      </c>
      <c r="L99" s="293"/>
      <c r="M99" s="293"/>
      <c r="N99" s="293"/>
      <c r="O99" s="293"/>
      <c r="P99" s="293"/>
      <c r="Q99" s="293"/>
    </row>
    <row r="100" spans="1:17">
      <c r="A100" t="s">
        <v>177</v>
      </c>
      <c r="D100"/>
      <c r="E100"/>
      <c r="F100" s="11">
        <v>1368590</v>
      </c>
      <c r="G100" s="293"/>
      <c r="H100" s="293"/>
      <c r="I100" s="293">
        <v>7816</v>
      </c>
      <c r="J100" s="293">
        <v>4000</v>
      </c>
      <c r="K100" s="293">
        <v>2831</v>
      </c>
      <c r="L100" s="293">
        <v>13927</v>
      </c>
      <c r="M100" s="293">
        <v>44</v>
      </c>
      <c r="N100" s="293"/>
      <c r="O100" s="293">
        <v>26</v>
      </c>
      <c r="P100" s="293"/>
      <c r="Q100" s="293">
        <v>72</v>
      </c>
    </row>
    <row r="101" spans="1:17">
      <c r="D101"/>
      <c r="E101"/>
      <c r="F101"/>
      <c r="G101"/>
      <c r="H101"/>
      <c r="I101"/>
      <c r="J101"/>
      <c r="K101"/>
      <c r="L101"/>
    </row>
    <row r="102" spans="1:17">
      <c r="D102"/>
      <c r="E102"/>
      <c r="F102"/>
      <c r="G102"/>
      <c r="H102"/>
      <c r="I102"/>
      <c r="J102"/>
      <c r="K102"/>
      <c r="L102"/>
    </row>
    <row r="103" spans="1:17">
      <c r="D103"/>
      <c r="E103"/>
      <c r="F103"/>
      <c r="G103"/>
      <c r="H103"/>
      <c r="I103"/>
      <c r="J103"/>
      <c r="K103"/>
      <c r="L103"/>
    </row>
    <row r="104" spans="1:17">
      <c r="D104"/>
      <c r="E104"/>
      <c r="F104"/>
      <c r="G104"/>
      <c r="H104"/>
      <c r="I104"/>
      <c r="J104"/>
      <c r="K104"/>
      <c r="L104"/>
    </row>
    <row r="105" spans="1:17">
      <c r="D105"/>
      <c r="E105"/>
      <c r="F105"/>
      <c r="G105"/>
      <c r="H105"/>
      <c r="I105"/>
      <c r="J105"/>
      <c r="K105"/>
      <c r="L105"/>
    </row>
    <row r="106" spans="1:17">
      <c r="D106"/>
      <c r="E106"/>
      <c r="F106"/>
      <c r="G106"/>
      <c r="H106"/>
      <c r="I106"/>
      <c r="J106"/>
      <c r="K106"/>
      <c r="L106"/>
    </row>
    <row r="107" spans="1:17">
      <c r="D107"/>
      <c r="E107"/>
      <c r="F107"/>
      <c r="G107"/>
      <c r="H107"/>
      <c r="I107"/>
      <c r="J107"/>
      <c r="K107"/>
      <c r="L107"/>
    </row>
    <row r="108" spans="1:17">
      <c r="D108"/>
      <c r="E108"/>
      <c r="F108"/>
      <c r="G108"/>
      <c r="H108"/>
      <c r="I108"/>
      <c r="J108"/>
      <c r="K108"/>
      <c r="L108"/>
    </row>
    <row r="109" spans="1:17">
      <c r="D109"/>
      <c r="E109"/>
      <c r="F109"/>
      <c r="G109"/>
      <c r="H109"/>
      <c r="I109"/>
      <c r="J109"/>
      <c r="K109"/>
      <c r="L109"/>
    </row>
    <row r="110" spans="1:17">
      <c r="D110"/>
      <c r="E110"/>
      <c r="F110"/>
      <c r="G110"/>
      <c r="H110"/>
      <c r="I110"/>
      <c r="J110"/>
      <c r="K110"/>
      <c r="L110"/>
    </row>
    <row r="111" spans="1:17">
      <c r="D111"/>
      <c r="E111"/>
      <c r="F111"/>
      <c r="G111"/>
      <c r="H111"/>
      <c r="I111"/>
      <c r="J111"/>
      <c r="K111"/>
      <c r="L111"/>
    </row>
    <row r="112" spans="1:17">
      <c r="D112"/>
      <c r="E112"/>
      <c r="F112"/>
      <c r="G112"/>
      <c r="H112"/>
      <c r="I112"/>
      <c r="J112"/>
      <c r="K112"/>
      <c r="L112"/>
    </row>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row r="257" customFormat="1"/>
    <row r="258" customFormat="1"/>
    <row r="259" customFormat="1"/>
    <row r="260" customFormat="1"/>
    <row r="261" customFormat="1"/>
    <row r="262" customFormat="1"/>
    <row r="263" customFormat="1"/>
    <row r="264" customFormat="1"/>
    <row r="265" customFormat="1"/>
    <row r="266" customFormat="1"/>
    <row r="267" customFormat="1"/>
    <row r="268" customFormat="1"/>
    <row r="269" customFormat="1"/>
    <row r="270" customFormat="1"/>
    <row r="271" customFormat="1"/>
    <row r="272" customFormat="1"/>
    <row r="273" customFormat="1"/>
    <row r="274" customFormat="1"/>
    <row r="275" customFormat="1"/>
    <row r="276" customFormat="1"/>
    <row r="277" customFormat="1"/>
    <row r="278" customFormat="1"/>
    <row r="279" customFormat="1"/>
    <row r="280" customFormat="1"/>
    <row r="281" customFormat="1"/>
    <row r="282" customFormat="1"/>
    <row r="283" customFormat="1"/>
    <row r="284" customFormat="1"/>
    <row r="285" customFormat="1"/>
    <row r="286" customFormat="1"/>
    <row r="287" customFormat="1"/>
    <row r="288" customFormat="1"/>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sheetData>
  <sheetProtection pivotTables="0"/>
  <protectedRanges>
    <protectedRange sqref="Q4:T18" name="Slicer"/>
  </protectedRanges>
  <mergeCells count="8">
    <mergeCell ref="O20:Q20"/>
    <mergeCell ref="L20:M20"/>
    <mergeCell ref="I20:K20"/>
    <mergeCell ref="B2:C2"/>
    <mergeCell ref="H12:J12"/>
    <mergeCell ref="N12:P12"/>
    <mergeCell ref="A4:C6"/>
    <mergeCell ref="A9:C9"/>
  </mergeCells>
  <hyperlinks>
    <hyperlink ref="D2" r:id="rId5" display="State of Oreogn Fires and Hotspots Dashboard" xr:uid="{8242CA54-41FE-4809-83F5-699651E2B2A6}"/>
    <hyperlink ref="A20" r:id="rId6" location="OR-981S-210215" xr:uid="{6A0814EB-4A7C-443D-89AB-D7A6819D5392}"/>
    <hyperlink ref="D9" r:id="rId7" display="ODF Wildland Fire Situation Report as of" xr:uid="{BF96AB65-2EA5-4E2F-88E3-924F5EDA932A}"/>
    <hyperlink ref="H9" r:id="rId8" display="OEM Evacuation Information" xr:uid="{B5BDA130-D524-4B82-AB27-0E17B8E756B1}"/>
  </hyperlinks>
  <printOptions horizontalCentered="1"/>
  <pageMargins left="0.25" right="0.25" top="0.75" bottom="0.75" header="0.3" footer="0.3"/>
  <pageSetup scale="74" fitToHeight="0" orientation="landscape" r:id="rId9"/>
  <headerFooter>
    <oddFooter>&amp;R&amp;P of &amp;N</oddFooter>
  </headerFooter>
  <drawing r:id="rId10"/>
  <extLst>
    <ext xmlns:x14="http://schemas.microsoft.com/office/spreadsheetml/2009/9/main" uri="{CCE6A557-97BC-4b89-ADB6-D9C93CAAB3DF}">
      <x14:dataValidations xmlns:xm="http://schemas.microsoft.com/office/excel/2006/main" count="1">
        <x14:dataValidation type="list" allowBlank="1" showInputMessage="1" showErrorMessage="1" xr:uid="{5EAC5EF2-8918-4351-B910-7458F451F9A5}">
          <x14:formula1>
            <xm:f>'ODEM data'!$C$2:$C$1000</xm:f>
          </x14:formula1>
          <xm:sqref>E3</xm:sqref>
        </x14:dataValidation>
      </x14:dataValidations>
    </ext>
    <ext xmlns:x14="http://schemas.microsoft.com/office/spreadsheetml/2009/9/main" uri="{A8765BA9-456A-4dab-B4F3-ACF838C121DE}">
      <x14:slicerList>
        <x14:slicer r:id="rId11"/>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D66CA-EDCD-41E3-815F-D439091FE5C5}">
  <sheetPr codeName="Sheet5" filterMode="1"/>
  <dimension ref="A1:O58"/>
  <sheetViews>
    <sheetView zoomScale="110" zoomScaleNormal="110" workbookViewId="0">
      <pane xSplit="3" ySplit="2" topLeftCell="J35" activePane="bottomRight" state="frozen"/>
      <selection pane="topRight" activeCell="C1" sqref="C1"/>
      <selection pane="bottomLeft" activeCell="A4" sqref="A4"/>
      <selection pane="bottomRight" sqref="A1:M37"/>
    </sheetView>
  </sheetViews>
  <sheetFormatPr baseColWidth="10" defaultColWidth="8.83203125" defaultRowHeight="15"/>
  <cols>
    <col min="1" max="1" width="8.83203125" style="12"/>
    <col min="2" max="2" width="10.6640625" customWidth="1"/>
    <col min="3" max="3" width="17.83203125" bestFit="1" customWidth="1"/>
    <col min="4" max="4" width="14.83203125" bestFit="1" customWidth="1"/>
    <col min="5" max="5" width="20.1640625" customWidth="1"/>
    <col min="6" max="6" width="25.6640625" bestFit="1" customWidth="1"/>
    <col min="7" max="13" width="5.5" style="12" customWidth="1"/>
    <col min="14" max="14" width="68.5" customWidth="1"/>
    <col min="15" max="15" width="35.6640625" style="96" customWidth="1"/>
  </cols>
  <sheetData>
    <row r="1" spans="1:15" ht="19">
      <c r="A1" s="97" t="s">
        <v>564</v>
      </c>
      <c r="G1" s="98"/>
      <c r="H1" s="98"/>
      <c r="I1" s="98"/>
      <c r="J1" s="98"/>
      <c r="K1" s="98"/>
      <c r="L1" s="98"/>
      <c r="M1" s="98"/>
    </row>
    <row r="2" spans="1:15" ht="136.25" customHeight="1">
      <c r="A2" s="123" t="s">
        <v>317</v>
      </c>
      <c r="B2" s="99" t="s">
        <v>506</v>
      </c>
      <c r="C2" s="99" t="s">
        <v>507</v>
      </c>
      <c r="D2" s="99" t="s">
        <v>5</v>
      </c>
      <c r="E2" s="99" t="s">
        <v>508</v>
      </c>
      <c r="F2" s="99" t="s">
        <v>509</v>
      </c>
      <c r="G2" s="100" t="s">
        <v>657</v>
      </c>
      <c r="H2" s="100" t="s">
        <v>655</v>
      </c>
      <c r="I2" s="100" t="s">
        <v>656</v>
      </c>
      <c r="J2" s="100" t="s">
        <v>510</v>
      </c>
      <c r="K2" s="100" t="s">
        <v>511</v>
      </c>
      <c r="L2" s="100" t="s">
        <v>512</v>
      </c>
      <c r="M2" s="100" t="s">
        <v>513</v>
      </c>
      <c r="N2" s="99" t="s">
        <v>514</v>
      </c>
      <c r="O2" s="101" t="s">
        <v>515</v>
      </c>
    </row>
    <row r="3" spans="1:15" hidden="1">
      <c r="A3" s="109">
        <v>2024</v>
      </c>
      <c r="B3" s="102">
        <v>45486</v>
      </c>
      <c r="C3" s="43" t="s">
        <v>163</v>
      </c>
      <c r="D3" s="43" t="s">
        <v>516</v>
      </c>
      <c r="E3" s="43" t="s">
        <v>517</v>
      </c>
      <c r="F3" s="43" t="s">
        <v>518</v>
      </c>
      <c r="G3" s="46"/>
      <c r="H3" s="46"/>
      <c r="I3" s="46" t="s">
        <v>519</v>
      </c>
      <c r="J3" s="46" t="s">
        <v>519</v>
      </c>
      <c r="K3" s="46" t="s">
        <v>519</v>
      </c>
      <c r="L3" s="46"/>
      <c r="M3" s="46"/>
      <c r="N3" s="43"/>
      <c r="O3" s="103"/>
    </row>
    <row r="4" spans="1:15" hidden="1">
      <c r="A4" s="109">
        <v>2024</v>
      </c>
      <c r="B4" s="102">
        <v>45490</v>
      </c>
      <c r="C4" s="43" t="s">
        <v>149</v>
      </c>
      <c r="D4" s="43" t="s">
        <v>53</v>
      </c>
      <c r="E4" s="43" t="s">
        <v>517</v>
      </c>
      <c r="F4" s="43" t="s">
        <v>518</v>
      </c>
      <c r="G4" s="46"/>
      <c r="H4" s="46"/>
      <c r="I4" s="46" t="s">
        <v>519</v>
      </c>
      <c r="J4" s="46"/>
      <c r="K4" s="46" t="s">
        <v>519</v>
      </c>
      <c r="L4" s="46"/>
      <c r="M4" s="46"/>
      <c r="N4" s="43"/>
      <c r="O4" s="103"/>
    </row>
    <row r="5" spans="1:15" hidden="1">
      <c r="A5" s="109">
        <v>2024</v>
      </c>
      <c r="B5" s="102">
        <v>45493</v>
      </c>
      <c r="C5" s="43" t="s">
        <v>151</v>
      </c>
      <c r="D5" s="43" t="s">
        <v>524</v>
      </c>
      <c r="E5" s="43" t="s">
        <v>517</v>
      </c>
      <c r="F5" s="43" t="s">
        <v>518</v>
      </c>
      <c r="G5" s="46"/>
      <c r="H5" s="46"/>
      <c r="I5" s="46"/>
      <c r="J5" s="46" t="s">
        <v>519</v>
      </c>
      <c r="K5" s="46" t="s">
        <v>519</v>
      </c>
      <c r="L5" s="46" t="s">
        <v>519</v>
      </c>
      <c r="M5" s="46"/>
      <c r="N5" s="43"/>
      <c r="O5" s="103"/>
    </row>
    <row r="6" spans="1:15" hidden="1">
      <c r="A6" s="109">
        <v>2024</v>
      </c>
      <c r="B6" s="102">
        <v>45495</v>
      </c>
      <c r="C6" s="43" t="s">
        <v>126</v>
      </c>
      <c r="D6" s="43" t="s">
        <v>520</v>
      </c>
      <c r="E6" s="43" t="s">
        <v>517</v>
      </c>
      <c r="F6" s="43" t="s">
        <v>518</v>
      </c>
      <c r="G6" s="46"/>
      <c r="H6" s="46"/>
      <c r="I6" s="46"/>
      <c r="J6" s="46"/>
      <c r="K6" s="46"/>
      <c r="L6" s="46"/>
      <c r="M6" s="46"/>
      <c r="N6" s="43"/>
      <c r="O6" s="103"/>
    </row>
    <row r="7" spans="1:15" hidden="1">
      <c r="A7" s="109">
        <v>2024</v>
      </c>
      <c r="B7" s="102">
        <v>45496</v>
      </c>
      <c r="C7" s="43" t="s">
        <v>266</v>
      </c>
      <c r="D7" s="43" t="s">
        <v>521</v>
      </c>
      <c r="E7" s="43" t="s">
        <v>517</v>
      </c>
      <c r="F7" s="43" t="s">
        <v>518</v>
      </c>
      <c r="G7" s="46"/>
      <c r="H7" s="46"/>
      <c r="I7" s="46"/>
      <c r="J7" s="46"/>
      <c r="K7" s="46"/>
      <c r="L7" s="46"/>
      <c r="M7" s="46"/>
      <c r="N7" s="43"/>
      <c r="O7" s="103"/>
    </row>
    <row r="8" spans="1:15" hidden="1">
      <c r="A8" s="109">
        <v>2024</v>
      </c>
      <c r="B8" s="102">
        <v>45497</v>
      </c>
      <c r="C8" s="43" t="s">
        <v>155</v>
      </c>
      <c r="D8" s="43" t="s">
        <v>33</v>
      </c>
      <c r="E8" s="43" t="s">
        <v>517</v>
      </c>
      <c r="F8" s="43" t="s">
        <v>522</v>
      </c>
      <c r="G8" s="46" t="s">
        <v>519</v>
      </c>
      <c r="H8" s="46"/>
      <c r="I8" s="46" t="s">
        <v>519</v>
      </c>
      <c r="J8" s="46" t="s">
        <v>519</v>
      </c>
      <c r="K8" s="46" t="s">
        <v>519</v>
      </c>
      <c r="L8" s="46"/>
      <c r="M8" s="46"/>
      <c r="N8" s="43" t="s">
        <v>523</v>
      </c>
      <c r="O8" s="103"/>
    </row>
    <row r="9" spans="1:15" hidden="1">
      <c r="A9" s="109">
        <v>2024</v>
      </c>
      <c r="B9" s="102">
        <v>45498</v>
      </c>
      <c r="C9" s="43" t="s">
        <v>151</v>
      </c>
      <c r="D9" s="43" t="s">
        <v>524</v>
      </c>
      <c r="E9" s="43" t="s">
        <v>525</v>
      </c>
      <c r="F9" s="43" t="s">
        <v>522</v>
      </c>
      <c r="G9" s="46" t="s">
        <v>519</v>
      </c>
      <c r="H9" s="46"/>
      <c r="I9" s="46" t="s">
        <v>519</v>
      </c>
      <c r="J9" s="46" t="s">
        <v>519</v>
      </c>
      <c r="K9" s="46" t="s">
        <v>519</v>
      </c>
      <c r="L9" s="46" t="s">
        <v>519</v>
      </c>
      <c r="M9" s="46"/>
      <c r="N9" s="43" t="s">
        <v>526</v>
      </c>
      <c r="O9" s="103"/>
    </row>
    <row r="10" spans="1:15" hidden="1">
      <c r="A10" s="109">
        <v>2024</v>
      </c>
      <c r="B10" s="104">
        <v>45502</v>
      </c>
      <c r="C10" s="48"/>
      <c r="D10" s="48"/>
      <c r="E10" s="48"/>
      <c r="F10" s="48"/>
      <c r="G10" s="105"/>
      <c r="H10" s="105"/>
      <c r="I10" s="105"/>
      <c r="J10" s="105"/>
      <c r="K10" s="105"/>
      <c r="L10" s="105"/>
      <c r="M10" s="105"/>
      <c r="N10" s="48" t="s">
        <v>527</v>
      </c>
      <c r="O10" s="103"/>
    </row>
    <row r="11" spans="1:15" hidden="1">
      <c r="A11" s="109">
        <v>2024</v>
      </c>
      <c r="B11" s="102">
        <v>45504</v>
      </c>
      <c r="C11" s="43" t="s">
        <v>528</v>
      </c>
      <c r="D11" s="43"/>
      <c r="E11" s="43" t="s">
        <v>517</v>
      </c>
      <c r="F11" s="43" t="s">
        <v>529</v>
      </c>
      <c r="G11" s="46"/>
      <c r="H11" s="46"/>
      <c r="I11" s="46"/>
      <c r="J11" s="46"/>
      <c r="K11" s="46"/>
      <c r="L11" s="46"/>
      <c r="M11" s="46"/>
      <c r="N11" s="43" t="s">
        <v>530</v>
      </c>
      <c r="O11" s="103"/>
    </row>
    <row r="12" spans="1:15" hidden="1">
      <c r="A12" s="109">
        <v>2024</v>
      </c>
      <c r="B12" s="102">
        <v>45506</v>
      </c>
      <c r="C12" s="43" t="s">
        <v>531</v>
      </c>
      <c r="D12" s="43"/>
      <c r="E12" s="43" t="s">
        <v>517</v>
      </c>
      <c r="F12" s="43" t="s">
        <v>529</v>
      </c>
      <c r="G12" s="46"/>
      <c r="H12" s="46"/>
      <c r="I12" s="46"/>
      <c r="J12" s="46"/>
      <c r="K12" s="46"/>
      <c r="L12" s="46"/>
      <c r="M12" s="46"/>
      <c r="N12" s="43" t="s">
        <v>532</v>
      </c>
      <c r="O12" s="103"/>
    </row>
    <row r="13" spans="1:15" hidden="1">
      <c r="A13" s="109">
        <v>2024</v>
      </c>
      <c r="B13" s="102">
        <v>45507</v>
      </c>
      <c r="C13" s="43" t="s">
        <v>127</v>
      </c>
      <c r="D13" s="43"/>
      <c r="E13" s="43" t="s">
        <v>517</v>
      </c>
      <c r="F13" s="43" t="s">
        <v>529</v>
      </c>
      <c r="G13" s="46"/>
      <c r="H13" s="46"/>
      <c r="I13" s="46" t="s">
        <v>519</v>
      </c>
      <c r="J13" s="46"/>
      <c r="K13" s="46"/>
      <c r="L13" s="46"/>
      <c r="M13" s="46"/>
      <c r="N13" s="43" t="s">
        <v>533</v>
      </c>
      <c r="O13" s="103"/>
    </row>
    <row r="14" spans="1:15" hidden="1">
      <c r="A14" s="109">
        <v>2024</v>
      </c>
      <c r="B14" s="102">
        <v>45509</v>
      </c>
      <c r="C14" s="43" t="s">
        <v>153</v>
      </c>
      <c r="D14" s="43"/>
      <c r="E14" s="43" t="s">
        <v>517</v>
      </c>
      <c r="F14" s="43" t="s">
        <v>529</v>
      </c>
      <c r="G14" s="46"/>
      <c r="H14" s="46"/>
      <c r="I14" s="46" t="s">
        <v>519</v>
      </c>
      <c r="J14" s="46"/>
      <c r="K14" s="46"/>
      <c r="L14" s="46"/>
      <c r="M14" s="46"/>
      <c r="N14" s="43" t="s">
        <v>533</v>
      </c>
      <c r="O14" s="103"/>
    </row>
    <row r="15" spans="1:15" hidden="1">
      <c r="A15" s="109">
        <v>2024</v>
      </c>
      <c r="B15" s="102">
        <v>45510</v>
      </c>
      <c r="C15" s="43" t="s">
        <v>155</v>
      </c>
      <c r="D15" s="43" t="s">
        <v>33</v>
      </c>
      <c r="E15" s="43" t="s">
        <v>517</v>
      </c>
      <c r="F15" s="43" t="s">
        <v>518</v>
      </c>
      <c r="G15" s="46" t="s">
        <v>519</v>
      </c>
      <c r="H15" s="46"/>
      <c r="I15" s="46" t="s">
        <v>519</v>
      </c>
      <c r="J15" s="46" t="s">
        <v>519</v>
      </c>
      <c r="K15" s="46" t="s">
        <v>519</v>
      </c>
      <c r="L15" s="46" t="s">
        <v>519</v>
      </c>
      <c r="M15" s="46"/>
      <c r="N15" s="43" t="s">
        <v>534</v>
      </c>
      <c r="O15" s="103"/>
    </row>
    <row r="16" spans="1:15" hidden="1">
      <c r="A16" s="109">
        <v>2024</v>
      </c>
      <c r="B16" s="102">
        <v>45511</v>
      </c>
      <c r="C16" s="43" t="s">
        <v>160</v>
      </c>
      <c r="D16" s="43" t="s">
        <v>535</v>
      </c>
      <c r="E16" s="43" t="s">
        <v>536</v>
      </c>
      <c r="F16" s="43" t="s">
        <v>537</v>
      </c>
      <c r="G16" s="46"/>
      <c r="H16" s="46"/>
      <c r="I16" s="46" t="s">
        <v>519</v>
      </c>
      <c r="J16" s="46" t="s">
        <v>519</v>
      </c>
      <c r="K16" s="46" t="s">
        <v>519</v>
      </c>
      <c r="L16" s="46"/>
      <c r="M16" s="46"/>
      <c r="N16" s="43" t="s">
        <v>538</v>
      </c>
      <c r="O16" s="103"/>
    </row>
    <row r="17" spans="1:15" hidden="1">
      <c r="A17" s="109">
        <v>2024</v>
      </c>
      <c r="B17" s="102">
        <v>45512</v>
      </c>
      <c r="C17" s="43" t="s">
        <v>150</v>
      </c>
      <c r="D17" s="43"/>
      <c r="E17" s="43" t="s">
        <v>517</v>
      </c>
      <c r="F17" s="43" t="s">
        <v>529</v>
      </c>
      <c r="G17" s="46" t="s">
        <v>519</v>
      </c>
      <c r="H17" s="46"/>
      <c r="I17" s="46" t="s">
        <v>519</v>
      </c>
      <c r="J17" s="46" t="s">
        <v>519</v>
      </c>
      <c r="K17" s="46" t="s">
        <v>519</v>
      </c>
      <c r="L17" s="46" t="s">
        <v>519</v>
      </c>
      <c r="M17" s="46"/>
      <c r="N17" s="106" t="s">
        <v>539</v>
      </c>
      <c r="O17" s="103"/>
    </row>
    <row r="18" spans="1:15" s="111" customFormat="1" hidden="1">
      <c r="A18" s="109">
        <v>2024</v>
      </c>
      <c r="B18" s="107">
        <v>45512</v>
      </c>
      <c r="C18" s="108" t="s">
        <v>129</v>
      </c>
      <c r="D18" s="108"/>
      <c r="E18" s="108" t="s">
        <v>517</v>
      </c>
      <c r="F18" s="108" t="s">
        <v>529</v>
      </c>
      <c r="G18" s="109"/>
      <c r="H18" s="109"/>
      <c r="I18" s="109" t="s">
        <v>519</v>
      </c>
      <c r="J18" s="109"/>
      <c r="K18" s="109"/>
      <c r="L18" s="109"/>
      <c r="M18" s="109"/>
      <c r="N18" s="108" t="s">
        <v>588</v>
      </c>
      <c r="O18" s="110"/>
    </row>
    <row r="19" spans="1:15" s="111" customFormat="1" hidden="1">
      <c r="A19" s="109">
        <v>2024</v>
      </c>
      <c r="B19" s="107">
        <v>45513</v>
      </c>
      <c r="C19" s="108" t="s">
        <v>272</v>
      </c>
      <c r="D19" s="108"/>
      <c r="E19" s="108" t="s">
        <v>517</v>
      </c>
      <c r="F19" s="108" t="s">
        <v>529</v>
      </c>
      <c r="G19" s="109"/>
      <c r="H19" s="109"/>
      <c r="I19" s="109"/>
      <c r="J19" s="109"/>
      <c r="K19" s="109" t="s">
        <v>519</v>
      </c>
      <c r="L19" s="109"/>
      <c r="M19" s="109"/>
      <c r="N19" s="108" t="s">
        <v>540</v>
      </c>
      <c r="O19" s="110"/>
    </row>
    <row r="20" spans="1:15" s="111" customFormat="1" hidden="1">
      <c r="A20" s="109">
        <v>2024</v>
      </c>
      <c r="B20" s="107">
        <v>45515</v>
      </c>
      <c r="C20" s="108" t="s">
        <v>150</v>
      </c>
      <c r="D20" s="108"/>
      <c r="E20" s="108" t="s">
        <v>517</v>
      </c>
      <c r="F20" s="108" t="s">
        <v>529</v>
      </c>
      <c r="G20" s="109" t="s">
        <v>519</v>
      </c>
      <c r="H20" s="109"/>
      <c r="I20" s="109" t="s">
        <v>519</v>
      </c>
      <c r="J20" s="109"/>
      <c r="K20" s="109" t="s">
        <v>519</v>
      </c>
      <c r="L20" s="109"/>
      <c r="M20" s="109"/>
      <c r="N20" s="108" t="s">
        <v>541</v>
      </c>
      <c r="O20" s="110"/>
    </row>
    <row r="21" spans="1:15" s="111" customFormat="1" hidden="1">
      <c r="A21" s="109">
        <v>2024</v>
      </c>
      <c r="B21" s="107">
        <v>45517</v>
      </c>
      <c r="C21" s="108" t="s">
        <v>155</v>
      </c>
      <c r="D21" s="108" t="s">
        <v>33</v>
      </c>
      <c r="E21" s="108" t="s">
        <v>542</v>
      </c>
      <c r="F21" s="108" t="s">
        <v>518</v>
      </c>
      <c r="G21" s="109" t="s">
        <v>519</v>
      </c>
      <c r="H21" s="109"/>
      <c r="I21" s="109" t="s">
        <v>519</v>
      </c>
      <c r="J21" s="109" t="s">
        <v>519</v>
      </c>
      <c r="K21" s="109" t="s">
        <v>519</v>
      </c>
      <c r="L21" s="109" t="s">
        <v>519</v>
      </c>
      <c r="M21" s="109" t="s">
        <v>519</v>
      </c>
      <c r="N21" s="108" t="s">
        <v>543</v>
      </c>
      <c r="O21" s="110"/>
    </row>
    <row r="22" spans="1:15" s="111" customFormat="1" ht="48" hidden="1">
      <c r="A22" s="109">
        <v>2024</v>
      </c>
      <c r="B22" s="107">
        <v>45520</v>
      </c>
      <c r="C22" s="108" t="s">
        <v>129</v>
      </c>
      <c r="D22" s="108"/>
      <c r="E22" s="108" t="s">
        <v>517</v>
      </c>
      <c r="F22" s="108" t="s">
        <v>529</v>
      </c>
      <c r="G22" s="109"/>
      <c r="H22" s="109"/>
      <c r="I22" s="109"/>
      <c r="J22" s="109"/>
      <c r="K22" s="109" t="s">
        <v>519</v>
      </c>
      <c r="L22" s="109"/>
      <c r="M22" s="109"/>
      <c r="N22" s="108" t="s">
        <v>544</v>
      </c>
      <c r="O22" s="110" t="s">
        <v>545</v>
      </c>
    </row>
    <row r="23" spans="1:15" s="111" customFormat="1" ht="32" hidden="1">
      <c r="A23" s="109">
        <v>2024</v>
      </c>
      <c r="B23" s="107">
        <v>45526</v>
      </c>
      <c r="C23" s="108" t="s">
        <v>153</v>
      </c>
      <c r="D23" s="108" t="s">
        <v>546</v>
      </c>
      <c r="E23" s="108" t="s">
        <v>542</v>
      </c>
      <c r="F23" s="108" t="s">
        <v>518</v>
      </c>
      <c r="G23" s="109" t="s">
        <v>519</v>
      </c>
      <c r="H23" s="109"/>
      <c r="I23" s="109"/>
      <c r="J23" s="109" t="s">
        <v>519</v>
      </c>
      <c r="K23" s="109"/>
      <c r="L23" s="109"/>
      <c r="M23" s="109" t="s">
        <v>519</v>
      </c>
      <c r="N23" s="110" t="s">
        <v>547</v>
      </c>
      <c r="O23" s="108" t="s">
        <v>548</v>
      </c>
    </row>
    <row r="24" spans="1:15" s="111" customFormat="1" ht="32" hidden="1">
      <c r="A24" s="109">
        <v>2024</v>
      </c>
      <c r="B24" s="107">
        <v>45538</v>
      </c>
      <c r="C24" s="108" t="s">
        <v>153</v>
      </c>
      <c r="D24" s="108" t="s">
        <v>549</v>
      </c>
      <c r="E24" s="108" t="s">
        <v>542</v>
      </c>
      <c r="F24" s="108" t="s">
        <v>518</v>
      </c>
      <c r="G24" s="109" t="s">
        <v>519</v>
      </c>
      <c r="H24" s="109"/>
      <c r="I24" s="109"/>
      <c r="J24" s="109" t="s">
        <v>519</v>
      </c>
      <c r="K24" s="109"/>
      <c r="L24" s="109"/>
      <c r="M24" s="109" t="s">
        <v>519</v>
      </c>
      <c r="N24" s="110" t="s">
        <v>550</v>
      </c>
      <c r="O24" s="112" t="s">
        <v>551</v>
      </c>
    </row>
    <row r="25" spans="1:15" s="111" customFormat="1" hidden="1">
      <c r="A25" s="109">
        <v>2024</v>
      </c>
      <c r="B25" s="107">
        <v>45546</v>
      </c>
      <c r="C25" s="108" t="s">
        <v>0</v>
      </c>
      <c r="D25" s="108" t="s">
        <v>563</v>
      </c>
      <c r="E25" s="108" t="s">
        <v>517</v>
      </c>
      <c r="F25" s="108" t="s">
        <v>529</v>
      </c>
      <c r="G25" s="109"/>
      <c r="H25" s="109"/>
      <c r="I25" s="109" t="s">
        <v>519</v>
      </c>
      <c r="J25" s="109" t="s">
        <v>519</v>
      </c>
      <c r="K25" s="109"/>
      <c r="L25" s="109" t="s">
        <v>519</v>
      </c>
      <c r="M25" s="109"/>
      <c r="N25" s="108" t="s">
        <v>552</v>
      </c>
      <c r="O25" s="108" t="s">
        <v>553</v>
      </c>
    </row>
    <row r="26" spans="1:15" s="111" customFormat="1" ht="32" hidden="1">
      <c r="A26" s="109">
        <v>2024</v>
      </c>
      <c r="B26" s="107">
        <v>45548</v>
      </c>
      <c r="C26" s="108" t="s">
        <v>124</v>
      </c>
      <c r="D26" s="108" t="s">
        <v>554</v>
      </c>
      <c r="E26" s="108" t="s">
        <v>517</v>
      </c>
      <c r="F26" s="108" t="s">
        <v>529</v>
      </c>
      <c r="G26" s="109" t="s">
        <v>519</v>
      </c>
      <c r="H26" s="109"/>
      <c r="I26" s="109" t="s">
        <v>519</v>
      </c>
      <c r="J26" s="109" t="s">
        <v>519</v>
      </c>
      <c r="K26" s="109" t="s">
        <v>519</v>
      </c>
      <c r="L26" s="109" t="s">
        <v>519</v>
      </c>
      <c r="M26" s="109"/>
      <c r="N26" s="108" t="s">
        <v>555</v>
      </c>
      <c r="O26" s="110" t="s">
        <v>556</v>
      </c>
    </row>
    <row r="27" spans="1:15" s="111" customFormat="1" ht="32" hidden="1">
      <c r="A27" s="109">
        <v>2024</v>
      </c>
      <c r="B27" s="107">
        <v>45552</v>
      </c>
      <c r="C27" s="108" t="s">
        <v>152</v>
      </c>
      <c r="D27" s="108" t="s">
        <v>152</v>
      </c>
      <c r="E27" s="108" t="s">
        <v>542</v>
      </c>
      <c r="F27" s="108" t="s">
        <v>518</v>
      </c>
      <c r="G27" s="109" t="s">
        <v>519</v>
      </c>
      <c r="H27" s="109"/>
      <c r="I27" s="109"/>
      <c r="J27" s="109"/>
      <c r="K27" s="109"/>
      <c r="L27" s="109"/>
      <c r="M27" s="109" t="s">
        <v>519</v>
      </c>
      <c r="N27" s="108" t="s">
        <v>557</v>
      </c>
      <c r="O27" s="110" t="s">
        <v>558</v>
      </c>
    </row>
    <row r="28" spans="1:15" s="111" customFormat="1" hidden="1">
      <c r="A28" s="109">
        <v>2024</v>
      </c>
      <c r="B28" s="107">
        <v>45553</v>
      </c>
      <c r="C28" s="108" t="s">
        <v>149</v>
      </c>
      <c r="D28" s="108" t="s">
        <v>53</v>
      </c>
      <c r="E28" s="108" t="s">
        <v>542</v>
      </c>
      <c r="F28" s="108" t="s">
        <v>518</v>
      </c>
      <c r="G28" s="109" t="s">
        <v>519</v>
      </c>
      <c r="H28" s="109"/>
      <c r="I28" s="109"/>
      <c r="J28" s="109"/>
      <c r="K28" s="109"/>
      <c r="L28" s="109"/>
      <c r="M28" s="109" t="s">
        <v>519</v>
      </c>
      <c r="N28" s="108" t="s">
        <v>559</v>
      </c>
      <c r="O28" s="110"/>
    </row>
    <row r="29" spans="1:15" s="111" customFormat="1" ht="28.25" hidden="1" customHeight="1">
      <c r="A29" s="109">
        <v>2024</v>
      </c>
      <c r="B29" s="107">
        <v>45554</v>
      </c>
      <c r="C29" s="108" t="s">
        <v>150</v>
      </c>
      <c r="D29" s="108" t="s">
        <v>560</v>
      </c>
      <c r="E29" s="108" t="s">
        <v>542</v>
      </c>
      <c r="F29" s="108" t="s">
        <v>518</v>
      </c>
      <c r="G29" s="109" t="s">
        <v>519</v>
      </c>
      <c r="H29" s="109"/>
      <c r="I29" s="109"/>
      <c r="J29" s="109"/>
      <c r="K29" s="109"/>
      <c r="L29" s="109"/>
      <c r="M29" s="109" t="s">
        <v>519</v>
      </c>
      <c r="N29" s="108" t="s">
        <v>561</v>
      </c>
      <c r="O29" s="110" t="s">
        <v>562</v>
      </c>
    </row>
    <row r="30" spans="1:15" s="111" customFormat="1" ht="16" hidden="1">
      <c r="A30" s="168">
        <v>2025</v>
      </c>
      <c r="B30" s="107">
        <v>45821</v>
      </c>
      <c r="C30" s="108" t="s">
        <v>629</v>
      </c>
      <c r="D30" s="108" t="s">
        <v>73</v>
      </c>
      <c r="E30" s="108" t="s">
        <v>635</v>
      </c>
      <c r="F30" s="108" t="s">
        <v>529</v>
      </c>
      <c r="G30" s="109" t="s">
        <v>519</v>
      </c>
      <c r="H30" s="109"/>
      <c r="I30" s="109">
        <v>2</v>
      </c>
      <c r="J30" s="109" t="s">
        <v>519</v>
      </c>
      <c r="K30" s="109" t="s">
        <v>519</v>
      </c>
      <c r="L30" s="109"/>
      <c r="M30" s="109"/>
      <c r="N30" s="153" t="s">
        <v>637</v>
      </c>
      <c r="O30" s="110" t="s">
        <v>636</v>
      </c>
    </row>
    <row r="31" spans="1:15" s="111" customFormat="1" ht="32" hidden="1">
      <c r="A31" s="109">
        <v>2025</v>
      </c>
      <c r="B31" s="107">
        <v>45824</v>
      </c>
      <c r="C31" s="108" t="s">
        <v>629</v>
      </c>
      <c r="D31" s="108" t="s">
        <v>73</v>
      </c>
      <c r="E31" s="108" t="s">
        <v>525</v>
      </c>
      <c r="F31" s="108" t="s">
        <v>518</v>
      </c>
      <c r="G31" s="109" t="s">
        <v>519</v>
      </c>
      <c r="H31" s="109"/>
      <c r="I31" s="109">
        <v>2</v>
      </c>
      <c r="J31" s="109" t="s">
        <v>519</v>
      </c>
      <c r="K31" s="109" t="s">
        <v>519</v>
      </c>
      <c r="L31" s="109"/>
      <c r="M31" s="109" t="s">
        <v>519</v>
      </c>
      <c r="N31" s="108" t="s">
        <v>650</v>
      </c>
      <c r="O31" s="110" t="s">
        <v>652</v>
      </c>
    </row>
    <row r="32" spans="1:15" s="111" customFormat="1" ht="32" hidden="1">
      <c r="A32" s="109">
        <v>2025</v>
      </c>
      <c r="B32" s="107">
        <v>45826</v>
      </c>
      <c r="C32" s="108" t="s">
        <v>629</v>
      </c>
      <c r="D32" s="108" t="s">
        <v>73</v>
      </c>
      <c r="E32" s="108" t="s">
        <v>525</v>
      </c>
      <c r="F32" s="108" t="s">
        <v>518</v>
      </c>
      <c r="G32" s="109">
        <v>56</v>
      </c>
      <c r="H32" s="109">
        <v>136</v>
      </c>
      <c r="I32" s="109">
        <v>2</v>
      </c>
      <c r="J32" s="109" t="s">
        <v>519</v>
      </c>
      <c r="K32" s="109" t="s">
        <v>519</v>
      </c>
      <c r="L32" s="109"/>
      <c r="M32" s="109" t="s">
        <v>519</v>
      </c>
      <c r="N32" s="108" t="s">
        <v>651</v>
      </c>
      <c r="O32" s="110" t="s">
        <v>652</v>
      </c>
    </row>
    <row r="33" spans="1:15" s="111" customFormat="1" ht="16" hidden="1">
      <c r="A33" s="109">
        <v>2025</v>
      </c>
      <c r="B33" s="107">
        <v>45851</v>
      </c>
      <c r="C33" s="108" t="s">
        <v>713</v>
      </c>
      <c r="D33" s="108" t="s">
        <v>21</v>
      </c>
      <c r="E33" s="108" t="s">
        <v>517</v>
      </c>
      <c r="F33" s="108" t="s">
        <v>716</v>
      </c>
      <c r="G33" s="109">
        <v>0</v>
      </c>
      <c r="H33" s="109"/>
      <c r="I33" s="109">
        <v>3</v>
      </c>
      <c r="J33" s="109" t="s">
        <v>519</v>
      </c>
      <c r="K33" s="109" t="s">
        <v>519</v>
      </c>
      <c r="L33" s="109"/>
      <c r="M33" s="109"/>
      <c r="N33" s="108" t="s">
        <v>717</v>
      </c>
      <c r="O33" s="110" t="s">
        <v>718</v>
      </c>
    </row>
    <row r="34" spans="1:15" s="111" customFormat="1" ht="16" hidden="1">
      <c r="A34" s="109">
        <v>2025</v>
      </c>
      <c r="B34" s="107">
        <v>45854</v>
      </c>
      <c r="C34" s="108" t="s">
        <v>629</v>
      </c>
      <c r="D34" s="108" t="s">
        <v>73</v>
      </c>
      <c r="E34" s="108" t="s">
        <v>725</v>
      </c>
      <c r="F34" s="108" t="s">
        <v>722</v>
      </c>
      <c r="G34" s="109">
        <v>56</v>
      </c>
      <c r="H34" s="109"/>
      <c r="I34" s="109"/>
      <c r="J34" s="109" t="s">
        <v>519</v>
      </c>
      <c r="K34" s="109"/>
      <c r="L34" s="109"/>
      <c r="M34" s="109"/>
      <c r="N34" s="108" t="s">
        <v>723</v>
      </c>
      <c r="O34" s="110" t="s">
        <v>724</v>
      </c>
    </row>
    <row r="35" spans="1:15" s="111" customFormat="1" ht="16">
      <c r="A35" s="46">
        <v>2026</v>
      </c>
      <c r="B35" s="102">
        <v>46216</v>
      </c>
      <c r="C35" s="108" t="s">
        <v>871</v>
      </c>
      <c r="D35" s="108" t="s">
        <v>886</v>
      </c>
      <c r="E35" s="108" t="s">
        <v>635</v>
      </c>
      <c r="F35" s="108" t="s">
        <v>529</v>
      </c>
      <c r="G35" s="46">
        <v>0</v>
      </c>
      <c r="H35" s="46" t="s">
        <v>519</v>
      </c>
      <c r="I35" s="46">
        <v>3</v>
      </c>
      <c r="J35" s="46" t="s">
        <v>519</v>
      </c>
      <c r="K35" s="46" t="s">
        <v>519</v>
      </c>
      <c r="L35" s="46"/>
      <c r="M35" s="46"/>
      <c r="N35" s="108" t="s">
        <v>887</v>
      </c>
      <c r="O35" s="103" t="s">
        <v>888</v>
      </c>
    </row>
    <row r="36" spans="1:15" s="111" customFormat="1" ht="16">
      <c r="A36" s="109">
        <v>2026</v>
      </c>
      <c r="B36" s="107">
        <v>46217</v>
      </c>
      <c r="C36" s="108" t="s">
        <v>873</v>
      </c>
      <c r="D36" s="108" t="s">
        <v>9</v>
      </c>
      <c r="E36" s="108" t="s">
        <v>635</v>
      </c>
      <c r="F36" s="108" t="s">
        <v>529</v>
      </c>
      <c r="G36" s="109">
        <v>0</v>
      </c>
      <c r="H36" s="109" t="s">
        <v>519</v>
      </c>
      <c r="I36" s="109">
        <v>2</v>
      </c>
      <c r="J36" s="109"/>
      <c r="K36" s="109" t="s">
        <v>519</v>
      </c>
      <c r="L36" s="109"/>
      <c r="M36" s="109"/>
      <c r="N36" s="108"/>
      <c r="O36" s="110" t="s">
        <v>885</v>
      </c>
    </row>
    <row r="37" spans="1:15" ht="16">
      <c r="A37" s="109">
        <v>2026</v>
      </c>
      <c r="B37" s="107">
        <v>46218</v>
      </c>
      <c r="C37" s="108" t="s">
        <v>877</v>
      </c>
      <c r="D37" s="108" t="s">
        <v>882</v>
      </c>
      <c r="E37" s="108" t="s">
        <v>635</v>
      </c>
      <c r="F37" s="108" t="s">
        <v>529</v>
      </c>
      <c r="G37" s="109">
        <v>0</v>
      </c>
      <c r="H37" s="109" t="s">
        <v>519</v>
      </c>
      <c r="I37" s="109">
        <v>3</v>
      </c>
      <c r="J37" s="109" t="s">
        <v>519</v>
      </c>
      <c r="K37" s="109" t="s">
        <v>519</v>
      </c>
      <c r="L37" s="109" t="s">
        <v>519</v>
      </c>
      <c r="M37" s="109"/>
      <c r="N37" s="108" t="s">
        <v>884</v>
      </c>
      <c r="O37" s="217" t="s">
        <v>883</v>
      </c>
    </row>
    <row r="38" spans="1:15">
      <c r="A38" s="46"/>
      <c r="B38" s="102"/>
      <c r="C38" s="108"/>
      <c r="D38" s="108"/>
      <c r="E38" s="108"/>
      <c r="F38" s="43"/>
      <c r="G38" s="46"/>
      <c r="H38" s="46"/>
      <c r="I38" s="46"/>
      <c r="J38" s="46"/>
      <c r="K38" s="46"/>
      <c r="L38" s="46"/>
      <c r="M38" s="46"/>
      <c r="N38" s="108"/>
    </row>
    <row r="39" spans="1:15">
      <c r="A39" s="46"/>
      <c r="B39" s="102"/>
      <c r="C39" s="108"/>
      <c r="D39" s="108"/>
      <c r="E39" s="108"/>
      <c r="F39" s="43"/>
      <c r="G39" s="46"/>
      <c r="H39" s="46"/>
      <c r="I39" s="46"/>
      <c r="J39" s="46"/>
      <c r="K39" s="46"/>
      <c r="L39" s="46"/>
      <c r="M39" s="46"/>
      <c r="N39" s="108"/>
    </row>
    <row r="40" spans="1:15">
      <c r="A40" s="46"/>
      <c r="B40" s="102"/>
      <c r="C40" s="108"/>
      <c r="D40" s="108"/>
      <c r="E40" s="108"/>
      <c r="F40" s="43"/>
      <c r="G40" s="46"/>
      <c r="H40" s="46"/>
      <c r="I40" s="46"/>
      <c r="J40" s="46"/>
      <c r="K40" s="46"/>
      <c r="L40" s="46"/>
      <c r="M40" s="46"/>
      <c r="N40" s="108"/>
    </row>
    <row r="41" spans="1:15">
      <c r="A41" s="46"/>
      <c r="B41" s="102"/>
      <c r="C41" s="108"/>
      <c r="D41" s="108"/>
      <c r="E41" s="108"/>
      <c r="F41" s="43"/>
      <c r="G41" s="46"/>
      <c r="H41" s="46"/>
      <c r="I41" s="46"/>
      <c r="J41" s="46"/>
      <c r="K41" s="46"/>
      <c r="L41" s="46"/>
      <c r="M41" s="46"/>
      <c r="N41" s="108"/>
    </row>
    <row r="42" spans="1:15">
      <c r="A42" s="46"/>
      <c r="B42" s="102"/>
      <c r="C42" s="108"/>
      <c r="D42" s="108"/>
      <c r="E42" s="108"/>
      <c r="F42" s="43"/>
      <c r="G42" s="46"/>
      <c r="H42" s="46"/>
      <c r="I42" s="46"/>
      <c r="J42" s="46"/>
      <c r="K42" s="46"/>
      <c r="L42" s="46"/>
      <c r="M42" s="46"/>
      <c r="N42" s="108"/>
    </row>
    <row r="43" spans="1:15">
      <c r="A43" s="46"/>
      <c r="B43" s="102"/>
      <c r="C43" s="108"/>
      <c r="D43" s="108"/>
      <c r="E43" s="108"/>
      <c r="F43" s="43"/>
      <c r="G43" s="46"/>
      <c r="H43" s="46"/>
      <c r="I43" s="46"/>
      <c r="J43" s="46"/>
      <c r="K43" s="46"/>
      <c r="L43" s="46"/>
      <c r="M43" s="46"/>
      <c r="N43" s="108"/>
    </row>
    <row r="44" spans="1:15">
      <c r="A44" s="46"/>
      <c r="B44" s="102"/>
      <c r="C44" s="108"/>
      <c r="D44" s="108"/>
      <c r="E44" s="108"/>
      <c r="F44" s="43"/>
      <c r="G44" s="46"/>
      <c r="H44" s="46"/>
      <c r="I44" s="46"/>
      <c r="J44" s="46"/>
      <c r="K44" s="46"/>
      <c r="L44" s="46"/>
      <c r="M44" s="46"/>
      <c r="N44" s="108"/>
    </row>
    <row r="45" spans="1:15">
      <c r="A45" s="46"/>
      <c r="B45" s="102"/>
      <c r="C45" s="108"/>
      <c r="D45" s="108"/>
      <c r="E45" s="108"/>
      <c r="F45" s="43"/>
      <c r="G45" s="46"/>
      <c r="H45" s="46"/>
      <c r="I45" s="46"/>
      <c r="J45" s="46"/>
      <c r="K45" s="46"/>
      <c r="L45" s="46"/>
      <c r="M45" s="46"/>
      <c r="N45" s="108"/>
    </row>
    <row r="46" spans="1:15">
      <c r="A46" s="46"/>
      <c r="B46" s="102"/>
      <c r="C46" s="108"/>
      <c r="D46" s="108"/>
      <c r="E46" s="108"/>
      <c r="F46" s="43"/>
      <c r="G46" s="46"/>
      <c r="H46" s="46"/>
      <c r="I46" s="46"/>
      <c r="J46" s="46"/>
      <c r="K46" s="46"/>
      <c r="L46" s="46"/>
      <c r="M46" s="46"/>
      <c r="N46" s="108"/>
    </row>
    <row r="47" spans="1:15">
      <c r="A47" s="46"/>
      <c r="B47" s="102"/>
      <c r="C47" s="108"/>
      <c r="D47" s="108"/>
      <c r="E47" s="108"/>
      <c r="F47" s="43"/>
      <c r="G47" s="46"/>
      <c r="H47" s="46"/>
      <c r="I47" s="46"/>
      <c r="J47" s="46"/>
      <c r="K47" s="46"/>
      <c r="L47" s="46"/>
      <c r="M47" s="46"/>
      <c r="N47" s="108"/>
    </row>
    <row r="48" spans="1:15">
      <c r="A48" s="46"/>
      <c r="B48" s="102"/>
      <c r="C48" s="108"/>
      <c r="D48" s="108"/>
      <c r="E48" s="108"/>
      <c r="F48" s="43"/>
      <c r="G48" s="46"/>
      <c r="H48" s="46"/>
      <c r="I48" s="46"/>
      <c r="J48" s="46"/>
      <c r="K48" s="46"/>
      <c r="L48" s="46"/>
      <c r="M48" s="46"/>
      <c r="N48" s="108"/>
    </row>
    <row r="49" spans="1:14">
      <c r="A49" s="46"/>
      <c r="B49" s="102"/>
      <c r="C49" s="108"/>
      <c r="D49" s="108"/>
      <c r="E49" s="108"/>
      <c r="F49" s="43"/>
      <c r="G49" s="46"/>
      <c r="H49" s="46"/>
      <c r="I49" s="46"/>
      <c r="J49" s="46"/>
      <c r="K49" s="46"/>
      <c r="L49" s="46"/>
      <c r="M49" s="46"/>
      <c r="N49" s="108"/>
    </row>
    <row r="50" spans="1:14">
      <c r="A50" s="46"/>
      <c r="B50" s="102"/>
      <c r="C50" s="108"/>
      <c r="D50" s="108"/>
      <c r="E50" s="108"/>
      <c r="F50" s="43"/>
      <c r="G50" s="46"/>
      <c r="H50" s="46"/>
      <c r="I50" s="46"/>
      <c r="J50" s="46"/>
      <c r="K50" s="46"/>
      <c r="L50" s="46"/>
      <c r="M50" s="46"/>
      <c r="N50" s="108"/>
    </row>
    <row r="51" spans="1:14">
      <c r="A51" s="46"/>
      <c r="B51" s="102"/>
      <c r="C51" s="108"/>
      <c r="D51" s="108"/>
      <c r="E51" s="108"/>
      <c r="F51" s="43"/>
      <c r="G51" s="46"/>
      <c r="H51" s="46"/>
      <c r="I51" s="46"/>
      <c r="J51" s="46"/>
      <c r="K51" s="46"/>
      <c r="L51" s="46"/>
      <c r="M51" s="46"/>
      <c r="N51" s="108"/>
    </row>
    <row r="52" spans="1:14">
      <c r="A52" s="46"/>
      <c r="B52" s="102"/>
      <c r="C52" s="108"/>
      <c r="D52" s="108"/>
      <c r="E52" s="108"/>
      <c r="F52" s="43"/>
      <c r="G52" s="46"/>
      <c r="H52" s="46"/>
      <c r="I52" s="46"/>
      <c r="J52" s="46"/>
      <c r="K52" s="46"/>
      <c r="L52" s="46"/>
      <c r="M52" s="46"/>
      <c r="N52" s="108"/>
    </row>
    <row r="53" spans="1:14">
      <c r="A53" s="46"/>
      <c r="B53" s="102"/>
      <c r="C53" s="108"/>
      <c r="D53" s="108"/>
      <c r="E53" s="108"/>
      <c r="F53" s="43"/>
      <c r="G53" s="46"/>
      <c r="H53" s="46"/>
      <c r="I53" s="46"/>
      <c r="J53" s="46"/>
      <c r="K53" s="46"/>
      <c r="L53" s="46"/>
      <c r="M53" s="46"/>
      <c r="N53" s="108"/>
    </row>
    <row r="54" spans="1:14">
      <c r="A54" s="46"/>
      <c r="B54" s="102"/>
      <c r="C54" s="108"/>
      <c r="D54" s="108"/>
      <c r="E54" s="108"/>
      <c r="F54" s="43"/>
      <c r="G54" s="46"/>
      <c r="H54" s="46"/>
      <c r="I54" s="46"/>
      <c r="J54" s="46"/>
      <c r="K54" s="46"/>
      <c r="L54" s="46"/>
      <c r="M54" s="46"/>
      <c r="N54" s="108"/>
    </row>
    <row r="55" spans="1:14">
      <c r="A55" s="46"/>
      <c r="B55" s="102"/>
      <c r="C55" s="108"/>
      <c r="D55" s="108"/>
      <c r="E55" s="108"/>
      <c r="F55" s="43"/>
      <c r="G55" s="46"/>
      <c r="H55" s="46"/>
      <c r="I55" s="46"/>
      <c r="J55" s="46"/>
      <c r="K55" s="46"/>
      <c r="L55" s="46"/>
      <c r="M55" s="46"/>
      <c r="N55" s="108"/>
    </row>
    <row r="56" spans="1:14">
      <c r="A56" s="46"/>
      <c r="B56" s="102"/>
      <c r="C56" s="108"/>
      <c r="D56" s="108"/>
      <c r="E56" s="108"/>
      <c r="F56" s="43"/>
      <c r="G56" s="46"/>
      <c r="H56" s="46"/>
      <c r="I56" s="46"/>
      <c r="J56" s="46"/>
      <c r="K56" s="46"/>
      <c r="L56" s="46"/>
      <c r="M56" s="46"/>
      <c r="N56" s="108"/>
    </row>
    <row r="57" spans="1:14">
      <c r="A57" s="46"/>
      <c r="B57" s="102"/>
      <c r="C57" s="108"/>
      <c r="D57" s="108"/>
      <c r="E57" s="108"/>
      <c r="F57" s="43"/>
      <c r="G57" s="46"/>
      <c r="H57" s="46"/>
      <c r="I57" s="46"/>
      <c r="J57" s="46"/>
      <c r="K57" s="46"/>
      <c r="L57" s="46"/>
      <c r="M57" s="46"/>
      <c r="N57" s="108"/>
    </row>
    <row r="58" spans="1:14">
      <c r="A58" s="46"/>
      <c r="B58" s="102"/>
      <c r="C58" s="108"/>
      <c r="D58" s="108"/>
      <c r="E58" s="108"/>
      <c r="F58" s="43"/>
      <c r="G58" s="46"/>
      <c r="H58" s="46"/>
      <c r="I58" s="46"/>
      <c r="J58" s="46"/>
      <c r="K58" s="46"/>
      <c r="L58" s="46"/>
      <c r="M58" s="46"/>
      <c r="N58" s="108"/>
    </row>
  </sheetData>
  <autoFilter ref="A2:O37" xr:uid="{A04D66CA-EDCD-41E3-815F-D439091FE5C5}">
    <filterColumn colId="0">
      <filters>
        <filter val="2026"/>
      </filters>
    </filterColumn>
  </autoFilter>
  <sortState xmlns:xlrd2="http://schemas.microsoft.com/office/spreadsheetml/2017/richdata2" ref="A3:O37">
    <sortCondition ref="A3:A37"/>
    <sortCondition ref="B3:B37"/>
  </sortState>
  <dataValidations disablePrompts="1" count="2">
    <dataValidation type="list" allowBlank="1" showInputMessage="1" showErrorMessage="1" sqref="C3:C29 D37:D52 C38:C52" xr:uid="{786F4CC2-7CC6-4F59-8079-DE9266C0AF5E}">
      <formula1>Fires</formula1>
    </dataValidation>
    <dataValidation type="list" allowBlank="1" showInputMessage="1" showErrorMessage="1" sqref="C30:C37" xr:uid="{807A2952-05BF-402A-BFA7-6804563C1369}">
      <formula1>Fires_2025</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FD09C-8C54-49B1-A0D4-B8F74EE0527B}">
  <sheetPr codeName="Sheet7"/>
  <dimension ref="A2:Y105"/>
  <sheetViews>
    <sheetView zoomScale="60" zoomScaleNormal="60" workbookViewId="0">
      <pane xSplit="3" ySplit="4" topLeftCell="V5" activePane="bottomRight" state="frozen"/>
      <selection pane="topRight" activeCell="D1" sqref="D1"/>
      <selection pane="bottomLeft" activeCell="A5" sqref="A5"/>
      <selection pane="bottomRight" activeCell="AD10" sqref="AD10"/>
    </sheetView>
  </sheetViews>
  <sheetFormatPr baseColWidth="10" defaultColWidth="8.83203125" defaultRowHeight="15"/>
  <cols>
    <col min="1" max="1" width="15.33203125" customWidth="1"/>
    <col min="3" max="3" width="59.6640625" customWidth="1"/>
    <col min="4" max="4" width="37.5" bestFit="1" customWidth="1"/>
    <col min="5" max="5" width="7.6640625" customWidth="1"/>
    <col min="6" max="6" width="11.83203125" customWidth="1"/>
    <col min="17" max="17" width="18.33203125" customWidth="1"/>
    <col min="18" max="18" width="2.83203125" customWidth="1"/>
    <col min="20" max="20" width="12.33203125" bestFit="1" customWidth="1"/>
    <col min="21" max="21" width="17.6640625" bestFit="1" customWidth="1"/>
    <col min="22" max="22" width="12.5" style="12" customWidth="1"/>
  </cols>
  <sheetData>
    <row r="2" spans="1:22" ht="27">
      <c r="A2" s="120">
        <f>'Rpt-Status, name, county'!B19</f>
        <v>2026</v>
      </c>
      <c r="B2" s="287" t="s">
        <v>578</v>
      </c>
      <c r="C2" s="287"/>
      <c r="D2" s="287"/>
      <c r="E2" s="14"/>
      <c r="G2" s="273" t="s">
        <v>188</v>
      </c>
      <c r="H2" s="273"/>
      <c r="I2" s="273"/>
      <c r="J2" s="273" t="s">
        <v>118</v>
      </c>
      <c r="K2" s="273"/>
      <c r="L2" s="273"/>
      <c r="M2" s="273" t="s">
        <v>123</v>
      </c>
      <c r="N2" s="273"/>
      <c r="O2" s="273"/>
    </row>
    <row r="3" spans="1:22">
      <c r="F3" s="90" t="s">
        <v>189</v>
      </c>
      <c r="G3" s="32"/>
      <c r="H3" s="33"/>
      <c r="I3" s="34"/>
      <c r="J3" s="35"/>
      <c r="K3" s="35"/>
      <c r="L3" s="35"/>
      <c r="M3" s="34"/>
      <c r="N3" s="34"/>
      <c r="O3" s="34"/>
    </row>
    <row r="4" spans="1:22" ht="65">
      <c r="A4" s="31" t="s">
        <v>1</v>
      </c>
      <c r="B4" s="31" t="s">
        <v>167</v>
      </c>
      <c r="C4" s="31" t="s">
        <v>2</v>
      </c>
      <c r="D4" s="31" t="s">
        <v>5</v>
      </c>
      <c r="E4" s="36" t="s">
        <v>4</v>
      </c>
      <c r="F4" s="12" t="s">
        <v>178</v>
      </c>
      <c r="G4" s="26" t="s">
        <v>179</v>
      </c>
      <c r="H4" s="27" t="s">
        <v>180</v>
      </c>
      <c r="I4" s="28" t="s">
        <v>181</v>
      </c>
      <c r="J4" s="29" t="s">
        <v>182</v>
      </c>
      <c r="K4" s="29" t="s">
        <v>183</v>
      </c>
      <c r="L4" s="29" t="s">
        <v>184</v>
      </c>
      <c r="M4" s="30" t="s">
        <v>185</v>
      </c>
      <c r="N4" s="30" t="s">
        <v>186</v>
      </c>
      <c r="O4" s="30" t="s">
        <v>187</v>
      </c>
    </row>
    <row r="5" spans="1:22" ht="32">
      <c r="A5" t="s">
        <v>103</v>
      </c>
      <c r="B5" t="s">
        <v>847</v>
      </c>
      <c r="C5" t="s">
        <v>952</v>
      </c>
      <c r="D5" t="s">
        <v>953</v>
      </c>
      <c r="E5" s="213">
        <v>0.05</v>
      </c>
      <c r="F5" s="11">
        <v>280000</v>
      </c>
      <c r="G5" s="293"/>
      <c r="H5" s="293"/>
      <c r="I5" s="293"/>
      <c r="J5" s="293">
        <v>336</v>
      </c>
      <c r="K5" s="293"/>
      <c r="L5" s="293"/>
      <c r="M5" s="293"/>
      <c r="N5" s="293"/>
      <c r="O5" s="293"/>
      <c r="S5" s="43" t="s">
        <v>593</v>
      </c>
      <c r="T5" s="43" t="s">
        <v>1</v>
      </c>
      <c r="U5" s="43"/>
      <c r="V5" s="40" t="s">
        <v>595</v>
      </c>
    </row>
    <row r="6" spans="1:22">
      <c r="C6" t="s">
        <v>977</v>
      </c>
      <c r="D6" t="s">
        <v>978</v>
      </c>
      <c r="E6" s="213">
        <v>0.35</v>
      </c>
      <c r="F6" s="11">
        <v>42000</v>
      </c>
      <c r="G6" s="293"/>
      <c r="H6" s="293"/>
      <c r="I6" s="293"/>
      <c r="J6" s="293">
        <v>32</v>
      </c>
      <c r="K6" s="293"/>
      <c r="L6" s="293"/>
      <c r="M6" s="293"/>
      <c r="N6" s="293"/>
      <c r="O6" s="293"/>
      <c r="S6" s="43" t="s">
        <v>592</v>
      </c>
      <c r="T6" s="17" t="s">
        <v>82</v>
      </c>
      <c r="U6" s="17" t="str">
        <f>CONCATENATE(T6," Total")</f>
        <v>Baker Total</v>
      </c>
      <c r="V6" s="141">
        <f>IFERROR(VLOOKUP(U6,$A$5:$O$300,13,FALSE),0)</f>
        <v>0</v>
      </c>
    </row>
    <row r="7" spans="1:22">
      <c r="B7" t="s">
        <v>848</v>
      </c>
      <c r="F7" s="11">
        <v>322000</v>
      </c>
      <c r="G7" s="293"/>
      <c r="H7" s="293"/>
      <c r="I7" s="293"/>
      <c r="J7" s="293">
        <v>368</v>
      </c>
      <c r="K7" s="293"/>
      <c r="L7" s="293"/>
      <c r="M7" s="293"/>
      <c r="N7" s="293"/>
      <c r="O7" s="293"/>
      <c r="S7" s="43" t="s">
        <v>592</v>
      </c>
      <c r="T7" s="17" t="s">
        <v>83</v>
      </c>
      <c r="U7" s="17" t="str">
        <f t="shared" ref="U7:U41" si="0">CONCATENATE(T7," Total")</f>
        <v>Benton Total</v>
      </c>
      <c r="V7" s="141">
        <f t="shared" ref="V7:V41" si="1">IFERROR(VLOOKUP(U7,$A$5:$O$300,13,FALSE),0)</f>
        <v>0</v>
      </c>
    </row>
    <row r="8" spans="1:22">
      <c r="B8" t="s">
        <v>169</v>
      </c>
      <c r="C8" t="s">
        <v>928</v>
      </c>
      <c r="D8" t="s">
        <v>929</v>
      </c>
      <c r="E8" s="213">
        <v>1</v>
      </c>
      <c r="F8" s="11">
        <v>0</v>
      </c>
      <c r="G8" s="293">
        <v>0</v>
      </c>
      <c r="H8" s="293"/>
      <c r="I8" s="293"/>
      <c r="J8" s="293"/>
      <c r="K8" s="293"/>
      <c r="L8" s="293"/>
      <c r="M8" s="293"/>
      <c r="N8" s="293"/>
      <c r="O8" s="293"/>
      <c r="S8" s="43" t="s">
        <v>592</v>
      </c>
      <c r="T8" s="17" t="s">
        <v>84</v>
      </c>
      <c r="U8" s="17" t="str">
        <f t="shared" si="0"/>
        <v>Clackamas Total</v>
      </c>
      <c r="V8" s="141">
        <f t="shared" si="1"/>
        <v>0</v>
      </c>
    </row>
    <row r="9" spans="1:22">
      <c r="C9" t="s">
        <v>858</v>
      </c>
      <c r="D9" t="s">
        <v>859</v>
      </c>
      <c r="E9" s="213">
        <v>1</v>
      </c>
      <c r="F9" s="11">
        <v>2750</v>
      </c>
      <c r="G9" s="293"/>
      <c r="H9" s="293"/>
      <c r="I9" s="293"/>
      <c r="J9" s="293"/>
      <c r="K9" s="293"/>
      <c r="L9" s="293"/>
      <c r="M9" s="293"/>
      <c r="N9" s="293"/>
      <c r="O9" s="293"/>
      <c r="S9" s="43" t="s">
        <v>592</v>
      </c>
      <c r="T9" s="17" t="s">
        <v>85</v>
      </c>
      <c r="U9" s="17" t="str">
        <f t="shared" si="0"/>
        <v>Clatsop Total</v>
      </c>
      <c r="V9" s="141">
        <f t="shared" si="1"/>
        <v>0</v>
      </c>
    </row>
    <row r="10" spans="1:22">
      <c r="C10" t="s">
        <v>938</v>
      </c>
      <c r="D10" t="s">
        <v>939</v>
      </c>
      <c r="E10" s="213">
        <v>1</v>
      </c>
      <c r="F10" s="11">
        <v>8044</v>
      </c>
      <c r="G10" s="293"/>
      <c r="H10" s="293"/>
      <c r="I10" s="293"/>
      <c r="J10" s="293"/>
      <c r="K10" s="293"/>
      <c r="L10" s="293"/>
      <c r="M10" s="293"/>
      <c r="N10" s="293"/>
      <c r="O10" s="293"/>
      <c r="S10" s="43" t="s">
        <v>592</v>
      </c>
      <c r="T10" s="17" t="s">
        <v>86</v>
      </c>
      <c r="U10" s="17" t="str">
        <f t="shared" si="0"/>
        <v>Columbia Total</v>
      </c>
      <c r="V10" s="141">
        <f t="shared" si="1"/>
        <v>0</v>
      </c>
    </row>
    <row r="11" spans="1:22">
      <c r="C11" t="s">
        <v>954</v>
      </c>
      <c r="D11" t="s">
        <v>955</v>
      </c>
      <c r="E11" s="213">
        <v>10</v>
      </c>
      <c r="F11" s="11">
        <v>1500</v>
      </c>
      <c r="G11" s="293"/>
      <c r="H11" s="293"/>
      <c r="I11" s="293"/>
      <c r="J11" s="293"/>
      <c r="K11" s="293"/>
      <c r="L11" s="293"/>
      <c r="M11" s="293"/>
      <c r="N11" s="293"/>
      <c r="O11" s="293"/>
      <c r="S11" s="43" t="s">
        <v>592</v>
      </c>
      <c r="T11" s="17" t="s">
        <v>87</v>
      </c>
      <c r="U11" s="17" t="str">
        <f t="shared" si="0"/>
        <v>Coos Total</v>
      </c>
      <c r="V11" s="141">
        <f t="shared" si="1"/>
        <v>0</v>
      </c>
    </row>
    <row r="12" spans="1:22">
      <c r="C12" t="s">
        <v>855</v>
      </c>
      <c r="D12" t="s">
        <v>856</v>
      </c>
      <c r="E12" s="213">
        <v>1</v>
      </c>
      <c r="F12" s="11">
        <v>6052</v>
      </c>
      <c r="G12" s="293">
        <v>0</v>
      </c>
      <c r="H12" s="293"/>
      <c r="I12" s="293"/>
      <c r="J12" s="293"/>
      <c r="K12" s="293"/>
      <c r="L12" s="293"/>
      <c r="M12" s="293"/>
      <c r="N12" s="293"/>
      <c r="O12" s="293"/>
      <c r="S12" s="43" t="s">
        <v>592</v>
      </c>
      <c r="T12" s="17" t="s">
        <v>88</v>
      </c>
      <c r="U12" s="17" t="str">
        <f t="shared" si="0"/>
        <v>Crook Total</v>
      </c>
      <c r="V12" s="141">
        <f t="shared" si="1"/>
        <v>0</v>
      </c>
    </row>
    <row r="13" spans="1:22">
      <c r="C13" t="s">
        <v>869</v>
      </c>
      <c r="D13" t="s">
        <v>870</v>
      </c>
      <c r="E13" s="213">
        <v>1</v>
      </c>
      <c r="F13" s="11">
        <v>999</v>
      </c>
      <c r="G13" s="293"/>
      <c r="H13" s="293"/>
      <c r="I13" s="293"/>
      <c r="J13" s="293"/>
      <c r="K13" s="293"/>
      <c r="L13" s="293"/>
      <c r="M13" s="293"/>
      <c r="N13" s="293"/>
      <c r="O13" s="293"/>
      <c r="S13" s="43" t="s">
        <v>592</v>
      </c>
      <c r="T13" s="17" t="s">
        <v>89</v>
      </c>
      <c r="U13" s="17" t="str">
        <f t="shared" si="0"/>
        <v>Curry Total</v>
      </c>
      <c r="V13" s="141">
        <f t="shared" si="1"/>
        <v>0</v>
      </c>
    </row>
    <row r="14" spans="1:22">
      <c r="B14" t="s">
        <v>828</v>
      </c>
      <c r="F14" s="11">
        <v>19345</v>
      </c>
      <c r="G14" s="293">
        <v>0</v>
      </c>
      <c r="H14" s="293"/>
      <c r="I14" s="293"/>
      <c r="J14" s="293"/>
      <c r="K14" s="293"/>
      <c r="L14" s="293"/>
      <c r="M14" s="293"/>
      <c r="N14" s="293"/>
      <c r="O14" s="293"/>
      <c r="S14" s="43" t="s">
        <v>592</v>
      </c>
      <c r="T14" s="17" t="s">
        <v>90</v>
      </c>
      <c r="U14" s="17" t="str">
        <f t="shared" si="0"/>
        <v>Deschutes Total</v>
      </c>
      <c r="V14" s="141">
        <f t="shared" si="1"/>
        <v>0</v>
      </c>
    </row>
    <row r="15" spans="1:22">
      <c r="A15" t="s">
        <v>842</v>
      </c>
      <c r="F15" s="11">
        <v>341345</v>
      </c>
      <c r="G15" s="293">
        <v>0</v>
      </c>
      <c r="H15" s="293"/>
      <c r="I15" s="293"/>
      <c r="J15" s="293">
        <v>368</v>
      </c>
      <c r="K15" s="293"/>
      <c r="L15" s="293"/>
      <c r="M15" s="293"/>
      <c r="N15" s="293"/>
      <c r="O15" s="293"/>
      <c r="S15" s="43" t="s">
        <v>592</v>
      </c>
      <c r="T15" s="17" t="s">
        <v>91</v>
      </c>
      <c r="U15" s="17" t="str">
        <f t="shared" si="0"/>
        <v>Douglas Total</v>
      </c>
      <c r="V15" s="141">
        <f t="shared" si="1"/>
        <v>0</v>
      </c>
    </row>
    <row r="16" spans="1:22">
      <c r="A16" t="s">
        <v>94</v>
      </c>
      <c r="B16" t="s">
        <v>847</v>
      </c>
      <c r="C16" t="s">
        <v>949</v>
      </c>
      <c r="D16" t="s">
        <v>948</v>
      </c>
      <c r="E16" s="213">
        <v>0.8</v>
      </c>
      <c r="F16" s="11">
        <v>745</v>
      </c>
      <c r="G16" s="293"/>
      <c r="H16" s="293"/>
      <c r="I16" s="293"/>
      <c r="J16" s="293">
        <v>15</v>
      </c>
      <c r="K16" s="293"/>
      <c r="L16" s="293"/>
      <c r="M16" s="293"/>
      <c r="N16" s="293"/>
      <c r="O16" s="293"/>
      <c r="S16" s="43" t="s">
        <v>592</v>
      </c>
      <c r="T16" s="17" t="s">
        <v>92</v>
      </c>
      <c r="U16" s="17" t="str">
        <f t="shared" si="0"/>
        <v>Gilliam Total</v>
      </c>
      <c r="V16" s="141">
        <f t="shared" si="1"/>
        <v>13</v>
      </c>
    </row>
    <row r="17" spans="1:22">
      <c r="C17" t="s">
        <v>968</v>
      </c>
      <c r="D17" t="s">
        <v>969</v>
      </c>
      <c r="E17" s="213">
        <v>0.01</v>
      </c>
      <c r="F17" s="11">
        <v>25992</v>
      </c>
      <c r="G17" s="293"/>
      <c r="H17" s="293"/>
      <c r="I17" s="293"/>
      <c r="J17" s="293">
        <v>104</v>
      </c>
      <c r="K17" s="293"/>
      <c r="L17" s="293"/>
      <c r="M17" s="293"/>
      <c r="N17" s="293"/>
      <c r="O17" s="293"/>
      <c r="S17" s="43" t="s">
        <v>592</v>
      </c>
      <c r="T17" s="17" t="s">
        <v>93</v>
      </c>
      <c r="U17" s="17" t="str">
        <f t="shared" si="0"/>
        <v>Grant Total</v>
      </c>
      <c r="V17" s="141">
        <f t="shared" si="1"/>
        <v>1</v>
      </c>
    </row>
    <row r="18" spans="1:22">
      <c r="C18" t="s">
        <v>960</v>
      </c>
      <c r="D18" t="s">
        <v>961</v>
      </c>
      <c r="E18" s="213">
        <v>0</v>
      </c>
      <c r="F18" s="11">
        <v>130000</v>
      </c>
      <c r="G18" s="293"/>
      <c r="H18" s="293"/>
      <c r="I18" s="293"/>
      <c r="J18" s="293"/>
      <c r="K18" s="293"/>
      <c r="L18" s="293"/>
      <c r="M18" s="293"/>
      <c r="N18" s="293"/>
      <c r="O18" s="293"/>
      <c r="S18" s="43" t="s">
        <v>592</v>
      </c>
      <c r="T18" s="17" t="s">
        <v>94</v>
      </c>
      <c r="U18" s="17" t="str">
        <f t="shared" si="0"/>
        <v>Harney Total</v>
      </c>
      <c r="V18" s="141">
        <f t="shared" si="1"/>
        <v>0</v>
      </c>
    </row>
    <row r="19" spans="1:22">
      <c r="C19" t="s">
        <v>901</v>
      </c>
      <c r="D19" t="s">
        <v>902</v>
      </c>
      <c r="E19" s="213">
        <v>0.8</v>
      </c>
      <c r="F19" s="11">
        <v>4553</v>
      </c>
      <c r="G19" s="293"/>
      <c r="H19" s="293"/>
      <c r="I19" s="293"/>
      <c r="J19" s="293"/>
      <c r="K19" s="293"/>
      <c r="L19" s="293"/>
      <c r="M19" s="293"/>
      <c r="N19" s="293"/>
      <c r="O19" s="293"/>
      <c r="S19" s="43" t="s">
        <v>592</v>
      </c>
      <c r="T19" s="17" t="s">
        <v>35</v>
      </c>
      <c r="U19" s="17" t="str">
        <f t="shared" si="0"/>
        <v>Hood River Total</v>
      </c>
      <c r="V19" s="141">
        <f t="shared" si="1"/>
        <v>0</v>
      </c>
    </row>
    <row r="20" spans="1:22">
      <c r="C20" t="s">
        <v>979</v>
      </c>
      <c r="D20" t="s">
        <v>980</v>
      </c>
      <c r="E20" s="213">
        <v>0.3</v>
      </c>
      <c r="F20" s="11">
        <v>18539</v>
      </c>
      <c r="G20" s="293"/>
      <c r="H20" s="293"/>
      <c r="I20" s="293"/>
      <c r="J20" s="293">
        <v>34</v>
      </c>
      <c r="K20" s="293"/>
      <c r="L20" s="293"/>
      <c r="M20" s="293"/>
      <c r="N20" s="293"/>
      <c r="O20" s="293">
        <v>2</v>
      </c>
      <c r="S20" s="43" t="s">
        <v>592</v>
      </c>
      <c r="T20" s="17" t="s">
        <v>95</v>
      </c>
      <c r="U20" s="17" t="str">
        <f t="shared" si="0"/>
        <v>Jackson Total</v>
      </c>
      <c r="V20" s="141">
        <f t="shared" si="1"/>
        <v>1</v>
      </c>
    </row>
    <row r="21" spans="1:22">
      <c r="C21" t="s">
        <v>962</v>
      </c>
      <c r="D21" t="s">
        <v>981</v>
      </c>
      <c r="E21" s="213">
        <v>0.05</v>
      </c>
      <c r="F21" s="11">
        <v>76958</v>
      </c>
      <c r="G21" s="293"/>
      <c r="H21" s="293"/>
      <c r="I21" s="293"/>
      <c r="J21" s="293">
        <v>1721</v>
      </c>
      <c r="K21" s="293"/>
      <c r="L21" s="293"/>
      <c r="M21" s="293"/>
      <c r="N21" s="293"/>
      <c r="O21" s="293">
        <v>2</v>
      </c>
      <c r="S21" s="43" t="s">
        <v>592</v>
      </c>
      <c r="T21" s="17" t="s">
        <v>96</v>
      </c>
      <c r="U21" s="17" t="str">
        <f t="shared" si="0"/>
        <v>Jefferson Total</v>
      </c>
      <c r="V21" s="141">
        <f t="shared" si="1"/>
        <v>2</v>
      </c>
    </row>
    <row r="22" spans="1:22">
      <c r="C22" t="s">
        <v>956</v>
      </c>
      <c r="D22" t="s">
        <v>957</v>
      </c>
      <c r="E22" s="213">
        <v>0.8</v>
      </c>
      <c r="F22" s="11">
        <v>15673</v>
      </c>
      <c r="G22" s="293"/>
      <c r="H22" s="293"/>
      <c r="I22" s="293"/>
      <c r="J22" s="293">
        <v>76</v>
      </c>
      <c r="K22" s="293"/>
      <c r="L22" s="293"/>
      <c r="M22" s="293"/>
      <c r="N22" s="293"/>
      <c r="O22" s="293"/>
      <c r="S22" s="43" t="s">
        <v>592</v>
      </c>
      <c r="T22" s="17" t="s">
        <v>97</v>
      </c>
      <c r="U22" s="17" t="str">
        <f t="shared" si="0"/>
        <v>Josephine Total</v>
      </c>
      <c r="V22" s="141">
        <f t="shared" si="1"/>
        <v>0</v>
      </c>
    </row>
    <row r="23" spans="1:22">
      <c r="B23" t="s">
        <v>848</v>
      </c>
      <c r="F23" s="11">
        <v>272460</v>
      </c>
      <c r="G23" s="293"/>
      <c r="H23" s="293"/>
      <c r="I23" s="293"/>
      <c r="J23" s="293">
        <v>1950</v>
      </c>
      <c r="K23" s="293"/>
      <c r="L23" s="293"/>
      <c r="M23" s="293"/>
      <c r="N23" s="293"/>
      <c r="O23" s="293">
        <v>4</v>
      </c>
      <c r="S23" s="43" t="s">
        <v>592</v>
      </c>
      <c r="T23" s="17" t="s">
        <v>98</v>
      </c>
      <c r="U23" s="17" t="str">
        <f t="shared" si="0"/>
        <v>Klamath Total</v>
      </c>
      <c r="V23" s="141">
        <f t="shared" si="1"/>
        <v>0</v>
      </c>
    </row>
    <row r="24" spans="1:22">
      <c r="B24" t="s">
        <v>169</v>
      </c>
      <c r="C24" t="s">
        <v>866</v>
      </c>
      <c r="D24" t="s">
        <v>867</v>
      </c>
      <c r="E24" s="213">
        <v>1</v>
      </c>
      <c r="F24" s="11">
        <v>960</v>
      </c>
      <c r="G24" s="293"/>
      <c r="H24" s="293"/>
      <c r="I24" s="293"/>
      <c r="J24" s="293"/>
      <c r="K24" s="293"/>
      <c r="L24" s="293"/>
      <c r="M24" s="293"/>
      <c r="N24" s="293"/>
      <c r="O24" s="293"/>
      <c r="S24" s="43" t="s">
        <v>592</v>
      </c>
      <c r="T24" s="17" t="s">
        <v>99</v>
      </c>
      <c r="U24" s="17" t="str">
        <f t="shared" si="0"/>
        <v>Lake Total</v>
      </c>
      <c r="V24" s="141">
        <f t="shared" si="1"/>
        <v>0</v>
      </c>
    </row>
    <row r="25" spans="1:22">
      <c r="B25" t="s">
        <v>828</v>
      </c>
      <c r="F25" s="11">
        <v>960</v>
      </c>
      <c r="G25" s="293"/>
      <c r="H25" s="293"/>
      <c r="I25" s="293"/>
      <c r="J25" s="293"/>
      <c r="K25" s="293"/>
      <c r="L25" s="293"/>
      <c r="M25" s="293"/>
      <c r="N25" s="293"/>
      <c r="O25" s="293"/>
      <c r="S25" s="43" t="s">
        <v>592</v>
      </c>
      <c r="T25" s="17" t="s">
        <v>100</v>
      </c>
      <c r="U25" s="17" t="str">
        <f t="shared" si="0"/>
        <v>Lane Total</v>
      </c>
      <c r="V25" s="141">
        <f t="shared" si="1"/>
        <v>0</v>
      </c>
    </row>
    <row r="26" spans="1:22">
      <c r="A26" t="s">
        <v>868</v>
      </c>
      <c r="F26" s="11">
        <v>273420</v>
      </c>
      <c r="G26" s="293"/>
      <c r="H26" s="293"/>
      <c r="I26" s="293"/>
      <c r="J26" s="293">
        <v>1950</v>
      </c>
      <c r="K26" s="293"/>
      <c r="L26" s="293"/>
      <c r="M26" s="293"/>
      <c r="N26" s="293"/>
      <c r="O26" s="293">
        <v>4</v>
      </c>
      <c r="S26" s="43" t="s">
        <v>592</v>
      </c>
      <c r="T26" s="17" t="s">
        <v>101</v>
      </c>
      <c r="U26" s="17" t="str">
        <f t="shared" si="0"/>
        <v>Lincoln Total</v>
      </c>
      <c r="V26" s="141">
        <f t="shared" si="1"/>
        <v>0</v>
      </c>
    </row>
    <row r="27" spans="1:22">
      <c r="A27" t="s">
        <v>114</v>
      </c>
      <c r="B27" t="s">
        <v>847</v>
      </c>
      <c r="C27" t="s">
        <v>946</v>
      </c>
      <c r="D27" t="s">
        <v>947</v>
      </c>
      <c r="E27" s="213">
        <v>0</v>
      </c>
      <c r="F27" s="11">
        <v>53976</v>
      </c>
      <c r="G27" s="293">
        <v>0</v>
      </c>
      <c r="H27" s="293">
        <v>5</v>
      </c>
      <c r="I27" s="293">
        <v>17</v>
      </c>
      <c r="J27" s="293"/>
      <c r="K27" s="293"/>
      <c r="L27" s="293"/>
      <c r="M27" s="293">
        <v>3</v>
      </c>
      <c r="N27" s="293"/>
      <c r="O27" s="293"/>
      <c r="S27" s="43" t="s">
        <v>592</v>
      </c>
      <c r="T27" s="17" t="s">
        <v>102</v>
      </c>
      <c r="U27" s="17" t="str">
        <f t="shared" si="0"/>
        <v>Linn Total</v>
      </c>
      <c r="V27" s="141">
        <f t="shared" si="1"/>
        <v>0</v>
      </c>
    </row>
    <row r="28" spans="1:22">
      <c r="C28" t="s">
        <v>926</v>
      </c>
      <c r="D28" t="s">
        <v>889</v>
      </c>
      <c r="E28" s="213">
        <v>0.31</v>
      </c>
      <c r="F28" s="11">
        <v>208759</v>
      </c>
      <c r="G28" s="293">
        <v>4</v>
      </c>
      <c r="H28" s="293">
        <v>0</v>
      </c>
      <c r="I28" s="293">
        <v>9</v>
      </c>
      <c r="J28" s="293"/>
      <c r="K28" s="293"/>
      <c r="L28" s="293"/>
      <c r="M28" s="293"/>
      <c r="N28" s="293"/>
      <c r="O28" s="293"/>
      <c r="S28" s="43" t="s">
        <v>592</v>
      </c>
      <c r="T28" s="17" t="s">
        <v>103</v>
      </c>
      <c r="U28" s="17" t="str">
        <f t="shared" si="0"/>
        <v>Malheur Total</v>
      </c>
      <c r="V28" s="141">
        <f t="shared" si="1"/>
        <v>0</v>
      </c>
    </row>
    <row r="29" spans="1:22">
      <c r="B29" t="s">
        <v>848</v>
      </c>
      <c r="F29" s="11">
        <v>262735</v>
      </c>
      <c r="G29" s="293">
        <v>4</v>
      </c>
      <c r="H29" s="293">
        <v>5</v>
      </c>
      <c r="I29" s="293">
        <v>26</v>
      </c>
      <c r="J29" s="293"/>
      <c r="K29" s="293"/>
      <c r="L29" s="293"/>
      <c r="M29" s="293">
        <v>3</v>
      </c>
      <c r="N29" s="293"/>
      <c r="O29" s="293"/>
      <c r="S29" s="43" t="s">
        <v>592</v>
      </c>
      <c r="T29" s="17" t="s">
        <v>104</v>
      </c>
      <c r="U29" s="17" t="str">
        <f t="shared" si="0"/>
        <v>Marion Total</v>
      </c>
      <c r="V29" s="141">
        <f t="shared" si="1"/>
        <v>0</v>
      </c>
    </row>
    <row r="30" spans="1:22">
      <c r="A30" t="s">
        <v>890</v>
      </c>
      <c r="F30" s="11">
        <v>262735</v>
      </c>
      <c r="G30" s="293">
        <v>4</v>
      </c>
      <c r="H30" s="293">
        <v>5</v>
      </c>
      <c r="I30" s="293">
        <v>26</v>
      </c>
      <c r="J30" s="293"/>
      <c r="K30" s="293"/>
      <c r="L30" s="293"/>
      <c r="M30" s="293">
        <v>3</v>
      </c>
      <c r="N30" s="293"/>
      <c r="O30" s="293"/>
      <c r="S30" s="43" t="s">
        <v>592</v>
      </c>
      <c r="T30" s="17" t="s">
        <v>105</v>
      </c>
      <c r="U30" s="17" t="str">
        <f t="shared" si="0"/>
        <v>Morrow Total</v>
      </c>
      <c r="V30" s="141">
        <f t="shared" si="1"/>
        <v>0</v>
      </c>
    </row>
    <row r="31" spans="1:22">
      <c r="A31" t="s">
        <v>92</v>
      </c>
      <c r="B31" t="s">
        <v>847</v>
      </c>
      <c r="C31" t="s">
        <v>927</v>
      </c>
      <c r="D31" t="s">
        <v>925</v>
      </c>
      <c r="E31" s="213">
        <v>0.6</v>
      </c>
      <c r="F31" s="11">
        <v>181821</v>
      </c>
      <c r="G31" s="293">
        <v>217</v>
      </c>
      <c r="H31" s="293">
        <v>95</v>
      </c>
      <c r="I31" s="293">
        <v>0</v>
      </c>
      <c r="J31" s="293"/>
      <c r="K31" s="293"/>
      <c r="L31" s="293"/>
      <c r="M31" s="293">
        <v>13</v>
      </c>
      <c r="N31" s="293"/>
      <c r="O31" s="293">
        <v>5</v>
      </c>
      <c r="S31" s="43" t="s">
        <v>592</v>
      </c>
      <c r="T31" s="17" t="s">
        <v>106</v>
      </c>
      <c r="U31" s="17" t="str">
        <f t="shared" si="0"/>
        <v>Multnomah Total</v>
      </c>
      <c r="V31" s="141">
        <f t="shared" si="1"/>
        <v>0</v>
      </c>
    </row>
    <row r="32" spans="1:22">
      <c r="B32" t="s">
        <v>848</v>
      </c>
      <c r="F32" s="11">
        <v>181821</v>
      </c>
      <c r="G32" s="293">
        <v>217</v>
      </c>
      <c r="H32" s="293">
        <v>95</v>
      </c>
      <c r="I32" s="293">
        <v>0</v>
      </c>
      <c r="J32" s="293"/>
      <c r="K32" s="293"/>
      <c r="L32" s="293"/>
      <c r="M32" s="293">
        <v>13</v>
      </c>
      <c r="N32" s="293"/>
      <c r="O32" s="293">
        <v>5</v>
      </c>
      <c r="S32" s="43" t="s">
        <v>592</v>
      </c>
      <c r="T32" s="17" t="s">
        <v>107</v>
      </c>
      <c r="U32" s="17" t="str">
        <f t="shared" si="0"/>
        <v>Polk Total</v>
      </c>
      <c r="V32" s="141">
        <f t="shared" si="1"/>
        <v>0</v>
      </c>
    </row>
    <row r="33" spans="1:25">
      <c r="B33" t="s">
        <v>169</v>
      </c>
      <c r="C33" t="s">
        <v>986</v>
      </c>
      <c r="D33" t="s">
        <v>838</v>
      </c>
      <c r="E33" s="213">
        <v>1</v>
      </c>
      <c r="F33" s="11">
        <v>450</v>
      </c>
      <c r="G33" s="293"/>
      <c r="H33" s="293"/>
      <c r="I33" s="293"/>
      <c r="J33" s="293"/>
      <c r="K33" s="293"/>
      <c r="L33" s="293"/>
      <c r="M33" s="293"/>
      <c r="N33" s="293"/>
      <c r="O33" s="293"/>
      <c r="S33" s="43" t="s">
        <v>592</v>
      </c>
      <c r="T33" s="17" t="s">
        <v>108</v>
      </c>
      <c r="U33" s="17" t="str">
        <f t="shared" si="0"/>
        <v>Sherman Total</v>
      </c>
      <c r="V33" s="141">
        <f t="shared" si="1"/>
        <v>0</v>
      </c>
      <c r="X33">
        <f>A2</f>
        <v>2026</v>
      </c>
      <c r="Y33" t="s">
        <v>617</v>
      </c>
    </row>
    <row r="34" spans="1:25">
      <c r="C34" t="s">
        <v>983</v>
      </c>
      <c r="D34" t="s">
        <v>857</v>
      </c>
      <c r="E34" s="213">
        <v>1</v>
      </c>
      <c r="F34" s="11">
        <v>440</v>
      </c>
      <c r="G34" s="293"/>
      <c r="H34" s="293"/>
      <c r="I34" s="293"/>
      <c r="J34" s="293"/>
      <c r="K34" s="293"/>
      <c r="L34" s="293"/>
      <c r="M34" s="293"/>
      <c r="N34" s="293"/>
      <c r="O34" s="293"/>
      <c r="S34" s="43" t="s">
        <v>592</v>
      </c>
      <c r="T34" s="17" t="s">
        <v>65</v>
      </c>
      <c r="U34" s="17" t="str">
        <f t="shared" si="0"/>
        <v>Tillamook Total</v>
      </c>
      <c r="V34" s="141">
        <f t="shared" si="1"/>
        <v>0</v>
      </c>
      <c r="X34" t="str">
        <f>CONCATENATE(X33,Y33,"                               ",X38)</f>
        <v>2026 Wildfire damage by County                                Homes destroyed:     26</v>
      </c>
    </row>
    <row r="35" spans="1:25">
      <c r="C35" t="s">
        <v>911</v>
      </c>
      <c r="D35" t="s">
        <v>912</v>
      </c>
      <c r="E35" s="213">
        <v>10</v>
      </c>
      <c r="F35" s="11">
        <v>640</v>
      </c>
      <c r="G35" s="293">
        <v>15</v>
      </c>
      <c r="H35" s="293"/>
      <c r="I35" s="293"/>
      <c r="J35" s="293"/>
      <c r="K35" s="293"/>
      <c r="L35" s="293"/>
      <c r="M35" s="293"/>
      <c r="N35" s="293"/>
      <c r="O35" s="293"/>
      <c r="S35" s="43" t="s">
        <v>592</v>
      </c>
      <c r="T35" s="17" t="s">
        <v>109</v>
      </c>
      <c r="U35" s="17" t="str">
        <f t="shared" si="0"/>
        <v>Umatilla Total</v>
      </c>
      <c r="V35" s="141">
        <f t="shared" si="1"/>
        <v>6</v>
      </c>
    </row>
    <row r="36" spans="1:25">
      <c r="B36" t="s">
        <v>828</v>
      </c>
      <c r="F36" s="11">
        <v>1530</v>
      </c>
      <c r="G36" s="293">
        <v>15</v>
      </c>
      <c r="H36" s="293"/>
      <c r="I36" s="293"/>
      <c r="J36" s="293"/>
      <c r="K36" s="293"/>
      <c r="L36" s="293"/>
      <c r="M36" s="293"/>
      <c r="N36" s="293"/>
      <c r="O36" s="293"/>
      <c r="S36" s="43" t="s">
        <v>592</v>
      </c>
      <c r="T36" s="17" t="s">
        <v>110</v>
      </c>
      <c r="U36" s="17" t="str">
        <f t="shared" si="0"/>
        <v>Union Total</v>
      </c>
      <c r="V36" s="141">
        <f t="shared" si="1"/>
        <v>0</v>
      </c>
    </row>
    <row r="37" spans="1:25">
      <c r="A37" t="s">
        <v>839</v>
      </c>
      <c r="F37" s="11">
        <v>183351</v>
      </c>
      <c r="G37" s="293">
        <v>232</v>
      </c>
      <c r="H37" s="293">
        <v>95</v>
      </c>
      <c r="I37" s="293">
        <v>0</v>
      </c>
      <c r="J37" s="293"/>
      <c r="K37" s="293"/>
      <c r="L37" s="293"/>
      <c r="M37" s="293">
        <v>13</v>
      </c>
      <c r="N37" s="293"/>
      <c r="O37" s="293">
        <v>5</v>
      </c>
      <c r="S37" s="43" t="s">
        <v>592</v>
      </c>
      <c r="T37" s="17" t="s">
        <v>111</v>
      </c>
      <c r="U37" s="17" t="str">
        <f t="shared" si="0"/>
        <v>Wallowa Total</v>
      </c>
      <c r="V37" s="141">
        <f t="shared" si="1"/>
        <v>0</v>
      </c>
      <c r="X37" s="139">
        <f>V43</f>
        <v>26</v>
      </c>
      <c r="Y37" t="s">
        <v>597</v>
      </c>
    </row>
    <row r="38" spans="1:25">
      <c r="A38" t="s">
        <v>96</v>
      </c>
      <c r="B38" t="s">
        <v>847</v>
      </c>
      <c r="C38" t="s">
        <v>907</v>
      </c>
      <c r="D38" t="s">
        <v>895</v>
      </c>
      <c r="E38" s="213">
        <v>0.05</v>
      </c>
      <c r="F38" s="11">
        <v>27222</v>
      </c>
      <c r="G38" s="293">
        <v>3898</v>
      </c>
      <c r="H38" s="293">
        <v>396</v>
      </c>
      <c r="I38" s="293">
        <v>460</v>
      </c>
      <c r="J38" s="293">
        <v>4812</v>
      </c>
      <c r="K38" s="293"/>
      <c r="L38" s="293"/>
      <c r="M38" s="293">
        <v>2</v>
      </c>
      <c r="N38" s="293"/>
      <c r="O38" s="293"/>
      <c r="S38" s="43" t="s">
        <v>592</v>
      </c>
      <c r="T38" s="17" t="s">
        <v>112</v>
      </c>
      <c r="U38" s="17" t="str">
        <f t="shared" si="0"/>
        <v>Wasco Total</v>
      </c>
      <c r="V38" s="141">
        <f t="shared" si="1"/>
        <v>0</v>
      </c>
      <c r="X38" t="str">
        <f>CONCATENATE(Y37,X37)</f>
        <v xml:space="preserve"> Homes destroyed:     26</v>
      </c>
    </row>
    <row r="39" spans="1:25">
      <c r="C39" t="s">
        <v>944</v>
      </c>
      <c r="D39" t="s">
        <v>945</v>
      </c>
      <c r="E39" s="213">
        <v>0.77</v>
      </c>
      <c r="F39" s="11">
        <v>4834</v>
      </c>
      <c r="G39" s="293"/>
      <c r="H39" s="293"/>
      <c r="I39" s="293"/>
      <c r="J39" s="293">
        <v>30</v>
      </c>
      <c r="K39" s="293"/>
      <c r="L39" s="293"/>
      <c r="M39" s="293"/>
      <c r="N39" s="293"/>
      <c r="O39" s="293"/>
      <c r="S39" s="43" t="s">
        <v>592</v>
      </c>
      <c r="T39" s="17" t="s">
        <v>113</v>
      </c>
      <c r="U39" s="17" t="str">
        <f t="shared" si="0"/>
        <v>Washington Total</v>
      </c>
      <c r="V39" s="141">
        <f t="shared" si="1"/>
        <v>0</v>
      </c>
    </row>
    <row r="40" spans="1:25">
      <c r="C40" t="s">
        <v>970</v>
      </c>
      <c r="D40" t="s">
        <v>971</v>
      </c>
      <c r="E40" s="213">
        <v>0</v>
      </c>
      <c r="F40" s="11">
        <v>13648</v>
      </c>
      <c r="G40" s="293"/>
      <c r="H40" s="293"/>
      <c r="I40" s="293"/>
      <c r="J40" s="293"/>
      <c r="K40" s="293">
        <v>44</v>
      </c>
      <c r="L40" s="293"/>
      <c r="M40" s="293"/>
      <c r="N40" s="293"/>
      <c r="O40" s="293"/>
      <c r="S40" s="43" t="s">
        <v>592</v>
      </c>
      <c r="T40" s="17" t="s">
        <v>114</v>
      </c>
      <c r="U40" s="17" t="str">
        <f t="shared" si="0"/>
        <v>Wheeler Total</v>
      </c>
      <c r="V40" s="141">
        <f t="shared" si="1"/>
        <v>3</v>
      </c>
    </row>
    <row r="41" spans="1:25">
      <c r="C41" t="s">
        <v>950</v>
      </c>
      <c r="D41" t="s">
        <v>951</v>
      </c>
      <c r="E41" s="213">
        <v>0</v>
      </c>
      <c r="F41" s="11">
        <v>20180</v>
      </c>
      <c r="G41" s="293">
        <v>609</v>
      </c>
      <c r="H41" s="293">
        <v>327</v>
      </c>
      <c r="I41" s="293">
        <v>120</v>
      </c>
      <c r="J41" s="293">
        <v>18</v>
      </c>
      <c r="K41" s="293"/>
      <c r="L41" s="293"/>
      <c r="M41" s="293"/>
      <c r="N41" s="293"/>
      <c r="O41" s="293"/>
      <c r="S41" s="43" t="s">
        <v>592</v>
      </c>
      <c r="T41" s="17" t="s">
        <v>115</v>
      </c>
      <c r="U41" s="17" t="str">
        <f t="shared" si="0"/>
        <v>Yamhill Total</v>
      </c>
      <c r="V41" s="141">
        <f t="shared" si="1"/>
        <v>0</v>
      </c>
    </row>
    <row r="42" spans="1:25">
      <c r="C42" t="s">
        <v>896</v>
      </c>
      <c r="D42" t="s">
        <v>897</v>
      </c>
      <c r="E42" s="213">
        <v>0.05</v>
      </c>
      <c r="F42" s="11">
        <v>51308</v>
      </c>
      <c r="G42" s="293">
        <v>126</v>
      </c>
      <c r="H42" s="293">
        <v>335</v>
      </c>
      <c r="I42" s="293">
        <v>75</v>
      </c>
      <c r="J42" s="293">
        <v>1784</v>
      </c>
      <c r="K42" s="293"/>
      <c r="L42" s="293"/>
      <c r="M42" s="293"/>
      <c r="N42" s="293"/>
      <c r="O42" s="293">
        <v>15</v>
      </c>
    </row>
    <row r="43" spans="1:25">
      <c r="C43" t="s">
        <v>915</v>
      </c>
      <c r="D43" t="s">
        <v>916</v>
      </c>
      <c r="E43" s="213">
        <v>0</v>
      </c>
      <c r="F43" s="11">
        <v>3015</v>
      </c>
      <c r="G43" s="293">
        <v>18</v>
      </c>
      <c r="H43" s="293"/>
      <c r="I43" s="293"/>
      <c r="J43" s="293">
        <v>46</v>
      </c>
      <c r="K43" s="293"/>
      <c r="L43" s="293"/>
      <c r="M43" s="293"/>
      <c r="N43" s="293"/>
      <c r="O43" s="293"/>
      <c r="V43" s="12">
        <f>SUBTOTAL(9,V6:V41)</f>
        <v>26</v>
      </c>
    </row>
    <row r="44" spans="1:25">
      <c r="B44" t="s">
        <v>848</v>
      </c>
      <c r="F44" s="11">
        <v>120207</v>
      </c>
      <c r="G44" s="293">
        <v>4651</v>
      </c>
      <c r="H44" s="293">
        <v>1058</v>
      </c>
      <c r="I44" s="293">
        <v>655</v>
      </c>
      <c r="J44" s="293">
        <v>6690</v>
      </c>
      <c r="K44" s="293">
        <v>44</v>
      </c>
      <c r="L44" s="293"/>
      <c r="M44" s="293">
        <v>2</v>
      </c>
      <c r="N44" s="293"/>
      <c r="O44" s="293">
        <v>15</v>
      </c>
    </row>
    <row r="45" spans="1:25">
      <c r="A45" t="s">
        <v>903</v>
      </c>
      <c r="F45" s="11">
        <v>120207</v>
      </c>
      <c r="G45" s="293">
        <v>4651</v>
      </c>
      <c r="H45" s="293">
        <v>1058</v>
      </c>
      <c r="I45" s="293">
        <v>655</v>
      </c>
      <c r="J45" s="293">
        <v>6690</v>
      </c>
      <c r="K45" s="293">
        <v>44</v>
      </c>
      <c r="L45" s="293"/>
      <c r="M45" s="293">
        <v>2</v>
      </c>
      <c r="N45" s="293"/>
      <c r="O45" s="293">
        <v>15</v>
      </c>
    </row>
    <row r="46" spans="1:25">
      <c r="A46" t="s">
        <v>88</v>
      </c>
      <c r="B46" t="s">
        <v>847</v>
      </c>
      <c r="C46" t="s">
        <v>909</v>
      </c>
      <c r="D46" t="s">
        <v>899</v>
      </c>
      <c r="E46" s="213">
        <v>0.35</v>
      </c>
      <c r="F46" s="11">
        <v>28827</v>
      </c>
      <c r="G46" s="293"/>
      <c r="H46" s="293"/>
      <c r="I46" s="293"/>
      <c r="J46" s="293">
        <v>8</v>
      </c>
      <c r="K46" s="293"/>
      <c r="L46" s="293"/>
      <c r="M46" s="293"/>
      <c r="N46" s="293"/>
      <c r="O46" s="293"/>
    </row>
    <row r="47" spans="1:25">
      <c r="C47" t="s">
        <v>910</v>
      </c>
      <c r="D47" t="s">
        <v>898</v>
      </c>
      <c r="E47" s="213">
        <v>0.56999999999999995</v>
      </c>
      <c r="F47" s="11">
        <v>17447</v>
      </c>
      <c r="G47" s="293"/>
      <c r="H47" s="293"/>
      <c r="I47" s="293"/>
      <c r="J47" s="293">
        <v>100</v>
      </c>
      <c r="K47" s="293"/>
      <c r="L47" s="293"/>
      <c r="M47" s="293"/>
      <c r="N47" s="293"/>
      <c r="O47" s="293"/>
    </row>
    <row r="48" spans="1:25">
      <c r="C48" t="s">
        <v>965</v>
      </c>
      <c r="D48" t="s">
        <v>685</v>
      </c>
      <c r="E48" s="213">
        <v>0</v>
      </c>
      <c r="F48" s="11">
        <v>2136</v>
      </c>
      <c r="G48" s="293"/>
      <c r="H48" s="293"/>
      <c r="I48" s="293"/>
      <c r="J48" s="293"/>
      <c r="K48" s="293"/>
      <c r="L48" s="293"/>
      <c r="M48" s="293"/>
      <c r="N48" s="293"/>
      <c r="O48" s="293"/>
    </row>
    <row r="49" spans="1:15">
      <c r="B49" t="s">
        <v>848</v>
      </c>
      <c r="F49" s="11">
        <v>48410</v>
      </c>
      <c r="G49" s="293"/>
      <c r="H49" s="293"/>
      <c r="I49" s="293"/>
      <c r="J49" s="293">
        <v>108</v>
      </c>
      <c r="K49" s="293"/>
      <c r="L49" s="293"/>
      <c r="M49" s="293"/>
      <c r="N49" s="293"/>
      <c r="O49" s="293"/>
    </row>
    <row r="50" spans="1:15">
      <c r="B50" t="s">
        <v>169</v>
      </c>
      <c r="C50" t="s">
        <v>908</v>
      </c>
      <c r="D50" t="s">
        <v>936</v>
      </c>
      <c r="E50" s="213">
        <v>1</v>
      </c>
      <c r="F50" s="11">
        <v>350</v>
      </c>
      <c r="G50" s="293"/>
      <c r="H50" s="293"/>
      <c r="I50" s="293"/>
      <c r="J50" s="293"/>
      <c r="K50" s="293"/>
      <c r="L50" s="293"/>
      <c r="M50" s="293"/>
      <c r="N50" s="293"/>
      <c r="O50" s="293"/>
    </row>
    <row r="51" spans="1:15">
      <c r="B51" t="s">
        <v>828</v>
      </c>
      <c r="F51" s="11">
        <v>350</v>
      </c>
      <c r="G51" s="293"/>
      <c r="H51" s="293"/>
      <c r="I51" s="293"/>
      <c r="J51" s="293"/>
      <c r="K51" s="293"/>
      <c r="L51" s="293"/>
      <c r="M51" s="293"/>
      <c r="N51" s="293"/>
      <c r="O51" s="293"/>
    </row>
    <row r="52" spans="1:15">
      <c r="A52" t="s">
        <v>904</v>
      </c>
      <c r="F52" s="11">
        <v>48760</v>
      </c>
      <c r="G52" s="293"/>
      <c r="H52" s="293"/>
      <c r="I52" s="293"/>
      <c r="J52" s="293">
        <v>108</v>
      </c>
      <c r="K52" s="293"/>
      <c r="L52" s="293"/>
      <c r="M52" s="293"/>
      <c r="N52" s="293"/>
      <c r="O52" s="293"/>
    </row>
    <row r="53" spans="1:15">
      <c r="A53" t="s">
        <v>109</v>
      </c>
      <c r="B53" t="s">
        <v>847</v>
      </c>
      <c r="C53" t="s">
        <v>918</v>
      </c>
      <c r="D53" t="s">
        <v>919</v>
      </c>
      <c r="E53" s="213">
        <v>0</v>
      </c>
      <c r="F53" s="11">
        <v>24038</v>
      </c>
      <c r="G53" s="293"/>
      <c r="H53" s="293"/>
      <c r="I53" s="293"/>
      <c r="J53" s="293">
        <v>1467</v>
      </c>
      <c r="K53" s="293"/>
      <c r="L53" s="293"/>
      <c r="M53" s="293"/>
      <c r="N53" s="293"/>
      <c r="O53" s="293"/>
    </row>
    <row r="54" spans="1:15">
      <c r="C54" t="s">
        <v>906</v>
      </c>
      <c r="D54" t="s">
        <v>934</v>
      </c>
      <c r="E54" s="213">
        <v>0.6</v>
      </c>
      <c r="F54" s="11">
        <v>831</v>
      </c>
      <c r="G54" s="293"/>
      <c r="H54" s="293"/>
      <c r="I54" s="293"/>
      <c r="J54" s="293">
        <v>60</v>
      </c>
      <c r="K54" s="293"/>
      <c r="L54" s="293"/>
      <c r="M54" s="293"/>
      <c r="N54" s="293"/>
      <c r="O54" s="293"/>
    </row>
    <row r="55" spans="1:15">
      <c r="C55" t="s">
        <v>861</v>
      </c>
      <c r="D55" t="s">
        <v>862</v>
      </c>
      <c r="E55" s="213">
        <v>0.96</v>
      </c>
      <c r="F55" s="11">
        <v>4887</v>
      </c>
      <c r="G55" s="293">
        <v>21</v>
      </c>
      <c r="H55" s="293">
        <v>0</v>
      </c>
      <c r="I55" s="293">
        <v>0</v>
      </c>
      <c r="J55" s="293"/>
      <c r="K55" s="293"/>
      <c r="L55" s="293"/>
      <c r="M55" s="293"/>
      <c r="N55" s="293"/>
      <c r="O55" s="293"/>
    </row>
    <row r="56" spans="1:15">
      <c r="B56" t="s">
        <v>848</v>
      </c>
      <c r="F56" s="11">
        <v>29756</v>
      </c>
      <c r="G56" s="293">
        <v>21</v>
      </c>
      <c r="H56" s="293">
        <v>0</v>
      </c>
      <c r="I56" s="293">
        <v>0</v>
      </c>
      <c r="J56" s="293">
        <v>1527</v>
      </c>
      <c r="K56" s="293"/>
      <c r="L56" s="293"/>
      <c r="M56" s="293"/>
      <c r="N56" s="293"/>
      <c r="O56" s="293"/>
    </row>
    <row r="57" spans="1:15">
      <c r="B57" t="s">
        <v>169</v>
      </c>
      <c r="C57" t="s">
        <v>854</v>
      </c>
      <c r="D57" t="s">
        <v>850</v>
      </c>
      <c r="E57" s="213">
        <v>1</v>
      </c>
      <c r="F57" s="11">
        <v>610</v>
      </c>
      <c r="G57" s="293"/>
      <c r="H57" s="293"/>
      <c r="I57" s="293"/>
      <c r="J57" s="293"/>
      <c r="K57" s="293"/>
      <c r="L57" s="293"/>
      <c r="M57" s="293"/>
      <c r="N57" s="293"/>
      <c r="O57" s="293"/>
    </row>
    <row r="58" spans="1:15">
      <c r="C58" t="s">
        <v>849</v>
      </c>
      <c r="D58" t="s">
        <v>850</v>
      </c>
      <c r="E58" s="213">
        <v>1</v>
      </c>
      <c r="F58" s="11">
        <v>1495</v>
      </c>
      <c r="G58" s="293">
        <v>0</v>
      </c>
      <c r="H58" s="293"/>
      <c r="I58" s="293"/>
      <c r="J58" s="293"/>
      <c r="K58" s="293"/>
      <c r="L58" s="293"/>
      <c r="M58" s="293"/>
      <c r="N58" s="293"/>
      <c r="O58" s="293"/>
    </row>
    <row r="59" spans="1:15">
      <c r="B59" t="s">
        <v>828</v>
      </c>
      <c r="F59" s="11">
        <v>2105</v>
      </c>
      <c r="G59" s="293">
        <v>0</v>
      </c>
      <c r="H59" s="293"/>
      <c r="I59" s="293"/>
      <c r="J59" s="293"/>
      <c r="K59" s="293"/>
      <c r="L59" s="293"/>
      <c r="M59" s="293"/>
      <c r="N59" s="293"/>
      <c r="O59" s="293"/>
    </row>
    <row r="60" spans="1:15">
      <c r="B60" t="s">
        <v>634</v>
      </c>
      <c r="C60" t="s">
        <v>931</v>
      </c>
      <c r="D60" t="s">
        <v>932</v>
      </c>
      <c r="E60" s="213">
        <v>1</v>
      </c>
      <c r="F60" s="11">
        <v>8096</v>
      </c>
      <c r="G60" s="293"/>
      <c r="H60" s="293"/>
      <c r="I60" s="293"/>
      <c r="J60" s="293"/>
      <c r="K60" s="293"/>
      <c r="L60" s="293"/>
      <c r="M60" s="293">
        <v>6</v>
      </c>
      <c r="N60" s="293"/>
      <c r="O60" s="293">
        <v>40</v>
      </c>
    </row>
    <row r="61" spans="1:15">
      <c r="B61" t="s">
        <v>959</v>
      </c>
      <c r="F61" s="11">
        <v>8096</v>
      </c>
      <c r="G61" s="293"/>
      <c r="H61" s="293"/>
      <c r="I61" s="293"/>
      <c r="J61" s="293"/>
      <c r="K61" s="293"/>
      <c r="L61" s="293"/>
      <c r="M61" s="293">
        <v>6</v>
      </c>
      <c r="N61" s="293"/>
      <c r="O61" s="293">
        <v>40</v>
      </c>
    </row>
    <row r="62" spans="1:15">
      <c r="A62" t="s">
        <v>852</v>
      </c>
      <c r="F62" s="11">
        <v>39957</v>
      </c>
      <c r="G62" s="293">
        <v>21</v>
      </c>
      <c r="H62" s="293">
        <v>0</v>
      </c>
      <c r="I62" s="293">
        <v>0</v>
      </c>
      <c r="J62" s="293">
        <v>1527</v>
      </c>
      <c r="K62" s="293"/>
      <c r="L62" s="293"/>
      <c r="M62" s="293">
        <v>6</v>
      </c>
      <c r="N62" s="293"/>
      <c r="O62" s="293">
        <v>40</v>
      </c>
    </row>
    <row r="63" spans="1:15">
      <c r="A63" t="s">
        <v>93</v>
      </c>
      <c r="B63" t="s">
        <v>847</v>
      </c>
      <c r="C63" t="s">
        <v>913</v>
      </c>
      <c r="D63" t="s">
        <v>914</v>
      </c>
      <c r="E63" s="213">
        <v>0.44</v>
      </c>
      <c r="F63" s="11">
        <v>2425</v>
      </c>
      <c r="G63" s="293"/>
      <c r="H63" s="293"/>
      <c r="I63" s="293"/>
      <c r="J63" s="293">
        <v>5</v>
      </c>
      <c r="K63" s="293"/>
      <c r="L63" s="293"/>
      <c r="M63" s="293">
        <v>1</v>
      </c>
      <c r="N63" s="293"/>
      <c r="O63" s="293"/>
    </row>
    <row r="64" spans="1:15">
      <c r="C64" t="s">
        <v>975</v>
      </c>
      <c r="D64" t="s">
        <v>976</v>
      </c>
      <c r="E64" s="213">
        <v>0</v>
      </c>
      <c r="F64" s="11">
        <v>26445</v>
      </c>
      <c r="G64" s="293"/>
      <c r="H64" s="293"/>
      <c r="I64" s="293"/>
      <c r="J64" s="293"/>
      <c r="K64" s="293"/>
      <c r="L64" s="293"/>
      <c r="M64" s="293"/>
      <c r="N64" s="293"/>
      <c r="O64" s="293"/>
    </row>
    <row r="65" spans="1:15">
      <c r="C65" t="s">
        <v>876</v>
      </c>
      <c r="D65" t="s">
        <v>872</v>
      </c>
      <c r="E65" s="213">
        <v>0.6</v>
      </c>
      <c r="F65" s="11">
        <v>3054</v>
      </c>
      <c r="G65" s="293">
        <v>0</v>
      </c>
      <c r="H65" s="293">
        <v>99</v>
      </c>
      <c r="I65" s="293">
        <v>27</v>
      </c>
      <c r="J65" s="293">
        <v>38</v>
      </c>
      <c r="K65" s="293"/>
      <c r="L65" s="293"/>
      <c r="M65" s="293"/>
      <c r="N65" s="293"/>
      <c r="O65" s="293"/>
    </row>
    <row r="66" spans="1:15">
      <c r="C66" t="s">
        <v>871</v>
      </c>
      <c r="D66" t="s">
        <v>872</v>
      </c>
      <c r="E66" s="213">
        <v>0.6</v>
      </c>
      <c r="F66" s="11">
        <v>1426</v>
      </c>
      <c r="G66" s="293">
        <v>0</v>
      </c>
      <c r="H66" s="293">
        <v>20</v>
      </c>
      <c r="I66" s="293">
        <v>0</v>
      </c>
      <c r="J66" s="293">
        <v>38</v>
      </c>
      <c r="K66" s="293"/>
      <c r="L66" s="293"/>
      <c r="M66" s="293"/>
      <c r="N66" s="293"/>
      <c r="O66" s="293">
        <v>2</v>
      </c>
    </row>
    <row r="67" spans="1:15">
      <c r="B67" t="s">
        <v>848</v>
      </c>
      <c r="F67" s="11">
        <v>33350</v>
      </c>
      <c r="G67" s="293">
        <v>0</v>
      </c>
      <c r="H67" s="293">
        <v>119</v>
      </c>
      <c r="I67" s="293">
        <v>27</v>
      </c>
      <c r="J67" s="293">
        <v>81</v>
      </c>
      <c r="K67" s="293"/>
      <c r="L67" s="293"/>
      <c r="M67" s="293">
        <v>1</v>
      </c>
      <c r="N67" s="293"/>
      <c r="O67" s="293">
        <v>2</v>
      </c>
    </row>
    <row r="68" spans="1:15">
      <c r="A68" t="s">
        <v>874</v>
      </c>
      <c r="F68" s="11">
        <v>33350</v>
      </c>
      <c r="G68" s="293">
        <v>0</v>
      </c>
      <c r="H68" s="293">
        <v>119</v>
      </c>
      <c r="I68" s="293">
        <v>27</v>
      </c>
      <c r="J68" s="293">
        <v>81</v>
      </c>
      <c r="K68" s="293"/>
      <c r="L68" s="293"/>
      <c r="M68" s="293">
        <v>1</v>
      </c>
      <c r="N68" s="293"/>
      <c r="O68" s="293">
        <v>2</v>
      </c>
    </row>
    <row r="69" spans="1:15">
      <c r="A69" t="s">
        <v>82</v>
      </c>
      <c r="B69" t="s">
        <v>847</v>
      </c>
      <c r="C69" t="s">
        <v>873</v>
      </c>
      <c r="D69" t="s">
        <v>875</v>
      </c>
      <c r="E69" s="213">
        <v>0.89</v>
      </c>
      <c r="F69" s="11">
        <v>2550</v>
      </c>
      <c r="G69" s="293">
        <v>24</v>
      </c>
      <c r="H69" s="293">
        <v>12</v>
      </c>
      <c r="I69" s="293"/>
      <c r="J69" s="293">
        <v>50</v>
      </c>
      <c r="K69" s="293"/>
      <c r="L69" s="293"/>
      <c r="M69" s="293"/>
      <c r="N69" s="293"/>
      <c r="O69" s="293"/>
    </row>
    <row r="70" spans="1:15">
      <c r="C70" t="s">
        <v>972</v>
      </c>
      <c r="D70" t="s">
        <v>973</v>
      </c>
      <c r="E70" s="213">
        <v>0</v>
      </c>
      <c r="F70" s="11">
        <v>600</v>
      </c>
      <c r="G70" s="293"/>
      <c r="H70" s="293"/>
      <c r="I70" s="293"/>
      <c r="J70" s="293">
        <v>3</v>
      </c>
      <c r="K70" s="293"/>
      <c r="L70" s="293"/>
      <c r="M70" s="293"/>
      <c r="N70" s="293"/>
      <c r="O70" s="293"/>
    </row>
    <row r="71" spans="1:15">
      <c r="C71" t="s">
        <v>900</v>
      </c>
      <c r="D71" t="s">
        <v>935</v>
      </c>
      <c r="E71" s="213">
        <v>0.84</v>
      </c>
      <c r="F71" s="11">
        <v>21026</v>
      </c>
      <c r="G71" s="293"/>
      <c r="H71" s="293"/>
      <c r="I71" s="293"/>
      <c r="J71" s="293">
        <v>3</v>
      </c>
      <c r="K71" s="293"/>
      <c r="L71" s="293"/>
      <c r="M71" s="293"/>
      <c r="N71" s="293"/>
      <c r="O71" s="293"/>
    </row>
    <row r="72" spans="1:15">
      <c r="B72" t="s">
        <v>848</v>
      </c>
      <c r="F72" s="11">
        <v>24176</v>
      </c>
      <c r="G72" s="293">
        <v>24</v>
      </c>
      <c r="H72" s="293">
        <v>12</v>
      </c>
      <c r="I72" s="293"/>
      <c r="J72" s="293">
        <v>56</v>
      </c>
      <c r="K72" s="293"/>
      <c r="L72" s="293"/>
      <c r="M72" s="293"/>
      <c r="N72" s="293"/>
      <c r="O72" s="293"/>
    </row>
    <row r="73" spans="1:15">
      <c r="B73" t="s">
        <v>169</v>
      </c>
      <c r="C73" t="s">
        <v>843</v>
      </c>
      <c r="D73" t="s">
        <v>845</v>
      </c>
      <c r="E73" s="213">
        <v>1</v>
      </c>
      <c r="F73" s="11">
        <v>1938</v>
      </c>
      <c r="G73" s="293"/>
      <c r="H73" s="293"/>
      <c r="I73" s="293"/>
      <c r="J73" s="293"/>
      <c r="K73" s="293"/>
      <c r="L73" s="293"/>
      <c r="M73" s="293"/>
      <c r="N73" s="293"/>
      <c r="O73" s="293"/>
    </row>
    <row r="74" spans="1:15">
      <c r="B74" t="s">
        <v>828</v>
      </c>
      <c r="F74" s="11">
        <v>1938</v>
      </c>
      <c r="G74" s="293"/>
      <c r="H74" s="293"/>
      <c r="I74" s="293"/>
      <c r="J74" s="293"/>
      <c r="K74" s="293"/>
      <c r="L74" s="293"/>
      <c r="M74" s="293"/>
      <c r="N74" s="293"/>
      <c r="O74" s="293"/>
    </row>
    <row r="75" spans="1:15">
      <c r="A75" t="s">
        <v>844</v>
      </c>
      <c r="F75" s="11">
        <v>26114</v>
      </c>
      <c r="G75" s="293">
        <v>24</v>
      </c>
      <c r="H75" s="293">
        <v>12</v>
      </c>
      <c r="I75" s="293"/>
      <c r="J75" s="293">
        <v>56</v>
      </c>
      <c r="K75" s="293"/>
      <c r="L75" s="293"/>
      <c r="M75" s="293"/>
      <c r="N75" s="293"/>
      <c r="O75" s="293"/>
    </row>
    <row r="76" spans="1:15">
      <c r="A76" t="s">
        <v>91</v>
      </c>
      <c r="B76" t="s">
        <v>847</v>
      </c>
      <c r="C76" t="s">
        <v>974</v>
      </c>
      <c r="D76" t="s">
        <v>879</v>
      </c>
      <c r="E76" s="213">
        <v>0</v>
      </c>
      <c r="F76" s="11">
        <v>1400</v>
      </c>
      <c r="G76" s="293"/>
      <c r="H76" s="293"/>
      <c r="I76" s="293"/>
      <c r="J76" s="293"/>
      <c r="K76" s="293"/>
      <c r="L76" s="293"/>
      <c r="M76" s="293"/>
      <c r="N76" s="293"/>
      <c r="O76" s="293"/>
    </row>
    <row r="77" spans="1:15">
      <c r="C77" t="s">
        <v>233</v>
      </c>
      <c r="D77" t="s">
        <v>879</v>
      </c>
      <c r="E77" s="213">
        <v>0</v>
      </c>
      <c r="F77" s="11">
        <v>15000</v>
      </c>
      <c r="G77" s="293"/>
      <c r="H77" s="293"/>
      <c r="I77" s="293"/>
      <c r="J77" s="293">
        <v>800</v>
      </c>
      <c r="K77" s="293"/>
      <c r="L77" s="293"/>
      <c r="M77" s="293"/>
      <c r="N77" s="293"/>
      <c r="O77" s="293"/>
    </row>
    <row r="78" spans="1:15">
      <c r="B78" t="s">
        <v>848</v>
      </c>
      <c r="F78" s="11">
        <v>16400</v>
      </c>
      <c r="G78" s="293"/>
      <c r="H78" s="293"/>
      <c r="I78" s="293"/>
      <c r="J78" s="293">
        <v>800</v>
      </c>
      <c r="K78" s="293"/>
      <c r="L78" s="293"/>
      <c r="M78" s="293"/>
      <c r="N78" s="293"/>
      <c r="O78" s="293"/>
    </row>
    <row r="79" spans="1:15">
      <c r="A79" t="s">
        <v>987</v>
      </c>
      <c r="F79" s="11">
        <v>16400</v>
      </c>
      <c r="G79" s="293"/>
      <c r="H79" s="293"/>
      <c r="I79" s="293"/>
      <c r="J79" s="293">
        <v>800</v>
      </c>
      <c r="K79" s="293"/>
      <c r="L79" s="293"/>
      <c r="M79" s="293"/>
      <c r="N79" s="293"/>
      <c r="O79" s="293"/>
    </row>
    <row r="80" spans="1:15">
      <c r="A80" t="s">
        <v>95</v>
      </c>
      <c r="B80" t="s">
        <v>847</v>
      </c>
      <c r="C80" t="s">
        <v>917</v>
      </c>
      <c r="D80" t="s">
        <v>878</v>
      </c>
      <c r="E80" s="213">
        <v>0.66</v>
      </c>
      <c r="F80" s="11">
        <v>15580</v>
      </c>
      <c r="G80" s="293">
        <v>388</v>
      </c>
      <c r="H80" s="293">
        <v>0</v>
      </c>
      <c r="I80" s="293">
        <v>0</v>
      </c>
      <c r="J80" s="293">
        <v>2347</v>
      </c>
      <c r="K80" s="293"/>
      <c r="L80" s="293"/>
      <c r="M80" s="293">
        <v>1</v>
      </c>
      <c r="N80" s="293"/>
      <c r="O80" s="293">
        <v>6</v>
      </c>
    </row>
    <row r="81" spans="1:15">
      <c r="B81" t="s">
        <v>848</v>
      </c>
      <c r="F81" s="11">
        <v>15580</v>
      </c>
      <c r="G81" s="293">
        <v>388</v>
      </c>
      <c r="H81" s="293">
        <v>0</v>
      </c>
      <c r="I81" s="293">
        <v>0</v>
      </c>
      <c r="J81" s="293">
        <v>2347</v>
      </c>
      <c r="K81" s="293"/>
      <c r="L81" s="293"/>
      <c r="M81" s="293">
        <v>1</v>
      </c>
      <c r="N81" s="293"/>
      <c r="O81" s="293">
        <v>6</v>
      </c>
    </row>
    <row r="82" spans="1:15">
      <c r="B82" t="s">
        <v>169</v>
      </c>
      <c r="C82" t="s">
        <v>833</v>
      </c>
      <c r="D82" t="s">
        <v>836</v>
      </c>
      <c r="E82" s="213">
        <v>1</v>
      </c>
      <c r="F82" s="11">
        <v>48.2</v>
      </c>
      <c r="G82" s="293">
        <v>0</v>
      </c>
      <c r="H82" s="293"/>
      <c r="I82" s="293"/>
      <c r="J82" s="293"/>
      <c r="K82" s="293"/>
      <c r="L82" s="293"/>
      <c r="M82" s="293"/>
      <c r="N82" s="293"/>
      <c r="O82" s="293"/>
    </row>
    <row r="83" spans="1:15">
      <c r="C83" t="s">
        <v>840</v>
      </c>
      <c r="D83" t="s">
        <v>841</v>
      </c>
      <c r="E83" s="213">
        <v>1</v>
      </c>
      <c r="F83" s="11">
        <v>9.8000000000000007</v>
      </c>
      <c r="G83" s="293">
        <v>0</v>
      </c>
      <c r="H83" s="293"/>
      <c r="I83" s="293"/>
      <c r="J83" s="293"/>
      <c r="K83" s="293"/>
      <c r="L83" s="293"/>
      <c r="M83" s="293"/>
      <c r="N83" s="293"/>
      <c r="O83" s="293"/>
    </row>
    <row r="84" spans="1:15">
      <c r="C84" t="s">
        <v>846</v>
      </c>
      <c r="D84" t="s">
        <v>841</v>
      </c>
      <c r="E84" s="213">
        <v>1</v>
      </c>
      <c r="F84" s="11">
        <v>1</v>
      </c>
      <c r="G84" s="293">
        <v>0</v>
      </c>
      <c r="H84" s="293"/>
      <c r="I84" s="293"/>
      <c r="J84" s="293"/>
      <c r="K84" s="293"/>
      <c r="L84" s="293"/>
      <c r="M84" s="293"/>
      <c r="N84" s="293"/>
      <c r="O84" s="293"/>
    </row>
    <row r="85" spans="1:15">
      <c r="B85" t="s">
        <v>828</v>
      </c>
      <c r="F85" s="11">
        <v>59</v>
      </c>
      <c r="G85" s="293">
        <v>0</v>
      </c>
      <c r="H85" s="293"/>
      <c r="I85" s="293"/>
      <c r="J85" s="293"/>
      <c r="K85" s="293"/>
      <c r="L85" s="293"/>
      <c r="M85" s="293"/>
      <c r="N85" s="293"/>
      <c r="O85" s="293"/>
    </row>
    <row r="86" spans="1:15">
      <c r="A86" t="s">
        <v>835</v>
      </c>
      <c r="F86" s="11">
        <v>15639</v>
      </c>
      <c r="G86" s="293">
        <v>388</v>
      </c>
      <c r="H86" s="293">
        <v>0</v>
      </c>
      <c r="I86" s="293">
        <v>0</v>
      </c>
      <c r="J86" s="293">
        <v>2347</v>
      </c>
      <c r="K86" s="293"/>
      <c r="L86" s="293"/>
      <c r="M86" s="293">
        <v>1</v>
      </c>
      <c r="N86" s="293"/>
      <c r="O86" s="293">
        <v>6</v>
      </c>
    </row>
    <row r="87" spans="1:15">
      <c r="A87" t="s">
        <v>112</v>
      </c>
      <c r="B87" t="s">
        <v>847</v>
      </c>
      <c r="C87" t="s">
        <v>963</v>
      </c>
      <c r="D87" t="s">
        <v>964</v>
      </c>
      <c r="E87" s="213">
        <v>0</v>
      </c>
      <c r="F87" s="11">
        <v>191</v>
      </c>
      <c r="G87" s="293">
        <v>308</v>
      </c>
      <c r="H87" s="293">
        <v>1068</v>
      </c>
      <c r="I87" s="293">
        <v>61</v>
      </c>
      <c r="J87" s="293"/>
      <c r="K87" s="293"/>
      <c r="L87" s="293"/>
      <c r="M87" s="293"/>
      <c r="N87" s="293"/>
      <c r="O87" s="293"/>
    </row>
    <row r="88" spans="1:15">
      <c r="C88" t="s">
        <v>967</v>
      </c>
      <c r="D88" t="s">
        <v>966</v>
      </c>
      <c r="E88" s="213">
        <v>0</v>
      </c>
      <c r="F88" s="11">
        <v>532</v>
      </c>
      <c r="G88" s="293"/>
      <c r="H88" s="293"/>
      <c r="I88" s="293"/>
      <c r="J88" s="293"/>
      <c r="K88" s="293"/>
      <c r="L88" s="293"/>
      <c r="M88" s="293"/>
      <c r="N88" s="293"/>
      <c r="O88" s="293"/>
    </row>
    <row r="89" spans="1:15">
      <c r="B89" t="s">
        <v>848</v>
      </c>
      <c r="F89" s="11">
        <v>723</v>
      </c>
      <c r="G89" s="293">
        <v>308</v>
      </c>
      <c r="H89" s="293">
        <v>1068</v>
      </c>
      <c r="I89" s="293">
        <v>61</v>
      </c>
      <c r="J89" s="293"/>
      <c r="K89" s="293"/>
      <c r="L89" s="293"/>
      <c r="M89" s="293"/>
      <c r="N89" s="293"/>
      <c r="O89" s="293"/>
    </row>
    <row r="90" spans="1:15">
      <c r="B90" t="s">
        <v>169</v>
      </c>
      <c r="C90" t="s">
        <v>985</v>
      </c>
      <c r="D90" t="s">
        <v>837</v>
      </c>
      <c r="E90" s="213">
        <v>1</v>
      </c>
      <c r="F90" s="11">
        <v>1634</v>
      </c>
      <c r="G90" s="293"/>
      <c r="H90" s="293"/>
      <c r="I90" s="293"/>
      <c r="J90" s="293"/>
      <c r="K90" s="293"/>
      <c r="L90" s="293"/>
      <c r="M90" s="293"/>
      <c r="N90" s="293"/>
      <c r="O90" s="293"/>
    </row>
    <row r="91" spans="1:15">
      <c r="C91" t="s">
        <v>982</v>
      </c>
      <c r="D91" t="s">
        <v>863</v>
      </c>
      <c r="E91" s="213">
        <v>1</v>
      </c>
      <c r="F91" s="11">
        <v>1347</v>
      </c>
      <c r="G91" s="293">
        <v>0</v>
      </c>
      <c r="H91" s="293"/>
      <c r="I91" s="293"/>
      <c r="J91" s="293"/>
      <c r="K91" s="293"/>
      <c r="L91" s="293"/>
      <c r="M91" s="293"/>
      <c r="N91" s="293"/>
      <c r="O91" s="293"/>
    </row>
    <row r="92" spans="1:15">
      <c r="B92" t="s">
        <v>828</v>
      </c>
      <c r="F92" s="11">
        <v>2981</v>
      </c>
      <c r="G92" s="293">
        <v>0</v>
      </c>
      <c r="H92" s="293"/>
      <c r="I92" s="293"/>
      <c r="J92" s="293"/>
      <c r="K92" s="293"/>
      <c r="L92" s="293"/>
      <c r="M92" s="293"/>
      <c r="N92" s="293"/>
      <c r="O92" s="293"/>
    </row>
    <row r="93" spans="1:15">
      <c r="A93" t="s">
        <v>834</v>
      </c>
      <c r="F93" s="11">
        <v>3704</v>
      </c>
      <c r="G93" s="293">
        <v>308</v>
      </c>
      <c r="H93" s="293">
        <v>1068</v>
      </c>
      <c r="I93" s="293">
        <v>61</v>
      </c>
      <c r="J93" s="293"/>
      <c r="K93" s="293"/>
      <c r="L93" s="293"/>
      <c r="M93" s="293"/>
      <c r="N93" s="293"/>
      <c r="O93" s="293"/>
    </row>
    <row r="94" spans="1:15">
      <c r="A94" t="s">
        <v>90</v>
      </c>
      <c r="B94" t="s">
        <v>169</v>
      </c>
      <c r="C94" t="s">
        <v>984</v>
      </c>
      <c r="D94" t="s">
        <v>864</v>
      </c>
      <c r="E94" s="213">
        <v>1</v>
      </c>
      <c r="F94" s="11">
        <v>20</v>
      </c>
      <c r="G94" s="293">
        <v>0</v>
      </c>
      <c r="H94" s="293"/>
      <c r="I94" s="293"/>
      <c r="J94" s="293"/>
      <c r="K94" s="293"/>
      <c r="L94" s="293"/>
      <c r="M94" s="293"/>
      <c r="N94" s="293"/>
      <c r="O94" s="293"/>
    </row>
    <row r="95" spans="1:15">
      <c r="C95" t="s">
        <v>831</v>
      </c>
      <c r="D95" t="s">
        <v>832</v>
      </c>
      <c r="E95" s="213">
        <v>1</v>
      </c>
      <c r="F95" s="11">
        <v>2589</v>
      </c>
      <c r="G95" s="293"/>
      <c r="H95" s="293"/>
      <c r="I95" s="293"/>
      <c r="J95" s="293"/>
      <c r="K95" s="293"/>
      <c r="L95" s="293"/>
      <c r="M95" s="293"/>
      <c r="N95" s="293"/>
      <c r="O95" s="293"/>
    </row>
    <row r="96" spans="1:15">
      <c r="C96" t="s">
        <v>826</v>
      </c>
      <c r="D96" t="s">
        <v>827</v>
      </c>
      <c r="E96" s="213">
        <v>1</v>
      </c>
      <c r="F96" s="11">
        <v>12</v>
      </c>
      <c r="G96" s="293">
        <v>0</v>
      </c>
      <c r="H96" s="293"/>
      <c r="I96" s="293"/>
      <c r="J96" s="293"/>
      <c r="K96" s="293"/>
      <c r="L96" s="293"/>
      <c r="M96" s="293"/>
      <c r="N96" s="293"/>
      <c r="O96" s="293"/>
    </row>
    <row r="97" spans="1:15">
      <c r="B97" t="s">
        <v>828</v>
      </c>
      <c r="F97" s="11">
        <v>2621</v>
      </c>
      <c r="G97" s="293">
        <v>0</v>
      </c>
      <c r="H97" s="293"/>
      <c r="I97" s="293"/>
      <c r="J97" s="293"/>
      <c r="K97" s="293"/>
      <c r="L97" s="293"/>
      <c r="M97" s="293"/>
      <c r="N97" s="293"/>
      <c r="O97" s="293"/>
    </row>
    <row r="98" spans="1:15">
      <c r="A98" t="s">
        <v>829</v>
      </c>
      <c r="F98" s="11">
        <v>2621</v>
      </c>
      <c r="G98" s="293">
        <v>0</v>
      </c>
      <c r="H98" s="293"/>
      <c r="I98" s="293"/>
      <c r="J98" s="293"/>
      <c r="K98" s="293"/>
      <c r="L98" s="293"/>
      <c r="M98" s="293"/>
      <c r="N98" s="293"/>
      <c r="O98" s="293"/>
    </row>
    <row r="99" spans="1:15">
      <c r="A99" t="s">
        <v>111</v>
      </c>
      <c r="B99" t="s">
        <v>847</v>
      </c>
      <c r="C99" t="s">
        <v>920</v>
      </c>
      <c r="D99" t="s">
        <v>921</v>
      </c>
      <c r="E99" s="213">
        <v>0</v>
      </c>
      <c r="F99" s="11">
        <v>740</v>
      </c>
      <c r="G99" s="293"/>
      <c r="H99" s="293"/>
      <c r="I99" s="293"/>
      <c r="J99" s="293"/>
      <c r="K99" s="293"/>
      <c r="L99" s="293"/>
      <c r="M99" s="293"/>
      <c r="N99" s="293"/>
      <c r="O99" s="293"/>
    </row>
    <row r="100" spans="1:15">
      <c r="B100" t="s">
        <v>848</v>
      </c>
      <c r="F100" s="11">
        <v>740</v>
      </c>
      <c r="G100" s="293"/>
      <c r="H100" s="293"/>
      <c r="I100" s="293"/>
      <c r="J100" s="293"/>
      <c r="K100" s="293"/>
      <c r="L100" s="293"/>
      <c r="M100" s="293"/>
      <c r="N100" s="293"/>
      <c r="O100" s="293"/>
    </row>
    <row r="101" spans="1:15">
      <c r="A101" t="s">
        <v>905</v>
      </c>
      <c r="F101" s="11">
        <v>740</v>
      </c>
      <c r="G101" s="293"/>
      <c r="H101" s="293"/>
      <c r="I101" s="293"/>
      <c r="J101" s="293"/>
      <c r="K101" s="293"/>
      <c r="L101" s="293"/>
      <c r="M101" s="293"/>
      <c r="N101" s="293"/>
      <c r="O101" s="293"/>
    </row>
    <row r="102" spans="1:15">
      <c r="A102" t="s">
        <v>98</v>
      </c>
      <c r="B102" t="s">
        <v>169</v>
      </c>
      <c r="C102" t="s">
        <v>922</v>
      </c>
      <c r="D102" t="s">
        <v>923</v>
      </c>
      <c r="E102" s="213">
        <v>1</v>
      </c>
      <c r="F102" s="11">
        <v>247</v>
      </c>
      <c r="G102" s="293"/>
      <c r="H102" s="293"/>
      <c r="I102" s="293"/>
      <c r="J102" s="293"/>
      <c r="K102" s="293"/>
      <c r="L102" s="293"/>
      <c r="M102" s="293"/>
      <c r="N102" s="293"/>
      <c r="O102" s="293"/>
    </row>
    <row r="103" spans="1:15">
      <c r="B103" t="s">
        <v>828</v>
      </c>
      <c r="F103" s="11">
        <v>247</v>
      </c>
      <c r="G103" s="293"/>
      <c r="H103" s="293"/>
      <c r="I103" s="293"/>
      <c r="J103" s="293"/>
      <c r="K103" s="293"/>
      <c r="L103" s="293"/>
      <c r="M103" s="293"/>
      <c r="N103" s="293"/>
      <c r="O103" s="293"/>
    </row>
    <row r="104" spans="1:15">
      <c r="A104" t="s">
        <v>924</v>
      </c>
      <c r="F104" s="11">
        <v>247</v>
      </c>
      <c r="G104" s="293"/>
      <c r="H104" s="293"/>
      <c r="I104" s="293"/>
      <c r="J104" s="293"/>
      <c r="K104" s="293"/>
      <c r="L104" s="293"/>
      <c r="M104" s="293"/>
      <c r="N104" s="293"/>
      <c r="O104" s="293"/>
    </row>
    <row r="105" spans="1:15">
      <c r="A105" t="s">
        <v>177</v>
      </c>
      <c r="F105" s="11">
        <v>1368590</v>
      </c>
      <c r="G105" s="293">
        <v>5628</v>
      </c>
      <c r="H105" s="293">
        <v>2357</v>
      </c>
      <c r="I105" s="293">
        <v>769</v>
      </c>
      <c r="J105" s="293">
        <v>13927</v>
      </c>
      <c r="K105" s="293">
        <v>44</v>
      </c>
      <c r="L105" s="293"/>
      <c r="M105" s="293">
        <v>26</v>
      </c>
      <c r="N105" s="293"/>
      <c r="O105" s="293">
        <v>72</v>
      </c>
    </row>
  </sheetData>
  <mergeCells count="4">
    <mergeCell ref="M2:O2"/>
    <mergeCell ref="G2:I2"/>
    <mergeCell ref="J2:L2"/>
    <mergeCell ref="B2:D2"/>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6CA6B-71A0-4CB6-B767-1D6D34816516}">
  <sheetPr codeName="Sheet8"/>
  <dimension ref="A1:AG90"/>
  <sheetViews>
    <sheetView zoomScale="70" zoomScaleNormal="70" workbookViewId="0">
      <pane xSplit="6" ySplit="11" topLeftCell="G12" activePane="bottomRight" state="frozen"/>
      <selection pane="topRight" activeCell="G1" sqref="G1"/>
      <selection pane="bottomLeft" activeCell="A12" sqref="A12"/>
      <selection pane="bottomRight" activeCell="I18" sqref="I18"/>
    </sheetView>
  </sheetViews>
  <sheetFormatPr baseColWidth="10" defaultColWidth="8.83203125" defaultRowHeight="15"/>
  <cols>
    <col min="1" max="1" width="15.33203125" customWidth="1"/>
    <col min="2" max="2" width="14.5" customWidth="1"/>
    <col min="3" max="3" width="12.6640625" customWidth="1"/>
    <col min="4" max="6" width="9" customWidth="1"/>
    <col min="7" max="7" width="8.83203125" style="12"/>
    <col min="32" max="32" width="8.83203125" customWidth="1"/>
  </cols>
  <sheetData>
    <row r="1" spans="1:33">
      <c r="A1" s="31" t="s">
        <v>167</v>
      </c>
      <c r="B1" t="s">
        <v>726</v>
      </c>
    </row>
    <row r="2" spans="1:33" ht="24">
      <c r="A2" s="124">
        <f>'Rpt-Status, name, county'!B19</f>
        <v>2026</v>
      </c>
      <c r="B2" s="288" t="s">
        <v>579</v>
      </c>
      <c r="C2" s="288"/>
      <c r="D2" s="288"/>
      <c r="E2" s="288"/>
      <c r="F2" s="288"/>
      <c r="L2" s="92"/>
      <c r="M2" s="289"/>
      <c r="N2" s="289"/>
      <c r="O2" s="289"/>
      <c r="P2" s="289"/>
      <c r="Q2" s="289"/>
      <c r="V2" s="91"/>
    </row>
    <row r="3" spans="1:33" ht="19">
      <c r="C3" s="31" t="s">
        <v>189</v>
      </c>
      <c r="D3" s="34"/>
      <c r="E3" s="34"/>
      <c r="F3" s="34"/>
      <c r="G3" s="34"/>
      <c r="V3" s="93"/>
      <c r="AF3" t="str">
        <f>CONCATENATE(AF4,AG4)</f>
        <v>2026 Wildfire impact by County  - Acres burned (large fires), Structures destroyed</v>
      </c>
    </row>
    <row r="4" spans="1:33" ht="48">
      <c r="A4" s="31" t="s">
        <v>1</v>
      </c>
      <c r="B4" s="36" t="s">
        <v>4</v>
      </c>
      <c r="C4" s="12" t="s">
        <v>178</v>
      </c>
      <c r="D4" s="30" t="s">
        <v>642</v>
      </c>
      <c r="E4" s="30" t="s">
        <v>641</v>
      </c>
      <c r="F4" s="30" t="s">
        <v>640</v>
      </c>
      <c r="G4" s="179" t="s">
        <v>676</v>
      </c>
      <c r="AF4">
        <f>$A$2</f>
        <v>2026</v>
      </c>
      <c r="AG4" s="94" t="s">
        <v>688</v>
      </c>
    </row>
    <row r="5" spans="1:33" ht="19">
      <c r="A5" t="s">
        <v>103</v>
      </c>
      <c r="C5" s="11">
        <v>341345</v>
      </c>
      <c r="D5" s="293"/>
      <c r="E5" s="293"/>
      <c r="F5" s="293"/>
      <c r="G5" s="293"/>
      <c r="AG5" s="95" t="s">
        <v>505</v>
      </c>
    </row>
    <row r="6" spans="1:33">
      <c r="A6" t="s">
        <v>94</v>
      </c>
      <c r="C6" s="11">
        <v>273420</v>
      </c>
      <c r="D6" s="293"/>
      <c r="E6" s="293"/>
      <c r="F6" s="293">
        <v>4</v>
      </c>
      <c r="G6" s="293"/>
    </row>
    <row r="7" spans="1:33" ht="16">
      <c r="A7" t="s">
        <v>114</v>
      </c>
      <c r="C7" s="11">
        <v>262735</v>
      </c>
      <c r="D7" s="293">
        <v>3</v>
      </c>
      <c r="E7" s="293"/>
      <c r="F7" s="293"/>
      <c r="G7" s="293"/>
      <c r="AF7" s="118"/>
    </row>
    <row r="8" spans="1:33">
      <c r="A8" t="s">
        <v>92</v>
      </c>
      <c r="C8" s="11">
        <v>183351</v>
      </c>
      <c r="D8" s="293">
        <v>13</v>
      </c>
      <c r="E8" s="293"/>
      <c r="F8" s="293">
        <v>5</v>
      </c>
      <c r="G8" s="293"/>
    </row>
    <row r="9" spans="1:33">
      <c r="A9" t="s">
        <v>96</v>
      </c>
      <c r="C9" s="11">
        <v>120207</v>
      </c>
      <c r="D9" s="293">
        <v>2</v>
      </c>
      <c r="E9" s="293"/>
      <c r="F9" s="293">
        <v>15</v>
      </c>
      <c r="G9" s="293"/>
    </row>
    <row r="10" spans="1:33">
      <c r="A10" t="s">
        <v>88</v>
      </c>
      <c r="C10" s="11">
        <v>48760</v>
      </c>
      <c r="D10" s="293"/>
      <c r="E10" s="293"/>
      <c r="F10" s="293"/>
      <c r="G10" s="293"/>
    </row>
    <row r="11" spans="1:33">
      <c r="A11" t="s">
        <v>109</v>
      </c>
      <c r="C11" s="11">
        <v>39957</v>
      </c>
      <c r="D11" s="293">
        <v>6</v>
      </c>
      <c r="E11" s="293"/>
      <c r="F11" s="293">
        <v>40</v>
      </c>
      <c r="G11" s="293"/>
    </row>
    <row r="12" spans="1:33">
      <c r="A12" t="s">
        <v>93</v>
      </c>
      <c r="C12" s="11">
        <v>33350</v>
      </c>
      <c r="D12" s="293">
        <v>1</v>
      </c>
      <c r="E12" s="293"/>
      <c r="F12" s="293">
        <v>2</v>
      </c>
      <c r="G12" s="293"/>
    </row>
    <row r="13" spans="1:33">
      <c r="A13" t="s">
        <v>82</v>
      </c>
      <c r="C13" s="11">
        <v>26114</v>
      </c>
      <c r="D13" s="293"/>
      <c r="E13" s="293"/>
      <c r="F13" s="293"/>
      <c r="G13" s="293"/>
    </row>
    <row r="14" spans="1:33">
      <c r="A14" t="s">
        <v>91</v>
      </c>
      <c r="C14" s="11">
        <v>16400</v>
      </c>
      <c r="D14" s="293"/>
      <c r="E14" s="293"/>
      <c r="F14" s="293"/>
      <c r="G14" s="293"/>
    </row>
    <row r="15" spans="1:33">
      <c r="A15" t="s">
        <v>95</v>
      </c>
      <c r="C15" s="11">
        <v>15639</v>
      </c>
      <c r="D15" s="293">
        <v>1</v>
      </c>
      <c r="E15" s="293"/>
      <c r="F15" s="293">
        <v>6</v>
      </c>
      <c r="G15" s="293"/>
      <c r="H15" s="12"/>
      <c r="I15" s="12"/>
      <c r="J15" s="12"/>
      <c r="K15" s="12"/>
      <c r="L15" s="12"/>
      <c r="M15" s="12"/>
      <c r="N15" s="12"/>
      <c r="O15" s="12"/>
    </row>
    <row r="16" spans="1:33">
      <c r="A16" t="s">
        <v>112</v>
      </c>
      <c r="C16" s="11">
        <v>3704</v>
      </c>
      <c r="D16" s="293"/>
      <c r="E16" s="293"/>
      <c r="F16" s="293"/>
      <c r="G16" s="293"/>
    </row>
    <row r="17" spans="1:7">
      <c r="A17" t="s">
        <v>90</v>
      </c>
      <c r="C17" s="11">
        <v>2621</v>
      </c>
      <c r="D17" s="293"/>
      <c r="E17" s="293"/>
      <c r="F17" s="293"/>
      <c r="G17" s="293"/>
    </row>
    <row r="18" spans="1:7">
      <c r="A18" t="s">
        <v>111</v>
      </c>
      <c r="C18" s="11">
        <v>740</v>
      </c>
      <c r="D18" s="293"/>
      <c r="E18" s="293"/>
      <c r="F18" s="293"/>
      <c r="G18" s="293"/>
    </row>
    <row r="19" spans="1:7">
      <c r="A19" t="s">
        <v>98</v>
      </c>
      <c r="C19" s="11">
        <v>247</v>
      </c>
      <c r="D19" s="293"/>
      <c r="E19" s="293"/>
      <c r="F19" s="293"/>
      <c r="G19" s="293"/>
    </row>
    <row r="20" spans="1:7">
      <c r="A20" t="s">
        <v>177</v>
      </c>
      <c r="C20" s="11">
        <v>1368590</v>
      </c>
      <c r="D20" s="293">
        <v>26</v>
      </c>
      <c r="E20" s="293"/>
      <c r="F20" s="293">
        <v>72</v>
      </c>
      <c r="G20" s="293"/>
    </row>
    <row r="21" spans="1:7">
      <c r="G21"/>
    </row>
    <row r="22" spans="1:7">
      <c r="G22"/>
    </row>
    <row r="23" spans="1:7">
      <c r="G23"/>
    </row>
    <row r="24" spans="1:7">
      <c r="G24"/>
    </row>
    <row r="25" spans="1:7">
      <c r="G25"/>
    </row>
    <row r="26" spans="1:7">
      <c r="G26"/>
    </row>
    <row r="27" spans="1:7">
      <c r="G27"/>
    </row>
    <row r="28" spans="1:7">
      <c r="G28"/>
    </row>
    <row r="45" spans="1:33" ht="29.5" customHeight="1">
      <c r="A45" s="43" t="s">
        <v>593</v>
      </c>
      <c r="B45" s="43" t="s">
        <v>1</v>
      </c>
      <c r="C45" s="103" t="s">
        <v>571</v>
      </c>
      <c r="D45" s="210" t="s">
        <v>185</v>
      </c>
      <c r="E45" s="210" t="s">
        <v>186</v>
      </c>
      <c r="F45" s="210" t="s">
        <v>187</v>
      </c>
      <c r="G45" s="46" t="s">
        <v>824</v>
      </c>
      <c r="AF45" t="str">
        <f>CONCATENATE(AF46,AG46,"                                                        ",AG47)</f>
        <v xml:space="preserve">2026 Wildfire impact by County - Acres burned (large fires)                                                        Approximate total acres burned (large fires):      1.369 M             </v>
      </c>
    </row>
    <row r="46" spans="1:33" ht="22">
      <c r="A46" s="43" t="s">
        <v>592</v>
      </c>
      <c r="B46" s="17" t="s">
        <v>82</v>
      </c>
      <c r="C46" s="135">
        <f>IFERROR(VLOOKUP(B46,$A$5:$C$41,3,FALSE),0)</f>
        <v>26114</v>
      </c>
      <c r="D46" s="135">
        <f>IFERROR(VLOOKUP($B46,$A$5:$G$41,4,FALSE),0)</f>
        <v>0</v>
      </c>
      <c r="E46" s="135">
        <f>IFERROR(VLOOKUP($B46,$A$5:$G$41,5,FALSE),0)</f>
        <v>0</v>
      </c>
      <c r="F46" s="135">
        <f>IFERROR(VLOOKUP($B46,$A$5:$G$41,6,FALSE),0)</f>
        <v>0</v>
      </c>
      <c r="G46" s="135">
        <f>IFERROR(VLOOKUP($B46,$A$5:$G$41,7,FALSE),0)</f>
        <v>0</v>
      </c>
      <c r="AF46">
        <f>$A$2</f>
        <v>2026</v>
      </c>
      <c r="AG46" s="94" t="s">
        <v>687</v>
      </c>
    </row>
    <row r="47" spans="1:33" ht="19">
      <c r="A47" s="43" t="s">
        <v>592</v>
      </c>
      <c r="B47" s="17" t="s">
        <v>83</v>
      </c>
      <c r="C47" s="135">
        <f t="shared" ref="C47:C81" si="0">IFERROR(VLOOKUP(B47,$A$5:$C$41,3,FALSE),0)</f>
        <v>0</v>
      </c>
      <c r="D47" s="135">
        <f t="shared" ref="D47:D81" si="1">IFERROR(VLOOKUP($B47,$A$5:$G$41,4,FALSE),0)</f>
        <v>0</v>
      </c>
      <c r="E47" s="135">
        <f t="shared" ref="E47:E81" si="2">IFERROR(VLOOKUP($B47,$A$5:$G$41,5,FALSE),0)</f>
        <v>0</v>
      </c>
      <c r="F47" s="135">
        <f t="shared" ref="F47:F81" si="3">IFERROR(VLOOKUP($B47,$A$5:$G$41,6,FALSE),0)</f>
        <v>0</v>
      </c>
      <c r="G47" s="135">
        <f t="shared" ref="G47:G81" si="4">IFERROR(VLOOKUP($B47,$A$5:$G$41,7,FALSE),0)</f>
        <v>0</v>
      </c>
      <c r="AG47" s="95" t="str">
        <f>D90</f>
        <v xml:space="preserve">Approximate total acres burned (large fires):      1.369 M             </v>
      </c>
    </row>
    <row r="48" spans="1:33">
      <c r="A48" s="43" t="s">
        <v>592</v>
      </c>
      <c r="B48" s="17" t="s">
        <v>84</v>
      </c>
      <c r="C48" s="135">
        <f>IFERROR(VLOOKUP(B48,$A$5:$C$41,3,FALSE),0)</f>
        <v>0</v>
      </c>
      <c r="D48" s="135">
        <f t="shared" si="1"/>
        <v>0</v>
      </c>
      <c r="E48" s="135">
        <f t="shared" si="2"/>
        <v>0</v>
      </c>
      <c r="F48" s="135">
        <f t="shared" si="3"/>
        <v>0</v>
      </c>
      <c r="G48" s="135">
        <f t="shared" si="4"/>
        <v>0</v>
      </c>
    </row>
    <row r="49" spans="1:7">
      <c r="A49" s="43" t="s">
        <v>592</v>
      </c>
      <c r="B49" s="17" t="s">
        <v>85</v>
      </c>
      <c r="C49" s="135">
        <f t="shared" si="0"/>
        <v>0</v>
      </c>
      <c r="D49" s="135">
        <f t="shared" si="1"/>
        <v>0</v>
      </c>
      <c r="E49" s="135">
        <f t="shared" si="2"/>
        <v>0</v>
      </c>
      <c r="F49" s="135">
        <f t="shared" si="3"/>
        <v>0</v>
      </c>
      <c r="G49" s="135">
        <f t="shared" si="4"/>
        <v>0</v>
      </c>
    </row>
    <row r="50" spans="1:7">
      <c r="A50" s="43" t="s">
        <v>592</v>
      </c>
      <c r="B50" s="17" t="s">
        <v>86</v>
      </c>
      <c r="C50" s="135">
        <f t="shared" si="0"/>
        <v>0</v>
      </c>
      <c r="D50" s="135">
        <f t="shared" si="1"/>
        <v>0</v>
      </c>
      <c r="E50" s="135">
        <f t="shared" si="2"/>
        <v>0</v>
      </c>
      <c r="F50" s="135">
        <f t="shared" si="3"/>
        <v>0</v>
      </c>
      <c r="G50" s="135">
        <f t="shared" si="4"/>
        <v>0</v>
      </c>
    </row>
    <row r="51" spans="1:7">
      <c r="A51" s="43" t="s">
        <v>592</v>
      </c>
      <c r="B51" s="17" t="s">
        <v>87</v>
      </c>
      <c r="C51" s="135">
        <f t="shared" si="0"/>
        <v>0</v>
      </c>
      <c r="D51" s="135">
        <f t="shared" si="1"/>
        <v>0</v>
      </c>
      <c r="E51" s="135">
        <f t="shared" si="2"/>
        <v>0</v>
      </c>
      <c r="F51" s="135">
        <f t="shared" si="3"/>
        <v>0</v>
      </c>
      <c r="G51" s="135">
        <f t="shared" si="4"/>
        <v>0</v>
      </c>
    </row>
    <row r="52" spans="1:7">
      <c r="A52" s="43" t="s">
        <v>592</v>
      </c>
      <c r="B52" s="17" t="s">
        <v>88</v>
      </c>
      <c r="C52" s="135">
        <f t="shared" si="0"/>
        <v>48760</v>
      </c>
      <c r="D52" s="135">
        <f t="shared" si="1"/>
        <v>0</v>
      </c>
      <c r="E52" s="135">
        <f t="shared" si="2"/>
        <v>0</v>
      </c>
      <c r="F52" s="135">
        <f t="shared" si="3"/>
        <v>0</v>
      </c>
      <c r="G52" s="135">
        <f t="shared" si="4"/>
        <v>0</v>
      </c>
    </row>
    <row r="53" spans="1:7">
      <c r="A53" s="43" t="s">
        <v>592</v>
      </c>
      <c r="B53" s="17" t="s">
        <v>89</v>
      </c>
      <c r="C53" s="135">
        <f t="shared" si="0"/>
        <v>0</v>
      </c>
      <c r="D53" s="135">
        <f t="shared" si="1"/>
        <v>0</v>
      </c>
      <c r="E53" s="135">
        <f t="shared" si="2"/>
        <v>0</v>
      </c>
      <c r="F53" s="135">
        <f t="shared" si="3"/>
        <v>0</v>
      </c>
      <c r="G53" s="135">
        <f t="shared" si="4"/>
        <v>0</v>
      </c>
    </row>
    <row r="54" spans="1:7">
      <c r="A54" s="43" t="s">
        <v>592</v>
      </c>
      <c r="B54" s="17" t="s">
        <v>90</v>
      </c>
      <c r="C54" s="135">
        <f t="shared" si="0"/>
        <v>2621</v>
      </c>
      <c r="D54" s="135">
        <f t="shared" si="1"/>
        <v>0</v>
      </c>
      <c r="E54" s="135">
        <f t="shared" si="2"/>
        <v>0</v>
      </c>
      <c r="F54" s="135">
        <f t="shared" si="3"/>
        <v>0</v>
      </c>
      <c r="G54" s="135">
        <f t="shared" si="4"/>
        <v>0</v>
      </c>
    </row>
    <row r="55" spans="1:7">
      <c r="A55" s="43" t="s">
        <v>592</v>
      </c>
      <c r="B55" s="17" t="s">
        <v>91</v>
      </c>
      <c r="C55" s="135">
        <f t="shared" si="0"/>
        <v>16400</v>
      </c>
      <c r="D55" s="135">
        <f t="shared" si="1"/>
        <v>0</v>
      </c>
      <c r="E55" s="135">
        <f t="shared" si="2"/>
        <v>0</v>
      </c>
      <c r="F55" s="135">
        <f t="shared" si="3"/>
        <v>0</v>
      </c>
      <c r="G55" s="135">
        <f t="shared" si="4"/>
        <v>0</v>
      </c>
    </row>
    <row r="56" spans="1:7">
      <c r="A56" s="43" t="s">
        <v>592</v>
      </c>
      <c r="B56" s="17" t="s">
        <v>92</v>
      </c>
      <c r="C56" s="135">
        <f t="shared" si="0"/>
        <v>183351</v>
      </c>
      <c r="D56" s="135">
        <f t="shared" si="1"/>
        <v>13</v>
      </c>
      <c r="E56" s="135">
        <f t="shared" si="2"/>
        <v>0</v>
      </c>
      <c r="F56" s="135">
        <f t="shared" si="3"/>
        <v>5</v>
      </c>
      <c r="G56" s="135">
        <f t="shared" si="4"/>
        <v>0</v>
      </c>
    </row>
    <row r="57" spans="1:7">
      <c r="A57" s="43" t="s">
        <v>592</v>
      </c>
      <c r="B57" s="17" t="s">
        <v>93</v>
      </c>
      <c r="C57" s="135">
        <f t="shared" si="0"/>
        <v>33350</v>
      </c>
      <c r="D57" s="135">
        <f t="shared" si="1"/>
        <v>1</v>
      </c>
      <c r="E57" s="135">
        <f t="shared" si="2"/>
        <v>0</v>
      </c>
      <c r="F57" s="135">
        <f t="shared" si="3"/>
        <v>2</v>
      </c>
      <c r="G57" s="135">
        <f t="shared" si="4"/>
        <v>0</v>
      </c>
    </row>
    <row r="58" spans="1:7">
      <c r="A58" s="43" t="s">
        <v>592</v>
      </c>
      <c r="B58" s="17" t="s">
        <v>94</v>
      </c>
      <c r="C58" s="135">
        <f t="shared" si="0"/>
        <v>273420</v>
      </c>
      <c r="D58" s="135">
        <f t="shared" si="1"/>
        <v>0</v>
      </c>
      <c r="E58" s="135">
        <f t="shared" si="2"/>
        <v>0</v>
      </c>
      <c r="F58" s="135">
        <f t="shared" si="3"/>
        <v>4</v>
      </c>
      <c r="G58" s="135">
        <f t="shared" si="4"/>
        <v>0</v>
      </c>
    </row>
    <row r="59" spans="1:7">
      <c r="A59" s="43" t="s">
        <v>592</v>
      </c>
      <c r="B59" s="17" t="s">
        <v>35</v>
      </c>
      <c r="C59" s="135">
        <f t="shared" si="0"/>
        <v>0</v>
      </c>
      <c r="D59" s="135">
        <f t="shared" si="1"/>
        <v>0</v>
      </c>
      <c r="E59" s="135">
        <f t="shared" si="2"/>
        <v>0</v>
      </c>
      <c r="F59" s="135">
        <f t="shared" si="3"/>
        <v>0</v>
      </c>
      <c r="G59" s="135">
        <f t="shared" si="4"/>
        <v>0</v>
      </c>
    </row>
    <row r="60" spans="1:7">
      <c r="A60" s="43" t="s">
        <v>592</v>
      </c>
      <c r="B60" s="17" t="s">
        <v>95</v>
      </c>
      <c r="C60" s="135">
        <f t="shared" si="0"/>
        <v>15639</v>
      </c>
      <c r="D60" s="135">
        <f t="shared" si="1"/>
        <v>1</v>
      </c>
      <c r="E60" s="135">
        <f t="shared" si="2"/>
        <v>0</v>
      </c>
      <c r="F60" s="135">
        <f t="shared" si="3"/>
        <v>6</v>
      </c>
      <c r="G60" s="135">
        <f t="shared" si="4"/>
        <v>0</v>
      </c>
    </row>
    <row r="61" spans="1:7">
      <c r="A61" s="43" t="s">
        <v>592</v>
      </c>
      <c r="B61" s="17" t="s">
        <v>96</v>
      </c>
      <c r="C61" s="135">
        <f t="shared" si="0"/>
        <v>120207</v>
      </c>
      <c r="D61" s="135">
        <f t="shared" si="1"/>
        <v>2</v>
      </c>
      <c r="E61" s="135">
        <f t="shared" si="2"/>
        <v>0</v>
      </c>
      <c r="F61" s="135">
        <f t="shared" si="3"/>
        <v>15</v>
      </c>
      <c r="G61" s="135">
        <f t="shared" si="4"/>
        <v>0</v>
      </c>
    </row>
    <row r="62" spans="1:7">
      <c r="A62" s="43" t="s">
        <v>592</v>
      </c>
      <c r="B62" s="17" t="s">
        <v>97</v>
      </c>
      <c r="C62" s="135">
        <f t="shared" si="0"/>
        <v>0</v>
      </c>
      <c r="D62" s="135">
        <f t="shared" si="1"/>
        <v>0</v>
      </c>
      <c r="E62" s="135">
        <f t="shared" si="2"/>
        <v>0</v>
      </c>
      <c r="F62" s="135">
        <f t="shared" si="3"/>
        <v>0</v>
      </c>
      <c r="G62" s="135">
        <f t="shared" si="4"/>
        <v>0</v>
      </c>
    </row>
    <row r="63" spans="1:7">
      <c r="A63" s="43" t="s">
        <v>592</v>
      </c>
      <c r="B63" s="17" t="s">
        <v>98</v>
      </c>
      <c r="C63" s="135">
        <f t="shared" si="0"/>
        <v>247</v>
      </c>
      <c r="D63" s="135">
        <f t="shared" si="1"/>
        <v>0</v>
      </c>
      <c r="E63" s="135">
        <f t="shared" si="2"/>
        <v>0</v>
      </c>
      <c r="F63" s="135">
        <f t="shared" si="3"/>
        <v>0</v>
      </c>
      <c r="G63" s="135">
        <f t="shared" si="4"/>
        <v>0</v>
      </c>
    </row>
    <row r="64" spans="1:7">
      <c r="A64" s="43" t="s">
        <v>592</v>
      </c>
      <c r="B64" s="17" t="s">
        <v>99</v>
      </c>
      <c r="C64" s="135">
        <f t="shared" si="0"/>
        <v>0</v>
      </c>
      <c r="D64" s="135">
        <f t="shared" si="1"/>
        <v>0</v>
      </c>
      <c r="E64" s="135">
        <f t="shared" si="2"/>
        <v>0</v>
      </c>
      <c r="F64" s="135">
        <f t="shared" si="3"/>
        <v>0</v>
      </c>
      <c r="G64" s="135">
        <f t="shared" si="4"/>
        <v>0</v>
      </c>
    </row>
    <row r="65" spans="1:7">
      <c r="A65" s="43" t="s">
        <v>592</v>
      </c>
      <c r="B65" s="17" t="s">
        <v>100</v>
      </c>
      <c r="C65" s="135">
        <f t="shared" si="0"/>
        <v>0</v>
      </c>
      <c r="D65" s="135">
        <f t="shared" si="1"/>
        <v>0</v>
      </c>
      <c r="E65" s="135">
        <f t="shared" si="2"/>
        <v>0</v>
      </c>
      <c r="F65" s="135">
        <f t="shared" si="3"/>
        <v>0</v>
      </c>
      <c r="G65" s="135">
        <f t="shared" si="4"/>
        <v>0</v>
      </c>
    </row>
    <row r="66" spans="1:7">
      <c r="A66" s="43" t="s">
        <v>592</v>
      </c>
      <c r="B66" s="17" t="s">
        <v>101</v>
      </c>
      <c r="C66" s="135">
        <f t="shared" si="0"/>
        <v>0</v>
      </c>
      <c r="D66" s="135">
        <f t="shared" si="1"/>
        <v>0</v>
      </c>
      <c r="E66" s="135">
        <f t="shared" si="2"/>
        <v>0</v>
      </c>
      <c r="F66" s="135">
        <f t="shared" si="3"/>
        <v>0</v>
      </c>
      <c r="G66" s="135">
        <f t="shared" si="4"/>
        <v>0</v>
      </c>
    </row>
    <row r="67" spans="1:7">
      <c r="A67" s="43" t="s">
        <v>592</v>
      </c>
      <c r="B67" s="17" t="s">
        <v>102</v>
      </c>
      <c r="C67" s="135">
        <f t="shared" si="0"/>
        <v>0</v>
      </c>
      <c r="D67" s="135">
        <f t="shared" si="1"/>
        <v>0</v>
      </c>
      <c r="E67" s="135">
        <f t="shared" si="2"/>
        <v>0</v>
      </c>
      <c r="F67" s="135">
        <f t="shared" si="3"/>
        <v>0</v>
      </c>
      <c r="G67" s="135">
        <f t="shared" si="4"/>
        <v>0</v>
      </c>
    </row>
    <row r="68" spans="1:7">
      <c r="A68" s="43" t="s">
        <v>592</v>
      </c>
      <c r="B68" s="17" t="s">
        <v>103</v>
      </c>
      <c r="C68" s="135">
        <f t="shared" si="0"/>
        <v>341345</v>
      </c>
      <c r="D68" s="135">
        <f t="shared" si="1"/>
        <v>0</v>
      </c>
      <c r="E68" s="135">
        <f t="shared" si="2"/>
        <v>0</v>
      </c>
      <c r="F68" s="135">
        <f t="shared" si="3"/>
        <v>0</v>
      </c>
      <c r="G68" s="135">
        <f t="shared" si="4"/>
        <v>0</v>
      </c>
    </row>
    <row r="69" spans="1:7">
      <c r="A69" s="43" t="s">
        <v>592</v>
      </c>
      <c r="B69" s="17" t="s">
        <v>104</v>
      </c>
      <c r="C69" s="135">
        <f t="shared" si="0"/>
        <v>0</v>
      </c>
      <c r="D69" s="135">
        <f t="shared" si="1"/>
        <v>0</v>
      </c>
      <c r="E69" s="135">
        <f t="shared" si="2"/>
        <v>0</v>
      </c>
      <c r="F69" s="135">
        <f t="shared" si="3"/>
        <v>0</v>
      </c>
      <c r="G69" s="135">
        <f t="shared" si="4"/>
        <v>0</v>
      </c>
    </row>
    <row r="70" spans="1:7">
      <c r="A70" s="43" t="s">
        <v>592</v>
      </c>
      <c r="B70" s="17" t="s">
        <v>105</v>
      </c>
      <c r="C70" s="135">
        <f t="shared" si="0"/>
        <v>0</v>
      </c>
      <c r="D70" s="135">
        <f t="shared" si="1"/>
        <v>0</v>
      </c>
      <c r="E70" s="135">
        <f t="shared" si="2"/>
        <v>0</v>
      </c>
      <c r="F70" s="135">
        <f t="shared" si="3"/>
        <v>0</v>
      </c>
      <c r="G70" s="135">
        <f t="shared" si="4"/>
        <v>0</v>
      </c>
    </row>
    <row r="71" spans="1:7">
      <c r="A71" s="43" t="s">
        <v>592</v>
      </c>
      <c r="B71" s="17" t="s">
        <v>106</v>
      </c>
      <c r="C71" s="135">
        <f t="shared" si="0"/>
        <v>0</v>
      </c>
      <c r="D71" s="135">
        <f t="shared" si="1"/>
        <v>0</v>
      </c>
      <c r="E71" s="135">
        <f t="shared" si="2"/>
        <v>0</v>
      </c>
      <c r="F71" s="135">
        <f t="shared" si="3"/>
        <v>0</v>
      </c>
      <c r="G71" s="135">
        <f t="shared" si="4"/>
        <v>0</v>
      </c>
    </row>
    <row r="72" spans="1:7">
      <c r="A72" s="43" t="s">
        <v>592</v>
      </c>
      <c r="B72" s="17" t="s">
        <v>107</v>
      </c>
      <c r="C72" s="135">
        <f t="shared" si="0"/>
        <v>0</v>
      </c>
      <c r="D72" s="135">
        <f t="shared" si="1"/>
        <v>0</v>
      </c>
      <c r="E72" s="135">
        <f t="shared" si="2"/>
        <v>0</v>
      </c>
      <c r="F72" s="135">
        <f t="shared" si="3"/>
        <v>0</v>
      </c>
      <c r="G72" s="135">
        <f t="shared" si="4"/>
        <v>0</v>
      </c>
    </row>
    <row r="73" spans="1:7">
      <c r="A73" s="43" t="s">
        <v>592</v>
      </c>
      <c r="B73" s="17" t="s">
        <v>108</v>
      </c>
      <c r="C73" s="135">
        <f t="shared" si="0"/>
        <v>0</v>
      </c>
      <c r="D73" s="135">
        <f t="shared" si="1"/>
        <v>0</v>
      </c>
      <c r="E73" s="135">
        <f t="shared" si="2"/>
        <v>0</v>
      </c>
      <c r="F73" s="135">
        <f t="shared" si="3"/>
        <v>0</v>
      </c>
      <c r="G73" s="135">
        <f t="shared" si="4"/>
        <v>0</v>
      </c>
    </row>
    <row r="74" spans="1:7">
      <c r="A74" s="43" t="s">
        <v>592</v>
      </c>
      <c r="B74" s="17" t="s">
        <v>65</v>
      </c>
      <c r="C74" s="135">
        <f t="shared" si="0"/>
        <v>0</v>
      </c>
      <c r="D74" s="135">
        <f t="shared" si="1"/>
        <v>0</v>
      </c>
      <c r="E74" s="135">
        <f t="shared" si="2"/>
        <v>0</v>
      </c>
      <c r="F74" s="135">
        <f t="shared" si="3"/>
        <v>0</v>
      </c>
      <c r="G74" s="135">
        <f t="shared" si="4"/>
        <v>0</v>
      </c>
    </row>
    <row r="75" spans="1:7">
      <c r="A75" s="43" t="s">
        <v>592</v>
      </c>
      <c r="B75" s="17" t="s">
        <v>109</v>
      </c>
      <c r="C75" s="135">
        <f t="shared" si="0"/>
        <v>39957</v>
      </c>
      <c r="D75" s="135">
        <f t="shared" si="1"/>
        <v>6</v>
      </c>
      <c r="E75" s="135">
        <f t="shared" si="2"/>
        <v>0</v>
      </c>
      <c r="F75" s="135">
        <f t="shared" si="3"/>
        <v>40</v>
      </c>
      <c r="G75" s="135">
        <f t="shared" si="4"/>
        <v>0</v>
      </c>
    </row>
    <row r="76" spans="1:7">
      <c r="A76" s="43" t="s">
        <v>592</v>
      </c>
      <c r="B76" s="17" t="s">
        <v>110</v>
      </c>
      <c r="C76" s="135">
        <f t="shared" si="0"/>
        <v>0</v>
      </c>
      <c r="D76" s="135">
        <f t="shared" si="1"/>
        <v>0</v>
      </c>
      <c r="E76" s="135">
        <f t="shared" si="2"/>
        <v>0</v>
      </c>
      <c r="F76" s="135">
        <f t="shared" si="3"/>
        <v>0</v>
      </c>
      <c r="G76" s="135">
        <f t="shared" si="4"/>
        <v>0</v>
      </c>
    </row>
    <row r="77" spans="1:7">
      <c r="A77" s="43" t="s">
        <v>592</v>
      </c>
      <c r="B77" s="17" t="s">
        <v>111</v>
      </c>
      <c r="C77" s="135">
        <f t="shared" si="0"/>
        <v>740</v>
      </c>
      <c r="D77" s="135">
        <f t="shared" si="1"/>
        <v>0</v>
      </c>
      <c r="E77" s="135">
        <f t="shared" si="2"/>
        <v>0</v>
      </c>
      <c r="F77" s="135">
        <f t="shared" si="3"/>
        <v>0</v>
      </c>
      <c r="G77" s="135">
        <f t="shared" si="4"/>
        <v>0</v>
      </c>
    </row>
    <row r="78" spans="1:7">
      <c r="A78" s="43" t="s">
        <v>592</v>
      </c>
      <c r="B78" s="17" t="s">
        <v>112</v>
      </c>
      <c r="C78" s="135">
        <f t="shared" si="0"/>
        <v>3704</v>
      </c>
      <c r="D78" s="135">
        <f t="shared" si="1"/>
        <v>0</v>
      </c>
      <c r="E78" s="135">
        <f t="shared" si="2"/>
        <v>0</v>
      </c>
      <c r="F78" s="135">
        <f t="shared" si="3"/>
        <v>0</v>
      </c>
      <c r="G78" s="135">
        <f t="shared" si="4"/>
        <v>0</v>
      </c>
    </row>
    <row r="79" spans="1:7">
      <c r="A79" s="43" t="s">
        <v>592</v>
      </c>
      <c r="B79" s="17" t="s">
        <v>113</v>
      </c>
      <c r="C79" s="135">
        <f t="shared" si="0"/>
        <v>0</v>
      </c>
      <c r="D79" s="135">
        <f t="shared" si="1"/>
        <v>0</v>
      </c>
      <c r="E79" s="135">
        <f t="shared" si="2"/>
        <v>0</v>
      </c>
      <c r="F79" s="135">
        <f t="shared" si="3"/>
        <v>0</v>
      </c>
      <c r="G79" s="135">
        <f t="shared" si="4"/>
        <v>0</v>
      </c>
    </row>
    <row r="80" spans="1:7">
      <c r="A80" s="43" t="s">
        <v>592</v>
      </c>
      <c r="B80" s="17" t="s">
        <v>114</v>
      </c>
      <c r="C80" s="135">
        <f t="shared" si="0"/>
        <v>262735</v>
      </c>
      <c r="D80" s="135">
        <f t="shared" si="1"/>
        <v>3</v>
      </c>
      <c r="E80" s="135">
        <f t="shared" si="2"/>
        <v>0</v>
      </c>
      <c r="F80" s="135">
        <f t="shared" si="3"/>
        <v>0</v>
      </c>
      <c r="G80" s="135">
        <f t="shared" si="4"/>
        <v>0</v>
      </c>
    </row>
    <row r="81" spans="1:7">
      <c r="A81" s="43" t="s">
        <v>592</v>
      </c>
      <c r="B81" s="17" t="s">
        <v>115</v>
      </c>
      <c r="C81" s="135">
        <f t="shared" si="0"/>
        <v>0</v>
      </c>
      <c r="D81" s="135">
        <f t="shared" si="1"/>
        <v>0</v>
      </c>
      <c r="E81" s="135">
        <f t="shared" si="2"/>
        <v>0</v>
      </c>
      <c r="F81" s="135">
        <f t="shared" si="3"/>
        <v>0</v>
      </c>
      <c r="G81" s="135">
        <f t="shared" si="4"/>
        <v>0</v>
      </c>
    </row>
    <row r="82" spans="1:7">
      <c r="B82" s="137"/>
      <c r="C82" s="212">
        <f>SUBTOTAL(9,C46:C81)</f>
        <v>1368590</v>
      </c>
      <c r="D82" s="212">
        <f>SUBTOTAL(9,D46:D81)</f>
        <v>26</v>
      </c>
      <c r="E82" s="212">
        <f>SUBTOTAL(9,E46:E81)</f>
        <v>0</v>
      </c>
      <c r="F82" s="212">
        <f>SUBTOTAL(9,F46:F81)</f>
        <v>72</v>
      </c>
      <c r="G82" s="212">
        <f>SUBTOTAL(9,G46:G81)</f>
        <v>0</v>
      </c>
    </row>
    <row r="83" spans="1:7">
      <c r="B83" s="137"/>
      <c r="C83" s="211"/>
      <c r="D83" s="211"/>
      <c r="E83" s="211"/>
      <c r="F83" s="211"/>
      <c r="G83" s="211"/>
    </row>
    <row r="84" spans="1:7">
      <c r="B84" s="137"/>
      <c r="C84" s="211"/>
      <c r="D84" s="211"/>
      <c r="E84" s="211"/>
      <c r="F84" s="211"/>
      <c r="G84" s="211"/>
    </row>
    <row r="85" spans="1:7">
      <c r="B85" s="137"/>
      <c r="C85" s="211"/>
      <c r="D85" s="211"/>
      <c r="E85" s="211"/>
      <c r="F85" s="211"/>
      <c r="G85" s="211"/>
    </row>
    <row r="86" spans="1:7">
      <c r="D86" t="s">
        <v>599</v>
      </c>
    </row>
    <row r="87" spans="1:7">
      <c r="B87" s="137" t="s">
        <v>594</v>
      </c>
      <c r="C87" s="136">
        <f>SUBTOTAL(9,C46:C82)</f>
        <v>1368590</v>
      </c>
      <c r="D87" s="138">
        <f>ROUND(C87/1000000,3)</f>
        <v>1.369</v>
      </c>
      <c r="E87" t="s">
        <v>602</v>
      </c>
    </row>
    <row r="88" spans="1:7">
      <c r="E88" t="s">
        <v>616</v>
      </c>
    </row>
    <row r="90" spans="1:7">
      <c r="D90" t="str">
        <f>CONCATENATE(E88,D87,E87)</f>
        <v xml:space="preserve">Approximate total acres burned (large fires):      1.369 M             </v>
      </c>
    </row>
  </sheetData>
  <mergeCells count="2">
    <mergeCell ref="B2:F2"/>
    <mergeCell ref="M2:Q2"/>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C82BB-3F19-4A79-952D-8DBE87211318}">
  <sheetPr codeName="Sheet9"/>
  <dimension ref="A1:F38"/>
  <sheetViews>
    <sheetView zoomScale="70" zoomScaleNormal="70" workbookViewId="0">
      <selection activeCell="E13" sqref="E13:E37"/>
    </sheetView>
  </sheetViews>
  <sheetFormatPr baseColWidth="10" defaultColWidth="8.83203125" defaultRowHeight="15"/>
  <cols>
    <col min="1" max="1" width="3.6640625" style="140" bestFit="1" customWidth="1"/>
    <col min="2" max="5" width="18.1640625" style="15" customWidth="1"/>
    <col min="6" max="6" width="29.33203125" style="15" customWidth="1"/>
  </cols>
  <sheetData>
    <row r="1" spans="1:6">
      <c r="B1" s="15" t="s">
        <v>81</v>
      </c>
    </row>
    <row r="2" spans="1:6">
      <c r="B2" s="16" t="s">
        <v>1</v>
      </c>
      <c r="C2" s="16" t="s">
        <v>79</v>
      </c>
      <c r="D2" s="16" t="s">
        <v>581</v>
      </c>
      <c r="E2" s="16" t="s">
        <v>80</v>
      </c>
      <c r="F2" s="16" t="s">
        <v>3</v>
      </c>
    </row>
    <row r="3" spans="1:6">
      <c r="A3" s="140">
        <v>1</v>
      </c>
      <c r="B3" s="17" t="s">
        <v>82</v>
      </c>
      <c r="C3" s="18" t="s">
        <v>9</v>
      </c>
      <c r="D3" s="18" t="e" vm="4">
        <v>#VALUE!</v>
      </c>
      <c r="E3" s="19">
        <v>16912</v>
      </c>
      <c r="F3" s="17" t="s">
        <v>10</v>
      </c>
    </row>
    <row r="4" spans="1:6">
      <c r="A4" s="140">
        <v>2</v>
      </c>
      <c r="B4" s="17" t="s">
        <v>83</v>
      </c>
      <c r="C4" s="18" t="s">
        <v>11</v>
      </c>
      <c r="D4" s="18" t="e" vm="5">
        <v>#VALUE!</v>
      </c>
      <c r="E4" s="19">
        <v>97713</v>
      </c>
      <c r="F4" s="17" t="s">
        <v>12</v>
      </c>
    </row>
    <row r="5" spans="1:6">
      <c r="A5" s="140">
        <v>3</v>
      </c>
      <c r="B5" s="17" t="s">
        <v>84</v>
      </c>
      <c r="C5" s="18" t="s">
        <v>13</v>
      </c>
      <c r="D5" s="18" t="e" vm="6">
        <v>#VALUE!</v>
      </c>
      <c r="E5" s="19">
        <v>423173</v>
      </c>
      <c r="F5" s="17" t="s">
        <v>14</v>
      </c>
    </row>
    <row r="6" spans="1:6">
      <c r="A6" s="140">
        <v>4</v>
      </c>
      <c r="B6" s="17" t="s">
        <v>85</v>
      </c>
      <c r="C6" s="15" t="s">
        <v>15</v>
      </c>
      <c r="D6" s="134" t="e" vm="7">
        <v>#VALUE!</v>
      </c>
      <c r="E6" s="19">
        <v>41102</v>
      </c>
      <c r="F6" s="17" t="s">
        <v>16</v>
      </c>
    </row>
    <row r="7" spans="1:6">
      <c r="A7" s="140">
        <v>5</v>
      </c>
      <c r="B7" s="17" t="s">
        <v>86</v>
      </c>
      <c r="C7" s="18" t="s">
        <v>17</v>
      </c>
      <c r="D7" s="18" t="e" vm="8">
        <v>#VALUE!</v>
      </c>
      <c r="E7" s="19">
        <v>53880</v>
      </c>
      <c r="F7" s="17" t="s">
        <v>18</v>
      </c>
    </row>
    <row r="8" spans="1:6">
      <c r="A8" s="140">
        <v>6</v>
      </c>
      <c r="B8" s="17" t="s">
        <v>87</v>
      </c>
      <c r="C8" s="18" t="s">
        <v>19</v>
      </c>
      <c r="D8" s="18" t="e" vm="9">
        <v>#VALUE!</v>
      </c>
      <c r="E8" s="19">
        <v>64212</v>
      </c>
      <c r="F8" s="17" t="s">
        <v>20</v>
      </c>
    </row>
    <row r="9" spans="1:6">
      <c r="A9" s="140">
        <v>7</v>
      </c>
      <c r="B9" s="17" t="s">
        <v>88</v>
      </c>
      <c r="C9" s="18" t="s">
        <v>21</v>
      </c>
      <c r="D9" s="18" t="e" vm="10">
        <v>#VALUE!</v>
      </c>
      <c r="E9" s="19">
        <v>26952</v>
      </c>
      <c r="F9" s="17" t="s">
        <v>22</v>
      </c>
    </row>
    <row r="10" spans="1:6">
      <c r="A10" s="140">
        <v>8</v>
      </c>
      <c r="B10" s="17" t="s">
        <v>89</v>
      </c>
      <c r="C10" s="18" t="s">
        <v>23</v>
      </c>
      <c r="D10" s="18" t="e" vm="11">
        <v>#VALUE!</v>
      </c>
      <c r="E10" s="19">
        <v>23296</v>
      </c>
      <c r="F10" s="17" t="s">
        <v>24</v>
      </c>
    </row>
    <row r="11" spans="1:6">
      <c r="A11" s="140">
        <v>9</v>
      </c>
      <c r="B11" s="17" t="s">
        <v>90</v>
      </c>
      <c r="C11" s="15" t="s">
        <v>25</v>
      </c>
      <c r="D11" s="134" t="e" vm="12">
        <v>#VALUE!</v>
      </c>
      <c r="E11" s="19">
        <v>208513</v>
      </c>
      <c r="F11" s="17" t="s">
        <v>26</v>
      </c>
    </row>
    <row r="12" spans="1:6">
      <c r="A12" s="140">
        <v>10</v>
      </c>
      <c r="B12" s="17" t="s">
        <v>91</v>
      </c>
      <c r="C12" s="18" t="s">
        <v>27</v>
      </c>
      <c r="D12" s="18" t="e" vm="13">
        <v>#VALUE!</v>
      </c>
      <c r="E12" s="19">
        <v>112435</v>
      </c>
      <c r="F12" s="17" t="s">
        <v>28</v>
      </c>
    </row>
    <row r="13" spans="1:6">
      <c r="A13" s="140">
        <v>11</v>
      </c>
      <c r="B13" s="17" t="s">
        <v>92</v>
      </c>
      <c r="C13" s="18" t="s">
        <v>29</v>
      </c>
      <c r="D13" s="18" t="e" vm="14">
        <v>#VALUE!</v>
      </c>
      <c r="E13" s="19">
        <v>2026</v>
      </c>
      <c r="F13" s="17" t="s">
        <v>30</v>
      </c>
    </row>
    <row r="14" spans="1:6">
      <c r="A14" s="140">
        <v>12</v>
      </c>
      <c r="B14" s="17" t="s">
        <v>93</v>
      </c>
      <c r="C14" s="18" t="s">
        <v>31</v>
      </c>
      <c r="D14" s="18" t="e" vm="15">
        <v>#VALUE!</v>
      </c>
      <c r="E14" s="19">
        <v>7215</v>
      </c>
      <c r="F14" s="17" t="s">
        <v>32</v>
      </c>
    </row>
    <row r="15" spans="1:6">
      <c r="A15" s="140">
        <v>13</v>
      </c>
      <c r="B15" s="17" t="s">
        <v>94</v>
      </c>
      <c r="C15" s="18" t="s">
        <v>33</v>
      </c>
      <c r="D15" s="18" t="e" vm="16">
        <v>#VALUE!</v>
      </c>
      <c r="E15" s="19">
        <v>7440</v>
      </c>
      <c r="F15" s="17" t="s">
        <v>34</v>
      </c>
    </row>
    <row r="16" spans="1:6">
      <c r="A16" s="140">
        <v>14</v>
      </c>
      <c r="B16" s="17" t="s">
        <v>35</v>
      </c>
      <c r="C16" s="18" t="s">
        <v>35</v>
      </c>
      <c r="D16" s="18" t="e" vm="17">
        <v>#VALUE!</v>
      </c>
      <c r="E16" s="19">
        <v>23745</v>
      </c>
      <c r="F16" s="17" t="s">
        <v>36</v>
      </c>
    </row>
    <row r="17" spans="1:6">
      <c r="A17" s="140">
        <v>15</v>
      </c>
      <c r="B17" s="17" t="s">
        <v>95</v>
      </c>
      <c r="C17" s="15" t="s">
        <v>37</v>
      </c>
      <c r="D17" s="134" t="e" vm="18">
        <v>#VALUE!</v>
      </c>
      <c r="E17" s="19">
        <v>220768</v>
      </c>
      <c r="F17" s="17" t="s">
        <v>38</v>
      </c>
    </row>
    <row r="18" spans="1:6">
      <c r="A18" s="140">
        <v>16</v>
      </c>
      <c r="B18" s="17" t="s">
        <v>96</v>
      </c>
      <c r="C18" s="18" t="s">
        <v>39</v>
      </c>
      <c r="D18" s="18" t="e" vm="19">
        <v>#VALUE!</v>
      </c>
      <c r="E18" s="19">
        <v>25454</v>
      </c>
      <c r="F18" s="17" t="s">
        <v>40</v>
      </c>
    </row>
    <row r="19" spans="1:6">
      <c r="A19" s="140">
        <v>17</v>
      </c>
      <c r="B19" s="17" t="s">
        <v>97</v>
      </c>
      <c r="C19" s="18" t="s">
        <v>41</v>
      </c>
      <c r="D19" s="18" t="e" vm="20">
        <v>#VALUE!</v>
      </c>
      <c r="E19" s="19">
        <v>87821</v>
      </c>
      <c r="F19" s="17" t="s">
        <v>42</v>
      </c>
    </row>
    <row r="20" spans="1:6">
      <c r="A20" s="140">
        <v>18</v>
      </c>
      <c r="B20" s="17" t="s">
        <v>98</v>
      </c>
      <c r="C20" s="18" t="s">
        <v>43</v>
      </c>
      <c r="D20" s="18" t="e" vm="21">
        <v>#VALUE!</v>
      </c>
      <c r="E20" s="19">
        <v>70003</v>
      </c>
      <c r="F20" s="17" t="s">
        <v>44</v>
      </c>
    </row>
    <row r="21" spans="1:6">
      <c r="A21" s="140">
        <v>19</v>
      </c>
      <c r="B21" s="17" t="s">
        <v>99</v>
      </c>
      <c r="C21" s="18" t="s">
        <v>45</v>
      </c>
      <c r="D21" s="18" t="e" vm="22">
        <v>#VALUE!</v>
      </c>
      <c r="E21" s="19">
        <v>8293</v>
      </c>
      <c r="F21" s="17" t="s">
        <v>46</v>
      </c>
    </row>
    <row r="22" spans="1:6">
      <c r="A22" s="140">
        <v>20</v>
      </c>
      <c r="B22" s="17" t="s">
        <v>100</v>
      </c>
      <c r="C22" s="15" t="s">
        <v>47</v>
      </c>
      <c r="D22" s="134" t="e" vm="23">
        <v>#VALUE!</v>
      </c>
      <c r="E22" s="19">
        <v>381181</v>
      </c>
      <c r="F22" s="17" t="s">
        <v>48</v>
      </c>
    </row>
    <row r="23" spans="1:6">
      <c r="A23" s="140">
        <v>21</v>
      </c>
      <c r="B23" s="17" t="s">
        <v>101</v>
      </c>
      <c r="C23" s="18" t="s">
        <v>49</v>
      </c>
      <c r="D23" s="18" t="e" vm="24">
        <v>#VALUE!</v>
      </c>
      <c r="E23" s="19">
        <v>50821</v>
      </c>
      <c r="F23" s="17" t="s">
        <v>50</v>
      </c>
    </row>
    <row r="24" spans="1:6">
      <c r="A24" s="140">
        <v>22</v>
      </c>
      <c r="B24" s="17" t="s">
        <v>102</v>
      </c>
      <c r="C24" s="18" t="s">
        <v>51</v>
      </c>
      <c r="D24" s="18" t="e" vm="25">
        <v>#VALUE!</v>
      </c>
      <c r="E24" s="19">
        <v>131496</v>
      </c>
      <c r="F24" s="17" t="s">
        <v>52</v>
      </c>
    </row>
    <row r="25" spans="1:6">
      <c r="A25" s="140">
        <v>23</v>
      </c>
      <c r="B25" s="17" t="s">
        <v>103</v>
      </c>
      <c r="C25" s="18" t="s">
        <v>53</v>
      </c>
      <c r="D25" s="18" t="e" vm="26">
        <v>#VALUE!</v>
      </c>
      <c r="E25" s="19">
        <v>32044</v>
      </c>
      <c r="F25" s="17" t="s">
        <v>54</v>
      </c>
    </row>
    <row r="26" spans="1:6">
      <c r="A26" s="140">
        <v>24</v>
      </c>
      <c r="B26" s="17" t="s">
        <v>104</v>
      </c>
      <c r="C26" s="15" t="s">
        <v>55</v>
      </c>
      <c r="D26" s="134" t="e" vm="27">
        <v>#VALUE!</v>
      </c>
      <c r="E26" s="19">
        <v>346741</v>
      </c>
      <c r="F26" s="17" t="s">
        <v>56</v>
      </c>
    </row>
    <row r="27" spans="1:6">
      <c r="A27" s="140">
        <v>25</v>
      </c>
      <c r="B27" s="17" t="s">
        <v>105</v>
      </c>
      <c r="C27" s="18" t="s">
        <v>57</v>
      </c>
      <c r="D27" s="18" t="e" vm="28">
        <v>#VALUE!</v>
      </c>
      <c r="E27" s="19">
        <v>12302</v>
      </c>
      <c r="F27" s="17" t="s">
        <v>58</v>
      </c>
    </row>
    <row r="28" spans="1:6">
      <c r="A28" s="140">
        <v>26</v>
      </c>
      <c r="B28" s="17" t="s">
        <v>106</v>
      </c>
      <c r="C28" s="15" t="s">
        <v>59</v>
      </c>
      <c r="D28" s="134" t="e" vm="29">
        <v>#VALUE!</v>
      </c>
      <c r="E28" s="19">
        <v>789698</v>
      </c>
      <c r="F28" s="17" t="s">
        <v>60</v>
      </c>
    </row>
    <row r="29" spans="1:6">
      <c r="A29" s="140">
        <v>27</v>
      </c>
      <c r="B29" s="17" t="s">
        <v>107</v>
      </c>
      <c r="C29" s="18" t="s">
        <v>61</v>
      </c>
      <c r="D29" s="18" t="e" vm="30">
        <v>#VALUE!</v>
      </c>
      <c r="E29" s="19">
        <v>89805</v>
      </c>
      <c r="F29" s="17" t="s">
        <v>62</v>
      </c>
    </row>
    <row r="30" spans="1:6">
      <c r="A30" s="140">
        <v>28</v>
      </c>
      <c r="B30" s="17" t="s">
        <v>108</v>
      </c>
      <c r="C30" s="18" t="s">
        <v>63</v>
      </c>
      <c r="D30" s="18" t="e" vm="31">
        <v>#VALUE!</v>
      </c>
      <c r="E30" s="19">
        <v>1951</v>
      </c>
      <c r="F30" s="17" t="s">
        <v>64</v>
      </c>
    </row>
    <row r="31" spans="1:6">
      <c r="A31" s="140">
        <v>29</v>
      </c>
      <c r="B31" s="17" t="s">
        <v>65</v>
      </c>
      <c r="C31" s="18" t="s">
        <v>65</v>
      </c>
      <c r="D31" s="18" t="e" vm="32">
        <v>#VALUE!</v>
      </c>
      <c r="E31" s="19">
        <v>27417</v>
      </c>
      <c r="F31" s="17" t="s">
        <v>66</v>
      </c>
    </row>
    <row r="32" spans="1:6">
      <c r="A32" s="140">
        <v>30</v>
      </c>
      <c r="B32" s="17" t="s">
        <v>109</v>
      </c>
      <c r="C32" s="18" t="s">
        <v>67</v>
      </c>
      <c r="D32" s="18" t="e" vm="33">
        <v>#VALUE!</v>
      </c>
      <c r="E32" s="19">
        <v>80053</v>
      </c>
      <c r="F32" s="17" t="s">
        <v>68</v>
      </c>
    </row>
    <row r="33" spans="1:6">
      <c r="A33" s="140">
        <v>31</v>
      </c>
      <c r="B33" s="17" t="s">
        <v>110</v>
      </c>
      <c r="C33" s="18" t="s">
        <v>69</v>
      </c>
      <c r="D33" s="18" t="e" vm="34">
        <v>#VALUE!</v>
      </c>
      <c r="E33" s="19">
        <v>25944</v>
      </c>
      <c r="F33" s="17" t="s">
        <v>70</v>
      </c>
    </row>
    <row r="34" spans="1:6">
      <c r="A34" s="140">
        <v>32</v>
      </c>
      <c r="B34" s="17" t="s">
        <v>111</v>
      </c>
      <c r="C34" s="18" t="s">
        <v>71</v>
      </c>
      <c r="D34" s="18" t="e" vm="35">
        <v>#VALUE!</v>
      </c>
      <c r="E34" s="19">
        <v>7674</v>
      </c>
      <c r="F34" s="17" t="s">
        <v>72</v>
      </c>
    </row>
    <row r="35" spans="1:6">
      <c r="A35" s="140">
        <v>33</v>
      </c>
      <c r="B35" s="17" t="s">
        <v>112</v>
      </c>
      <c r="C35" s="18" t="s">
        <v>73</v>
      </c>
      <c r="D35" s="18" t="e" vm="36">
        <v>#VALUE!</v>
      </c>
      <c r="E35" s="19">
        <v>26333</v>
      </c>
      <c r="F35" s="17" t="s">
        <v>74</v>
      </c>
    </row>
    <row r="36" spans="1:6">
      <c r="A36" s="140">
        <v>34</v>
      </c>
      <c r="B36" s="17" t="s">
        <v>113</v>
      </c>
      <c r="C36" s="15" t="s">
        <v>75</v>
      </c>
      <c r="D36" s="134" t="e" vm="37">
        <v>#VALUE!</v>
      </c>
      <c r="E36" s="19">
        <v>598865</v>
      </c>
      <c r="F36" s="17" t="s">
        <v>76</v>
      </c>
    </row>
    <row r="37" spans="1:6">
      <c r="A37" s="140">
        <v>35</v>
      </c>
      <c r="B37" s="17" t="s">
        <v>114</v>
      </c>
      <c r="C37" s="18" t="s">
        <v>77</v>
      </c>
      <c r="D37" s="18" t="e" vm="38">
        <v>#VALUE!</v>
      </c>
      <c r="E37" s="19">
        <v>1436</v>
      </c>
      <c r="F37" s="17" t="s">
        <v>78</v>
      </c>
    </row>
    <row r="38" spans="1:6">
      <c r="A38" s="140">
        <v>36</v>
      </c>
      <c r="B38" s="17" t="s">
        <v>115</v>
      </c>
      <c r="C38" s="18" t="s">
        <v>116</v>
      </c>
      <c r="D38" s="18" t="e" vm="39">
        <v>#VALUE!</v>
      </c>
      <c r="E38" s="19">
        <v>108644</v>
      </c>
      <c r="F38" s="17" t="s">
        <v>117</v>
      </c>
    </row>
  </sheetData>
  <autoFilter ref="B2:F38" xr:uid="{5C5C82BB-3F19-4A79-952D-8DBE87211318}">
    <sortState xmlns:xlrd2="http://schemas.microsoft.com/office/spreadsheetml/2017/richdata2" ref="B3:F38">
      <sortCondition ref="B2"/>
    </sortState>
  </autoFilter>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J43"/>
  <sheetViews>
    <sheetView workbookViewId="0">
      <pane ySplit="1" topLeftCell="A2" activePane="bottomLeft" state="frozen"/>
      <selection pane="bottomLeft" activeCell="C46" sqref="C46"/>
    </sheetView>
  </sheetViews>
  <sheetFormatPr baseColWidth="10" defaultColWidth="8.83203125" defaultRowHeight="15"/>
  <cols>
    <col min="1" max="1" width="11.5" customWidth="1"/>
    <col min="2" max="3" width="14.5" customWidth="1"/>
    <col min="4" max="4" width="18.5" customWidth="1"/>
    <col min="5" max="5" width="12.5" customWidth="1"/>
    <col min="6" max="7" width="16.5" customWidth="1"/>
    <col min="8" max="9" width="15.5" customWidth="1"/>
    <col min="10" max="10" width="55" customWidth="1"/>
  </cols>
  <sheetData>
    <row r="1" spans="1:10" ht="32">
      <c r="A1" s="226" t="s">
        <v>506</v>
      </c>
      <c r="B1" s="226" t="s">
        <v>988</v>
      </c>
      <c r="C1" s="226" t="s">
        <v>989</v>
      </c>
      <c r="D1" s="226" t="s">
        <v>990</v>
      </c>
      <c r="E1" s="226" t="s">
        <v>991</v>
      </c>
      <c r="F1" s="226" t="s">
        <v>992</v>
      </c>
      <c r="G1" s="226" t="s">
        <v>993</v>
      </c>
      <c r="H1" s="226" t="s">
        <v>994</v>
      </c>
      <c r="I1" s="226" t="s">
        <v>995</v>
      </c>
      <c r="J1" s="226" t="s">
        <v>147</v>
      </c>
    </row>
    <row r="2" spans="1:10" ht="16">
      <c r="A2" s="227">
        <v>46189</v>
      </c>
      <c r="B2" s="228">
        <v>38</v>
      </c>
      <c r="C2" s="228">
        <v>0</v>
      </c>
      <c r="D2" s="228">
        <v>6681</v>
      </c>
      <c r="E2" s="228">
        <v>0</v>
      </c>
      <c r="F2" s="228">
        <v>0</v>
      </c>
      <c r="G2" s="228">
        <v>624</v>
      </c>
      <c r="H2" s="228">
        <v>0</v>
      </c>
      <c r="I2" s="228">
        <v>0</v>
      </c>
      <c r="J2" s="332" t="s">
        <v>1016</v>
      </c>
    </row>
    <row r="3" spans="1:10" ht="16">
      <c r="A3" s="227">
        <v>46190</v>
      </c>
      <c r="B3" s="228">
        <v>44</v>
      </c>
      <c r="C3" s="228">
        <v>2</v>
      </c>
      <c r="D3" s="228">
        <v>7681</v>
      </c>
      <c r="E3" s="228">
        <v>0</v>
      </c>
      <c r="F3" s="228">
        <v>1</v>
      </c>
      <c r="G3" s="228">
        <v>640</v>
      </c>
      <c r="H3" s="228">
        <v>0</v>
      </c>
      <c r="I3" s="228">
        <v>0</v>
      </c>
      <c r="J3" s="332" t="s">
        <v>1016</v>
      </c>
    </row>
    <row r="4" spans="1:10" ht="16">
      <c r="A4" s="227">
        <v>46191</v>
      </c>
      <c r="B4" s="228">
        <v>48</v>
      </c>
      <c r="C4" s="228">
        <v>3</v>
      </c>
      <c r="D4" s="228">
        <v>8881</v>
      </c>
      <c r="E4" s="228">
        <v>0</v>
      </c>
      <c r="F4" s="228">
        <v>2</v>
      </c>
      <c r="G4" s="228">
        <v>19</v>
      </c>
      <c r="H4" s="228">
        <v>0</v>
      </c>
      <c r="I4" s="228">
        <v>0</v>
      </c>
      <c r="J4" s="332" t="s">
        <v>1016</v>
      </c>
    </row>
    <row r="5" spans="1:10" ht="16">
      <c r="A5" s="227">
        <v>46192</v>
      </c>
      <c r="B5" s="228">
        <v>48</v>
      </c>
      <c r="C5" s="228">
        <v>3</v>
      </c>
      <c r="D5" s="228">
        <v>8786</v>
      </c>
      <c r="E5" s="228">
        <v>0</v>
      </c>
      <c r="F5" s="228">
        <v>0</v>
      </c>
      <c r="G5" s="228">
        <v>3</v>
      </c>
      <c r="H5" s="228">
        <v>0</v>
      </c>
      <c r="I5" s="228">
        <v>0</v>
      </c>
      <c r="J5" s="332" t="s">
        <v>1016</v>
      </c>
    </row>
    <row r="6" spans="1:10" ht="16">
      <c r="A6" s="227">
        <v>46193</v>
      </c>
      <c r="B6" s="228">
        <v>23</v>
      </c>
      <c r="C6" s="228">
        <v>2</v>
      </c>
      <c r="D6" s="228">
        <v>8786</v>
      </c>
      <c r="E6" s="228">
        <v>0</v>
      </c>
      <c r="F6" s="228">
        <v>0</v>
      </c>
      <c r="G6" s="228">
        <v>3</v>
      </c>
      <c r="H6" s="228">
        <v>0</v>
      </c>
      <c r="I6" s="228">
        <v>0</v>
      </c>
      <c r="J6" s="332" t="s">
        <v>1016</v>
      </c>
    </row>
    <row r="7" spans="1:10" ht="16">
      <c r="A7" s="227">
        <v>46194</v>
      </c>
      <c r="B7" s="228">
        <v>23</v>
      </c>
      <c r="C7" s="228">
        <v>2</v>
      </c>
      <c r="D7" s="228">
        <v>8786</v>
      </c>
      <c r="E7" s="228">
        <v>0</v>
      </c>
      <c r="F7" s="228">
        <v>0</v>
      </c>
      <c r="G7" s="228">
        <v>3</v>
      </c>
      <c r="H7" s="228">
        <v>0</v>
      </c>
      <c r="I7" s="228">
        <v>0</v>
      </c>
      <c r="J7" s="332" t="s">
        <v>1016</v>
      </c>
    </row>
    <row r="8" spans="1:10" ht="16">
      <c r="A8" s="227">
        <v>46195</v>
      </c>
      <c r="B8" s="228">
        <v>25</v>
      </c>
      <c r="C8" s="228">
        <v>2</v>
      </c>
      <c r="D8" s="228">
        <v>8786</v>
      </c>
      <c r="E8" s="228">
        <v>0</v>
      </c>
      <c r="F8" s="228">
        <v>0</v>
      </c>
      <c r="G8" s="228">
        <v>3</v>
      </c>
      <c r="H8" s="228">
        <v>0</v>
      </c>
      <c r="I8" s="228">
        <v>0</v>
      </c>
      <c r="J8" s="332" t="s">
        <v>1016</v>
      </c>
    </row>
    <row r="9" spans="1:10" ht="16">
      <c r="A9" s="227">
        <v>46196</v>
      </c>
      <c r="B9" s="228">
        <v>32</v>
      </c>
      <c r="C9" s="228">
        <v>1</v>
      </c>
      <c r="D9" s="228">
        <v>15286</v>
      </c>
      <c r="E9" s="228">
        <v>0</v>
      </c>
      <c r="F9" s="228">
        <v>0</v>
      </c>
      <c r="G9" s="228">
        <v>3</v>
      </c>
      <c r="H9" s="228">
        <v>0</v>
      </c>
      <c r="I9" s="228">
        <v>0</v>
      </c>
      <c r="J9" s="332" t="s">
        <v>1016</v>
      </c>
    </row>
    <row r="10" spans="1:10" ht="16">
      <c r="A10" s="227">
        <v>46197</v>
      </c>
      <c r="B10" s="228">
        <v>40</v>
      </c>
      <c r="C10" s="228">
        <v>2</v>
      </c>
      <c r="D10" s="228">
        <v>14838</v>
      </c>
      <c r="E10" s="228">
        <v>0</v>
      </c>
      <c r="F10" s="228">
        <v>0</v>
      </c>
      <c r="G10" s="228">
        <v>3</v>
      </c>
      <c r="H10" s="228">
        <v>0</v>
      </c>
      <c r="I10" s="228">
        <v>0</v>
      </c>
      <c r="J10" s="332" t="s">
        <v>1016</v>
      </c>
    </row>
    <row r="11" spans="1:10" ht="16">
      <c r="A11" s="227">
        <v>46198</v>
      </c>
      <c r="B11" s="228">
        <v>37</v>
      </c>
      <c r="C11" s="228">
        <v>1</v>
      </c>
      <c r="D11" s="228">
        <v>14838</v>
      </c>
      <c r="E11" s="228">
        <v>0</v>
      </c>
      <c r="F11" s="228">
        <v>0</v>
      </c>
      <c r="G11" s="228">
        <v>0</v>
      </c>
      <c r="H11" s="228">
        <v>0</v>
      </c>
      <c r="I11" s="228">
        <v>0</v>
      </c>
      <c r="J11" s="332" t="s">
        <v>1016</v>
      </c>
    </row>
    <row r="12" spans="1:10" ht="16">
      <c r="A12" s="227">
        <v>46199</v>
      </c>
      <c r="B12" s="228">
        <v>34</v>
      </c>
      <c r="C12" s="228">
        <v>0</v>
      </c>
      <c r="D12" s="228">
        <v>14838</v>
      </c>
      <c r="E12" s="228">
        <v>0</v>
      </c>
      <c r="F12" s="228">
        <v>0</v>
      </c>
      <c r="G12" s="228">
        <v>0</v>
      </c>
      <c r="H12" s="228">
        <v>0</v>
      </c>
      <c r="I12" s="228">
        <v>0</v>
      </c>
      <c r="J12" s="332" t="s">
        <v>1016</v>
      </c>
    </row>
    <row r="13" spans="1:10" ht="16">
      <c r="A13" s="227">
        <v>46200</v>
      </c>
      <c r="B13" s="228">
        <v>36</v>
      </c>
      <c r="C13" s="228">
        <v>1</v>
      </c>
      <c r="D13" s="228">
        <v>15652</v>
      </c>
      <c r="E13" s="228">
        <v>0</v>
      </c>
      <c r="F13" s="228">
        <v>0</v>
      </c>
      <c r="G13" s="228">
        <v>0</v>
      </c>
      <c r="H13" s="228">
        <v>0</v>
      </c>
      <c r="I13" s="228">
        <v>0</v>
      </c>
      <c r="J13" s="332" t="s">
        <v>1016</v>
      </c>
    </row>
    <row r="14" spans="1:10" ht="16">
      <c r="A14" s="227">
        <v>46201</v>
      </c>
      <c r="B14" s="228">
        <v>27</v>
      </c>
      <c r="C14" s="228">
        <v>1</v>
      </c>
      <c r="D14" s="228">
        <v>14938</v>
      </c>
      <c r="E14" s="228">
        <v>0</v>
      </c>
      <c r="F14" s="228">
        <v>0</v>
      </c>
      <c r="G14" s="228">
        <v>0</v>
      </c>
      <c r="H14" s="228">
        <v>0</v>
      </c>
      <c r="I14" s="228">
        <v>0</v>
      </c>
      <c r="J14" s="332" t="s">
        <v>1016</v>
      </c>
    </row>
    <row r="15" spans="1:10" ht="16">
      <c r="A15" s="227">
        <v>46202</v>
      </c>
      <c r="B15" s="228">
        <v>27</v>
      </c>
      <c r="C15" s="228">
        <v>1</v>
      </c>
      <c r="D15" s="228">
        <v>14838</v>
      </c>
      <c r="E15" s="228">
        <v>0</v>
      </c>
      <c r="F15" s="228">
        <v>0</v>
      </c>
      <c r="G15" s="228">
        <v>0</v>
      </c>
      <c r="H15" s="228">
        <v>0</v>
      </c>
      <c r="I15" s="228">
        <v>0</v>
      </c>
      <c r="J15" s="332" t="s">
        <v>1016</v>
      </c>
    </row>
    <row r="16" spans="1:10" ht="16">
      <c r="A16" s="227">
        <v>46203</v>
      </c>
      <c r="B16" s="228">
        <v>15</v>
      </c>
      <c r="C16" s="228">
        <v>1</v>
      </c>
      <c r="D16" s="228">
        <v>14838</v>
      </c>
      <c r="E16" s="228">
        <v>0</v>
      </c>
      <c r="F16" s="228">
        <v>0</v>
      </c>
      <c r="G16" s="228">
        <v>0</v>
      </c>
      <c r="H16" s="228">
        <v>0</v>
      </c>
      <c r="I16" s="228">
        <v>0</v>
      </c>
      <c r="J16" s="332" t="s">
        <v>1016</v>
      </c>
    </row>
    <row r="17" spans="1:10" ht="16">
      <c r="A17" s="227">
        <v>46204</v>
      </c>
      <c r="B17" s="228">
        <v>22</v>
      </c>
      <c r="C17" s="228">
        <v>2</v>
      </c>
      <c r="D17" s="228">
        <v>15278</v>
      </c>
      <c r="E17" s="228">
        <v>0</v>
      </c>
      <c r="F17" s="228">
        <v>0</v>
      </c>
      <c r="G17" s="228">
        <v>0</v>
      </c>
      <c r="H17" s="228">
        <v>0</v>
      </c>
      <c r="I17" s="228">
        <v>0</v>
      </c>
      <c r="J17" s="332" t="s">
        <v>1016</v>
      </c>
    </row>
    <row r="18" spans="1:10" ht="16">
      <c r="A18" s="227">
        <v>46205</v>
      </c>
      <c r="B18" s="228">
        <v>22</v>
      </c>
      <c r="C18" s="228">
        <v>2</v>
      </c>
      <c r="D18" s="228">
        <v>18029</v>
      </c>
      <c r="E18" s="228">
        <v>0</v>
      </c>
      <c r="F18" s="228">
        <v>1</v>
      </c>
      <c r="G18" s="228">
        <v>0</v>
      </c>
      <c r="H18" s="228">
        <v>0</v>
      </c>
      <c r="I18" s="228">
        <v>0</v>
      </c>
      <c r="J18" s="332" t="s">
        <v>1016</v>
      </c>
    </row>
    <row r="19" spans="1:10" ht="16">
      <c r="A19" s="227">
        <v>46206</v>
      </c>
      <c r="B19" s="228">
        <v>31</v>
      </c>
      <c r="C19" s="228">
        <v>1</v>
      </c>
      <c r="D19" s="228">
        <v>18029</v>
      </c>
      <c r="E19" s="228">
        <v>0</v>
      </c>
      <c r="F19" s="228">
        <v>0</v>
      </c>
      <c r="G19" s="228">
        <v>0</v>
      </c>
      <c r="H19" s="228">
        <v>0</v>
      </c>
      <c r="I19" s="228">
        <v>0</v>
      </c>
      <c r="J19" s="332" t="s">
        <v>1016</v>
      </c>
    </row>
    <row r="20" spans="1:10" ht="16">
      <c r="A20" s="227">
        <v>46207</v>
      </c>
      <c r="B20" s="228">
        <v>27</v>
      </c>
      <c r="C20" s="228">
        <v>0</v>
      </c>
      <c r="D20" s="228">
        <v>18029</v>
      </c>
      <c r="E20" s="228">
        <v>0</v>
      </c>
      <c r="F20" s="228">
        <v>0</v>
      </c>
      <c r="G20" s="228">
        <v>0</v>
      </c>
      <c r="H20" s="228">
        <v>0</v>
      </c>
      <c r="I20" s="228">
        <v>0</v>
      </c>
      <c r="J20" s="332" t="s">
        <v>1016</v>
      </c>
    </row>
    <row r="21" spans="1:10" ht="16">
      <c r="A21" s="227">
        <v>46208</v>
      </c>
      <c r="B21" s="228">
        <v>46</v>
      </c>
      <c r="C21" s="228">
        <v>3</v>
      </c>
      <c r="D21" s="228">
        <v>19917</v>
      </c>
      <c r="E21" s="228">
        <v>0</v>
      </c>
      <c r="F21" s="228">
        <v>2</v>
      </c>
      <c r="G21" s="228">
        <v>21</v>
      </c>
      <c r="H21" s="228">
        <v>192</v>
      </c>
      <c r="I21" s="228">
        <v>2</v>
      </c>
      <c r="J21" s="332" t="s">
        <v>1016</v>
      </c>
    </row>
    <row r="22" spans="1:10" ht="16">
      <c r="A22" s="227">
        <v>46209</v>
      </c>
      <c r="B22" s="228">
        <v>42</v>
      </c>
      <c r="C22" s="228">
        <v>3</v>
      </c>
      <c r="D22" s="228">
        <v>23310</v>
      </c>
      <c r="E22" s="228">
        <v>0</v>
      </c>
      <c r="F22" s="228">
        <v>3</v>
      </c>
      <c r="G22" s="228">
        <v>205</v>
      </c>
      <c r="H22" s="228">
        <v>10</v>
      </c>
      <c r="I22" s="228">
        <v>0</v>
      </c>
      <c r="J22" s="332" t="s">
        <v>1016</v>
      </c>
    </row>
    <row r="23" spans="1:10" ht="16">
      <c r="A23" s="227">
        <v>46210</v>
      </c>
      <c r="B23" s="228">
        <v>59</v>
      </c>
      <c r="C23" s="228">
        <v>2</v>
      </c>
      <c r="D23" s="228">
        <v>24060</v>
      </c>
      <c r="E23" s="228">
        <v>0</v>
      </c>
      <c r="F23" s="228">
        <v>2</v>
      </c>
      <c r="G23" s="228">
        <v>31</v>
      </c>
      <c r="H23" s="228">
        <v>0</v>
      </c>
      <c r="I23" s="228">
        <v>0</v>
      </c>
      <c r="J23" s="332" t="s">
        <v>1016</v>
      </c>
    </row>
    <row r="24" spans="1:10" ht="16">
      <c r="A24" s="227">
        <v>46211</v>
      </c>
      <c r="B24" s="228">
        <v>59</v>
      </c>
      <c r="C24" s="228">
        <v>2</v>
      </c>
      <c r="D24" s="228">
        <v>25128</v>
      </c>
      <c r="E24" s="228">
        <v>0</v>
      </c>
      <c r="F24" s="228">
        <v>1</v>
      </c>
      <c r="G24" s="228">
        <v>21</v>
      </c>
      <c r="H24" s="228">
        <v>0</v>
      </c>
      <c r="I24" s="228">
        <v>0</v>
      </c>
      <c r="J24" s="332" t="s">
        <v>1016</v>
      </c>
    </row>
    <row r="25" spans="1:10" ht="16">
      <c r="A25" s="227">
        <v>46212</v>
      </c>
      <c r="B25" s="228">
        <v>83</v>
      </c>
      <c r="C25" s="228">
        <v>7</v>
      </c>
      <c r="D25" s="228">
        <v>27641</v>
      </c>
      <c r="E25" s="228">
        <v>0</v>
      </c>
      <c r="F25" s="228">
        <v>2</v>
      </c>
      <c r="G25" s="228">
        <v>45</v>
      </c>
      <c r="H25" s="228">
        <v>0</v>
      </c>
      <c r="I25" s="228">
        <v>19</v>
      </c>
      <c r="J25" s="332" t="s">
        <v>1016</v>
      </c>
    </row>
    <row r="26" spans="1:10" ht="16">
      <c r="A26" s="227">
        <v>46213</v>
      </c>
      <c r="B26" s="228">
        <v>44</v>
      </c>
      <c r="C26" s="228">
        <v>5</v>
      </c>
      <c r="D26" s="228">
        <v>27693</v>
      </c>
      <c r="E26" s="228">
        <v>0</v>
      </c>
      <c r="F26" s="228">
        <v>2</v>
      </c>
      <c r="G26" s="228">
        <v>154</v>
      </c>
      <c r="H26" s="228">
        <v>112</v>
      </c>
      <c r="I26" s="228">
        <v>20</v>
      </c>
      <c r="J26" s="332" t="s">
        <v>1016</v>
      </c>
    </row>
    <row r="27" spans="1:10" ht="16">
      <c r="A27" s="227">
        <v>46214</v>
      </c>
      <c r="B27" s="228">
        <v>40</v>
      </c>
      <c r="C27" s="228">
        <v>6</v>
      </c>
      <c r="D27" s="228">
        <v>28851</v>
      </c>
      <c r="E27" s="228">
        <v>0</v>
      </c>
      <c r="F27" s="228">
        <v>3</v>
      </c>
      <c r="G27" s="228">
        <v>121</v>
      </c>
      <c r="H27" s="228">
        <v>184</v>
      </c>
      <c r="I27" s="228">
        <v>57</v>
      </c>
      <c r="J27" s="332" t="s">
        <v>1016</v>
      </c>
    </row>
    <row r="28" spans="1:10" ht="16">
      <c r="A28" s="227">
        <v>46215</v>
      </c>
      <c r="B28" s="228">
        <v>43</v>
      </c>
      <c r="C28" s="228">
        <v>6</v>
      </c>
      <c r="D28" s="228">
        <v>30838</v>
      </c>
      <c r="E28" s="228">
        <v>0</v>
      </c>
      <c r="F28" s="228">
        <v>4</v>
      </c>
      <c r="G28" s="228">
        <v>121</v>
      </c>
      <c r="H28" s="228">
        <v>188</v>
      </c>
      <c r="I28" s="228">
        <v>163</v>
      </c>
      <c r="J28" s="332" t="s">
        <v>1016</v>
      </c>
    </row>
    <row r="29" spans="1:10" ht="16">
      <c r="A29" s="227">
        <v>46216</v>
      </c>
      <c r="B29" s="228">
        <v>42</v>
      </c>
      <c r="C29" s="228">
        <v>6</v>
      </c>
      <c r="D29" s="228">
        <v>33851</v>
      </c>
      <c r="E29" s="228">
        <v>0</v>
      </c>
      <c r="F29" s="228">
        <v>4</v>
      </c>
      <c r="G29" s="228">
        <v>121</v>
      </c>
      <c r="H29" s="228">
        <v>192</v>
      </c>
      <c r="I29" s="228">
        <v>175</v>
      </c>
      <c r="J29" s="332" t="s">
        <v>1016</v>
      </c>
    </row>
    <row r="30" spans="1:10" ht="16">
      <c r="A30" s="227">
        <v>46217</v>
      </c>
      <c r="B30" s="228">
        <v>46</v>
      </c>
      <c r="C30" s="228">
        <v>5</v>
      </c>
      <c r="D30" s="228">
        <v>34720</v>
      </c>
      <c r="E30" s="228">
        <v>0</v>
      </c>
      <c r="F30" s="228">
        <v>3</v>
      </c>
      <c r="G30" s="228">
        <v>121</v>
      </c>
      <c r="H30" s="228">
        <v>164</v>
      </c>
      <c r="I30" s="228">
        <v>203</v>
      </c>
      <c r="J30" s="332" t="s">
        <v>1016</v>
      </c>
    </row>
    <row r="31" spans="1:10" ht="16">
      <c r="A31" s="227">
        <v>46218</v>
      </c>
      <c r="B31" s="228">
        <v>50</v>
      </c>
      <c r="C31" s="228">
        <v>5</v>
      </c>
      <c r="D31" s="228">
        <v>37481</v>
      </c>
      <c r="E31" s="228">
        <v>0</v>
      </c>
      <c r="F31" s="228">
        <v>3</v>
      </c>
      <c r="G31" s="228">
        <v>587</v>
      </c>
      <c r="H31" s="228">
        <v>269</v>
      </c>
      <c r="I31" s="228">
        <v>166</v>
      </c>
      <c r="J31" s="332" t="s">
        <v>1016</v>
      </c>
    </row>
    <row r="32" spans="1:10" ht="16">
      <c r="A32" s="227">
        <v>46219</v>
      </c>
      <c r="B32" s="228">
        <v>101</v>
      </c>
      <c r="C32" s="228">
        <v>13</v>
      </c>
      <c r="D32" s="228">
        <v>51315</v>
      </c>
      <c r="E32" s="228">
        <v>0</v>
      </c>
      <c r="F32" s="228">
        <v>4</v>
      </c>
      <c r="G32" s="228">
        <v>2188</v>
      </c>
      <c r="H32" s="228">
        <v>883</v>
      </c>
      <c r="I32" s="228">
        <v>996</v>
      </c>
      <c r="J32" s="332" t="s">
        <v>1016</v>
      </c>
    </row>
    <row r="33" spans="1:10" ht="16">
      <c r="A33" s="227">
        <v>46220</v>
      </c>
      <c r="B33" s="228">
        <v>139</v>
      </c>
      <c r="C33" s="228">
        <v>27</v>
      </c>
      <c r="D33" s="228">
        <v>93765</v>
      </c>
      <c r="E33" s="228">
        <v>0</v>
      </c>
      <c r="F33" s="228">
        <v>9</v>
      </c>
      <c r="G33" s="228">
        <v>2187</v>
      </c>
      <c r="H33" s="228">
        <v>1512</v>
      </c>
      <c r="I33" s="228">
        <v>825</v>
      </c>
      <c r="J33" s="332" t="s">
        <v>1016</v>
      </c>
    </row>
    <row r="34" spans="1:10" ht="16">
      <c r="A34" s="227">
        <v>46221</v>
      </c>
      <c r="B34" s="228">
        <v>121</v>
      </c>
      <c r="C34" s="228">
        <v>32</v>
      </c>
      <c r="D34" s="228">
        <v>177264</v>
      </c>
      <c r="E34" s="228">
        <v>0</v>
      </c>
      <c r="F34" s="228">
        <v>11</v>
      </c>
      <c r="G34" s="228">
        <v>2785</v>
      </c>
      <c r="H34" s="228">
        <v>1363</v>
      </c>
      <c r="I34" s="228">
        <v>701</v>
      </c>
      <c r="J34" s="332" t="s">
        <v>1016</v>
      </c>
    </row>
    <row r="35" spans="1:10" ht="16">
      <c r="A35" s="227">
        <v>46222</v>
      </c>
      <c r="B35" s="228">
        <v>101</v>
      </c>
      <c r="C35" s="228">
        <v>29</v>
      </c>
      <c r="D35" s="228">
        <v>251464</v>
      </c>
      <c r="E35" s="228">
        <v>0</v>
      </c>
      <c r="F35" s="228">
        <v>11</v>
      </c>
      <c r="G35" s="228">
        <v>2904</v>
      </c>
      <c r="H35" s="228">
        <v>1360</v>
      </c>
      <c r="I35" s="228">
        <v>745</v>
      </c>
      <c r="J35" s="332" t="s">
        <v>1016</v>
      </c>
    </row>
    <row r="36" spans="1:10" ht="16">
      <c r="A36" s="227">
        <v>46223</v>
      </c>
      <c r="B36" s="228">
        <v>91</v>
      </c>
      <c r="C36" s="228">
        <v>22</v>
      </c>
      <c r="D36" s="228">
        <v>371077</v>
      </c>
      <c r="E36" s="228">
        <v>19</v>
      </c>
      <c r="F36" s="228">
        <v>6</v>
      </c>
      <c r="G36" s="228">
        <v>4453</v>
      </c>
      <c r="H36" s="228">
        <v>2657</v>
      </c>
      <c r="I36" s="228">
        <v>840</v>
      </c>
      <c r="J36" s="332" t="s">
        <v>1016</v>
      </c>
    </row>
    <row r="37" spans="1:10" ht="16">
      <c r="A37" s="227">
        <v>46224</v>
      </c>
      <c r="B37" s="228">
        <v>85</v>
      </c>
      <c r="C37" s="228">
        <v>22</v>
      </c>
      <c r="D37" s="228">
        <v>368661</v>
      </c>
      <c r="E37" s="228">
        <v>20</v>
      </c>
      <c r="F37" s="228">
        <v>7</v>
      </c>
      <c r="G37" s="228">
        <v>5230</v>
      </c>
      <c r="H37" s="228">
        <v>1789</v>
      </c>
      <c r="I37" s="228">
        <v>583</v>
      </c>
      <c r="J37" s="332" t="s">
        <v>1016</v>
      </c>
    </row>
    <row r="38" spans="1:10" ht="16">
      <c r="A38" s="227">
        <v>46225</v>
      </c>
      <c r="B38" s="228">
        <v>77</v>
      </c>
      <c r="C38" s="228">
        <v>23</v>
      </c>
      <c r="D38" s="228">
        <v>449322</v>
      </c>
      <c r="E38" s="228">
        <v>93</v>
      </c>
      <c r="F38" s="228">
        <v>8</v>
      </c>
      <c r="G38" s="228">
        <v>6438</v>
      </c>
      <c r="H38" s="228">
        <v>1225</v>
      </c>
      <c r="I38" s="228">
        <v>471</v>
      </c>
      <c r="J38" s="332" t="s">
        <v>1016</v>
      </c>
    </row>
    <row r="39" spans="1:10" ht="16">
      <c r="A39" s="227">
        <v>46226</v>
      </c>
      <c r="B39" s="228">
        <v>140</v>
      </c>
      <c r="C39" s="228">
        <v>25</v>
      </c>
      <c r="D39" s="228">
        <v>498376</v>
      </c>
      <c r="E39" s="228">
        <v>71</v>
      </c>
      <c r="F39" s="228">
        <v>9</v>
      </c>
      <c r="G39" s="228">
        <v>6567</v>
      </c>
      <c r="H39" s="228">
        <v>1495</v>
      </c>
      <c r="I39" s="228">
        <v>1276</v>
      </c>
      <c r="J39" s="332" t="s">
        <v>1016</v>
      </c>
    </row>
    <row r="40" spans="1:10" ht="16">
      <c r="A40" s="227">
        <v>46227</v>
      </c>
      <c r="B40" s="228">
        <v>155</v>
      </c>
      <c r="C40" s="228">
        <v>27</v>
      </c>
      <c r="D40" s="228">
        <v>550472</v>
      </c>
      <c r="E40" s="228">
        <v>71</v>
      </c>
      <c r="F40" s="228">
        <v>7</v>
      </c>
      <c r="G40" s="228">
        <v>5563</v>
      </c>
      <c r="H40" s="228">
        <v>1489</v>
      </c>
      <c r="I40" s="228">
        <v>1311</v>
      </c>
      <c r="J40" s="332" t="s">
        <v>1016</v>
      </c>
    </row>
    <row r="41" spans="1:10" ht="16">
      <c r="A41" s="227">
        <v>46228</v>
      </c>
      <c r="B41" s="228">
        <v>145</v>
      </c>
      <c r="C41" s="228">
        <v>35</v>
      </c>
      <c r="D41" s="228">
        <v>669927</v>
      </c>
      <c r="E41" s="228">
        <v>90</v>
      </c>
      <c r="F41" s="228">
        <v>10</v>
      </c>
      <c r="G41" s="228">
        <v>5724</v>
      </c>
      <c r="H41" s="228">
        <v>2726</v>
      </c>
      <c r="I41" s="228">
        <v>2317</v>
      </c>
      <c r="J41" s="332" t="s">
        <v>1016</v>
      </c>
    </row>
    <row r="42" spans="1:10" ht="16">
      <c r="A42" s="227">
        <v>46229</v>
      </c>
      <c r="B42" s="228">
        <v>117</v>
      </c>
      <c r="C42" s="228">
        <v>37</v>
      </c>
      <c r="D42" s="228">
        <v>1053674</v>
      </c>
      <c r="E42" s="228">
        <v>90</v>
      </c>
      <c r="F42" s="228">
        <v>10</v>
      </c>
      <c r="G42" s="228">
        <v>5858</v>
      </c>
      <c r="H42" s="228">
        <v>2580</v>
      </c>
      <c r="I42" s="228">
        <v>2759</v>
      </c>
      <c r="J42" s="332" t="s">
        <v>1016</v>
      </c>
    </row>
    <row r="43" spans="1:10" ht="16">
      <c r="A43" s="227">
        <v>46230</v>
      </c>
      <c r="B43" s="228">
        <v>92</v>
      </c>
      <c r="C43" s="228">
        <v>37</v>
      </c>
      <c r="D43" s="228">
        <v>1372091</v>
      </c>
      <c r="E43" s="228">
        <v>98</v>
      </c>
      <c r="F43" s="228">
        <v>10</v>
      </c>
      <c r="G43" s="228">
        <v>7487</v>
      </c>
      <c r="H43" s="228">
        <v>2932</v>
      </c>
      <c r="I43" s="228">
        <v>2795</v>
      </c>
      <c r="J43" s="332" t="s">
        <v>1016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72B2"/>
  </sheetPr>
  <dimension ref="B1:AM35"/>
  <sheetViews>
    <sheetView tabSelected="1" workbookViewId="0">
      <selection activeCell="AS19" sqref="AS19"/>
    </sheetView>
  </sheetViews>
  <sheetFormatPr baseColWidth="10" defaultColWidth="8.83203125" defaultRowHeight="15"/>
  <cols>
    <col min="1" max="1" width="3.5" customWidth="1"/>
    <col min="2" max="3" width="10.5" customWidth="1"/>
    <col min="4" max="4" width="34.83203125" customWidth="1"/>
    <col min="5" max="5" width="16.5" customWidth="1"/>
    <col min="6" max="8" width="18.5" customWidth="1"/>
    <col min="9" max="9" width="3.5" customWidth="1"/>
    <col min="10" max="39" width="6" hidden="1" customWidth="1"/>
  </cols>
  <sheetData>
    <row r="1" spans="2:39" ht="27">
      <c r="B1" s="291" t="s">
        <v>1017</v>
      </c>
      <c r="C1" s="237"/>
      <c r="D1" s="237"/>
      <c r="E1" s="237"/>
      <c r="F1" s="237"/>
      <c r="G1" s="237"/>
      <c r="H1" s="237"/>
    </row>
    <row r="3" spans="2:39" ht="19">
      <c r="C3" s="333" t="s">
        <v>996</v>
      </c>
      <c r="D3" s="334">
        <f>'Dashboard (2)'!$E$3</f>
        <v>46223</v>
      </c>
    </row>
    <row r="4" spans="2:39" ht="19">
      <c r="C4" s="333" t="s">
        <v>317</v>
      </c>
      <c r="D4" s="335">
        <f>0+'Dashboard (2)'!$B$23</f>
        <v>2026</v>
      </c>
    </row>
    <row r="6" spans="2:39" ht="45" hidden="1" customHeight="1">
      <c r="D6" s="290" t="s">
        <v>997</v>
      </c>
      <c r="E6" s="237"/>
      <c r="F6" s="237"/>
      <c r="G6" s="237"/>
      <c r="H6" s="237"/>
    </row>
    <row r="7" spans="2:39" ht="45" customHeight="1">
      <c r="D7" s="229"/>
    </row>
    <row r="8" spans="2:39" ht="22">
      <c r="D8" s="124"/>
      <c r="E8" s="124"/>
      <c r="F8" s="350" t="s">
        <v>1015</v>
      </c>
      <c r="G8" s="350"/>
      <c r="H8" s="350"/>
    </row>
    <row r="9" spans="2:39" ht="20">
      <c r="D9" s="323" t="s">
        <v>998</v>
      </c>
      <c r="E9" s="331" t="s">
        <v>999</v>
      </c>
      <c r="F9" s="351" t="s">
        <v>1000</v>
      </c>
      <c r="G9" s="351" t="s">
        <v>1001</v>
      </c>
      <c r="H9" s="351" t="s">
        <v>1002</v>
      </c>
    </row>
    <row r="10" spans="2:39" ht="22">
      <c r="D10" s="342" t="s">
        <v>989</v>
      </c>
      <c r="E10" s="343">
        <f>'Dashboard (2)'!$B$10</f>
        <v>37</v>
      </c>
      <c r="F10" s="325">
        <f>IFERROR($E$10-VLOOKUP($D$3-1,DailyLog,3,FALSE),"n/a")</f>
        <v>8</v>
      </c>
      <c r="G10" s="325">
        <f>IFERROR($E$10-VLOOKUP($D$3-7,DailyLog,3,FALSE),"n/a")</f>
        <v>31</v>
      </c>
      <c r="H10" s="325">
        <f>IFERROR($E$10-VLOOKUP($D$3-30,DailyLog,3,FALSE),"n/a")</f>
        <v>35</v>
      </c>
    </row>
    <row r="11" spans="2:39" ht="10" customHeight="1">
      <c r="D11" s="344"/>
      <c r="E11" s="345"/>
      <c r="F11" s="327"/>
      <c r="G11" s="327"/>
      <c r="H11" s="327"/>
      <c r="J11" s="230">
        <f>IFERROR(IF(COUNTA('Daily Metrics Log'!$C$2:$C$2000)-29&gt;=1,INDEX('Daily Metrics Log'!$C$2:$C$2000,COUNTA('Daily Metrics Log'!$C$2:$C$2000)-29),NA()),NA())</f>
        <v>1</v>
      </c>
      <c r="K11" s="230">
        <f>IFERROR(IF(COUNTA('Daily Metrics Log'!$C$2:$C$2000)-28&gt;=1,INDEX('Daily Metrics Log'!$C$2:$C$2000,COUNTA('Daily Metrics Log'!$C$2:$C$2000)-28),NA()),NA())</f>
        <v>1</v>
      </c>
      <c r="L11" s="230">
        <f>IFERROR(IF(COUNTA('Daily Metrics Log'!$C$2:$C$2000)-27&gt;=1,INDEX('Daily Metrics Log'!$C$2:$C$2000,COUNTA('Daily Metrics Log'!$C$2:$C$2000)-27),NA()),NA())</f>
        <v>1</v>
      </c>
      <c r="M11" s="230">
        <f>IFERROR(IF(COUNTA('Daily Metrics Log'!$C$2:$C$2000)-26&gt;=1,INDEX('Daily Metrics Log'!$C$2:$C$2000,COUNTA('Daily Metrics Log'!$C$2:$C$2000)-26),NA()),NA())</f>
        <v>2</v>
      </c>
      <c r="N11" s="230">
        <f>IFERROR(IF(COUNTA('Daily Metrics Log'!$C$2:$C$2000)-25&gt;=1,INDEX('Daily Metrics Log'!$C$2:$C$2000,COUNTA('Daily Metrics Log'!$C$2:$C$2000)-25),NA()),NA())</f>
        <v>2</v>
      </c>
      <c r="O11" s="230">
        <f>IFERROR(IF(COUNTA('Daily Metrics Log'!$C$2:$C$2000)-24&gt;=1,INDEX('Daily Metrics Log'!$C$2:$C$2000,COUNTA('Daily Metrics Log'!$C$2:$C$2000)-24),NA()),NA())</f>
        <v>1</v>
      </c>
      <c r="P11" s="230">
        <f>IFERROR(IF(COUNTA('Daily Metrics Log'!$C$2:$C$2000)-23&gt;=1,INDEX('Daily Metrics Log'!$C$2:$C$2000,COUNTA('Daily Metrics Log'!$C$2:$C$2000)-23),NA()),NA())</f>
        <v>0</v>
      </c>
      <c r="Q11" s="230">
        <f>IFERROR(IF(COUNTA('Daily Metrics Log'!$C$2:$C$2000)-22&gt;=1,INDEX('Daily Metrics Log'!$C$2:$C$2000,COUNTA('Daily Metrics Log'!$C$2:$C$2000)-22),NA()),NA())</f>
        <v>3</v>
      </c>
      <c r="R11" s="230">
        <f>IFERROR(IF(COUNTA('Daily Metrics Log'!$C$2:$C$2000)-21&gt;=1,INDEX('Daily Metrics Log'!$C$2:$C$2000,COUNTA('Daily Metrics Log'!$C$2:$C$2000)-21),NA()),NA())</f>
        <v>3</v>
      </c>
      <c r="S11" s="230">
        <f>IFERROR(IF(COUNTA('Daily Metrics Log'!$C$2:$C$2000)-20&gt;=1,INDEX('Daily Metrics Log'!$C$2:$C$2000,COUNTA('Daily Metrics Log'!$C$2:$C$2000)-20),NA()),NA())</f>
        <v>2</v>
      </c>
      <c r="T11" s="230">
        <f>IFERROR(IF(COUNTA('Daily Metrics Log'!$C$2:$C$2000)-19&gt;=1,INDEX('Daily Metrics Log'!$C$2:$C$2000,COUNTA('Daily Metrics Log'!$C$2:$C$2000)-19),NA()),NA())</f>
        <v>2</v>
      </c>
      <c r="U11" s="230">
        <f>IFERROR(IF(COUNTA('Daily Metrics Log'!$C$2:$C$2000)-18&gt;=1,INDEX('Daily Metrics Log'!$C$2:$C$2000,COUNTA('Daily Metrics Log'!$C$2:$C$2000)-18),NA()),NA())</f>
        <v>7</v>
      </c>
      <c r="V11" s="230">
        <f>IFERROR(IF(COUNTA('Daily Metrics Log'!$C$2:$C$2000)-17&gt;=1,INDEX('Daily Metrics Log'!$C$2:$C$2000,COUNTA('Daily Metrics Log'!$C$2:$C$2000)-17),NA()),NA())</f>
        <v>5</v>
      </c>
      <c r="W11" s="230">
        <f>IFERROR(IF(COUNTA('Daily Metrics Log'!$C$2:$C$2000)-16&gt;=1,INDEX('Daily Metrics Log'!$C$2:$C$2000,COUNTA('Daily Metrics Log'!$C$2:$C$2000)-16),NA()),NA())</f>
        <v>6</v>
      </c>
      <c r="X11" s="230">
        <f>IFERROR(IF(COUNTA('Daily Metrics Log'!$C$2:$C$2000)-15&gt;=1,INDEX('Daily Metrics Log'!$C$2:$C$2000,COUNTA('Daily Metrics Log'!$C$2:$C$2000)-15),NA()),NA())</f>
        <v>6</v>
      </c>
      <c r="Y11" s="230">
        <f>IFERROR(IF(COUNTA('Daily Metrics Log'!$C$2:$C$2000)-14&gt;=1,INDEX('Daily Metrics Log'!$C$2:$C$2000,COUNTA('Daily Metrics Log'!$C$2:$C$2000)-14),NA()),NA())</f>
        <v>6</v>
      </c>
      <c r="Z11" s="230">
        <f>IFERROR(IF(COUNTA('Daily Metrics Log'!$C$2:$C$2000)-13&gt;=1,INDEX('Daily Metrics Log'!$C$2:$C$2000,COUNTA('Daily Metrics Log'!$C$2:$C$2000)-13),NA()),NA())</f>
        <v>5</v>
      </c>
      <c r="AA11" s="230">
        <f>IFERROR(IF(COUNTA('Daily Metrics Log'!$C$2:$C$2000)-12&gt;=1,INDEX('Daily Metrics Log'!$C$2:$C$2000,COUNTA('Daily Metrics Log'!$C$2:$C$2000)-12),NA()),NA())</f>
        <v>5</v>
      </c>
      <c r="AB11" s="230">
        <f>IFERROR(IF(COUNTA('Daily Metrics Log'!$C$2:$C$2000)-11&gt;=1,INDEX('Daily Metrics Log'!$C$2:$C$2000,COUNTA('Daily Metrics Log'!$C$2:$C$2000)-11),NA()),NA())</f>
        <v>13</v>
      </c>
      <c r="AC11" s="230">
        <f>IFERROR(IF(COUNTA('Daily Metrics Log'!$C$2:$C$2000)-10&gt;=1,INDEX('Daily Metrics Log'!$C$2:$C$2000,COUNTA('Daily Metrics Log'!$C$2:$C$2000)-10),NA()),NA())</f>
        <v>27</v>
      </c>
      <c r="AD11" s="230">
        <f>IFERROR(IF(COUNTA('Daily Metrics Log'!$C$2:$C$2000)-9&gt;=1,INDEX('Daily Metrics Log'!$C$2:$C$2000,COUNTA('Daily Metrics Log'!$C$2:$C$2000)-9),NA()),NA())</f>
        <v>32</v>
      </c>
      <c r="AE11" s="230">
        <f>IFERROR(IF(COUNTA('Daily Metrics Log'!$C$2:$C$2000)-8&gt;=1,INDEX('Daily Metrics Log'!$C$2:$C$2000,COUNTA('Daily Metrics Log'!$C$2:$C$2000)-8),NA()),NA())</f>
        <v>29</v>
      </c>
      <c r="AF11" s="230">
        <f>IFERROR(IF(COUNTA('Daily Metrics Log'!$C$2:$C$2000)-7&gt;=1,INDEX('Daily Metrics Log'!$C$2:$C$2000,COUNTA('Daily Metrics Log'!$C$2:$C$2000)-7),NA()),NA())</f>
        <v>22</v>
      </c>
      <c r="AG11" s="230">
        <f>IFERROR(IF(COUNTA('Daily Metrics Log'!$C$2:$C$2000)-6&gt;=1,INDEX('Daily Metrics Log'!$C$2:$C$2000,COUNTA('Daily Metrics Log'!$C$2:$C$2000)-6),NA()),NA())</f>
        <v>22</v>
      </c>
      <c r="AH11" s="230">
        <f>IFERROR(IF(COUNTA('Daily Metrics Log'!$C$2:$C$2000)-5&gt;=1,INDEX('Daily Metrics Log'!$C$2:$C$2000,COUNTA('Daily Metrics Log'!$C$2:$C$2000)-5),NA()),NA())</f>
        <v>23</v>
      </c>
      <c r="AI11" s="230">
        <f>IFERROR(IF(COUNTA('Daily Metrics Log'!$C$2:$C$2000)-4&gt;=1,INDEX('Daily Metrics Log'!$C$2:$C$2000,COUNTA('Daily Metrics Log'!$C$2:$C$2000)-4),NA()),NA())</f>
        <v>25</v>
      </c>
      <c r="AJ11" s="230">
        <f>IFERROR(IF(COUNTA('Daily Metrics Log'!$C$2:$C$2000)-3&gt;=1,INDEX('Daily Metrics Log'!$C$2:$C$2000,COUNTA('Daily Metrics Log'!$C$2:$C$2000)-3),NA()),NA())</f>
        <v>27</v>
      </c>
      <c r="AK11" s="230">
        <f>IFERROR(IF(COUNTA('Daily Metrics Log'!$C$2:$C$2000)-2&gt;=1,INDEX('Daily Metrics Log'!$C$2:$C$2000,COUNTA('Daily Metrics Log'!$C$2:$C$2000)-2),NA()),NA())</f>
        <v>35</v>
      </c>
      <c r="AL11" s="230">
        <f>IFERROR(IF(COUNTA('Daily Metrics Log'!$C$2:$C$2000)-1&gt;=1,INDEX('Daily Metrics Log'!$C$2:$C$2000,COUNTA('Daily Metrics Log'!$C$2:$C$2000)-1),NA()),NA())</f>
        <v>37</v>
      </c>
      <c r="AM11" s="230">
        <f>IFERROR(IF(COUNTA('Daily Metrics Log'!$C$2:$C$2000)-0&gt;=1,INDEX('Daily Metrics Log'!$C$2:$C$2000,COUNTA('Daily Metrics Log'!$C$2:$C$2000)-0),NA()),NA())</f>
        <v>37</v>
      </c>
    </row>
    <row r="12" spans="2:39" ht="22">
      <c r="D12" s="346" t="s">
        <v>990</v>
      </c>
      <c r="E12" s="347">
        <f>'Dashboard (2)'!$F$69</f>
        <v>1368590</v>
      </c>
      <c r="F12" s="325">
        <f>IFERROR($E$12-VLOOKUP($D$3-1,DailyLog,4,FALSE),"n/a")</f>
        <v>1117126</v>
      </c>
      <c r="G12" s="325">
        <f>IFERROR($E$12-VLOOKUP($D$3-7,DailyLog,4,FALSE),"n/a")</f>
        <v>1334739</v>
      </c>
      <c r="H12" s="325">
        <f>IFERROR($E$12-VLOOKUP($D$3-30,DailyLog,4,FALSE),"n/a")</f>
        <v>1359804</v>
      </c>
    </row>
    <row r="13" spans="2:39" ht="10" customHeight="1">
      <c r="D13" s="344"/>
      <c r="E13" s="345"/>
      <c r="F13" s="327"/>
      <c r="G13" s="327"/>
      <c r="H13" s="327"/>
      <c r="J13" s="230">
        <f>IFERROR(IF(COUNTA('Daily Metrics Log'!$D$2:$D$2000)-29&gt;=1,INDEX('Daily Metrics Log'!$D$2:$D$2000,COUNTA('Daily Metrics Log'!$D$2:$D$2000)-29),NA()),NA())</f>
        <v>14938</v>
      </c>
      <c r="K13" s="230">
        <f>IFERROR(IF(COUNTA('Daily Metrics Log'!$D$2:$D$2000)-28&gt;=1,INDEX('Daily Metrics Log'!$D$2:$D$2000,COUNTA('Daily Metrics Log'!$D$2:$D$2000)-28),NA()),NA())</f>
        <v>14838</v>
      </c>
      <c r="L13" s="230">
        <f>IFERROR(IF(COUNTA('Daily Metrics Log'!$D$2:$D$2000)-27&gt;=1,INDEX('Daily Metrics Log'!$D$2:$D$2000,COUNTA('Daily Metrics Log'!$D$2:$D$2000)-27),NA()),NA())</f>
        <v>14838</v>
      </c>
      <c r="M13" s="230">
        <f>IFERROR(IF(COUNTA('Daily Metrics Log'!$D$2:$D$2000)-26&gt;=1,INDEX('Daily Metrics Log'!$D$2:$D$2000,COUNTA('Daily Metrics Log'!$D$2:$D$2000)-26),NA()),NA())</f>
        <v>15278</v>
      </c>
      <c r="N13" s="230">
        <f>IFERROR(IF(COUNTA('Daily Metrics Log'!$D$2:$D$2000)-25&gt;=1,INDEX('Daily Metrics Log'!$D$2:$D$2000,COUNTA('Daily Metrics Log'!$D$2:$D$2000)-25),NA()),NA())</f>
        <v>18029</v>
      </c>
      <c r="O13" s="230">
        <f>IFERROR(IF(COUNTA('Daily Metrics Log'!$D$2:$D$2000)-24&gt;=1,INDEX('Daily Metrics Log'!$D$2:$D$2000,COUNTA('Daily Metrics Log'!$D$2:$D$2000)-24),NA()),NA())</f>
        <v>18029</v>
      </c>
      <c r="P13" s="230">
        <f>IFERROR(IF(COUNTA('Daily Metrics Log'!$D$2:$D$2000)-23&gt;=1,INDEX('Daily Metrics Log'!$D$2:$D$2000,COUNTA('Daily Metrics Log'!$D$2:$D$2000)-23),NA()),NA())</f>
        <v>18029</v>
      </c>
      <c r="Q13" s="230">
        <f>IFERROR(IF(COUNTA('Daily Metrics Log'!$D$2:$D$2000)-22&gt;=1,INDEX('Daily Metrics Log'!$D$2:$D$2000,COUNTA('Daily Metrics Log'!$D$2:$D$2000)-22),NA()),NA())</f>
        <v>19917</v>
      </c>
      <c r="R13" s="230">
        <f>IFERROR(IF(COUNTA('Daily Metrics Log'!$D$2:$D$2000)-21&gt;=1,INDEX('Daily Metrics Log'!$D$2:$D$2000,COUNTA('Daily Metrics Log'!$D$2:$D$2000)-21),NA()),NA())</f>
        <v>23310</v>
      </c>
      <c r="S13" s="230">
        <f>IFERROR(IF(COUNTA('Daily Metrics Log'!$D$2:$D$2000)-20&gt;=1,INDEX('Daily Metrics Log'!$D$2:$D$2000,COUNTA('Daily Metrics Log'!$D$2:$D$2000)-20),NA()),NA())</f>
        <v>24060</v>
      </c>
      <c r="T13" s="230">
        <f>IFERROR(IF(COUNTA('Daily Metrics Log'!$D$2:$D$2000)-19&gt;=1,INDEX('Daily Metrics Log'!$D$2:$D$2000,COUNTA('Daily Metrics Log'!$D$2:$D$2000)-19),NA()),NA())</f>
        <v>25128</v>
      </c>
      <c r="U13" s="230">
        <f>IFERROR(IF(COUNTA('Daily Metrics Log'!$D$2:$D$2000)-18&gt;=1,INDEX('Daily Metrics Log'!$D$2:$D$2000,COUNTA('Daily Metrics Log'!$D$2:$D$2000)-18),NA()),NA())</f>
        <v>27641</v>
      </c>
      <c r="V13" s="230">
        <f>IFERROR(IF(COUNTA('Daily Metrics Log'!$D$2:$D$2000)-17&gt;=1,INDEX('Daily Metrics Log'!$D$2:$D$2000,COUNTA('Daily Metrics Log'!$D$2:$D$2000)-17),NA()),NA())</f>
        <v>27693</v>
      </c>
      <c r="W13" s="230">
        <f>IFERROR(IF(COUNTA('Daily Metrics Log'!$D$2:$D$2000)-16&gt;=1,INDEX('Daily Metrics Log'!$D$2:$D$2000,COUNTA('Daily Metrics Log'!$D$2:$D$2000)-16),NA()),NA())</f>
        <v>28851</v>
      </c>
      <c r="X13" s="230">
        <f>IFERROR(IF(COUNTA('Daily Metrics Log'!$D$2:$D$2000)-15&gt;=1,INDEX('Daily Metrics Log'!$D$2:$D$2000,COUNTA('Daily Metrics Log'!$D$2:$D$2000)-15),NA()),NA())</f>
        <v>30838</v>
      </c>
      <c r="Y13" s="230">
        <f>IFERROR(IF(COUNTA('Daily Metrics Log'!$D$2:$D$2000)-14&gt;=1,INDEX('Daily Metrics Log'!$D$2:$D$2000,COUNTA('Daily Metrics Log'!$D$2:$D$2000)-14),NA()),NA())</f>
        <v>33851</v>
      </c>
      <c r="Z13" s="230">
        <f>IFERROR(IF(COUNTA('Daily Metrics Log'!$D$2:$D$2000)-13&gt;=1,INDEX('Daily Metrics Log'!$D$2:$D$2000,COUNTA('Daily Metrics Log'!$D$2:$D$2000)-13),NA()),NA())</f>
        <v>34720</v>
      </c>
      <c r="AA13" s="230">
        <f>IFERROR(IF(COUNTA('Daily Metrics Log'!$D$2:$D$2000)-12&gt;=1,INDEX('Daily Metrics Log'!$D$2:$D$2000,COUNTA('Daily Metrics Log'!$D$2:$D$2000)-12),NA()),NA())</f>
        <v>37481</v>
      </c>
      <c r="AB13" s="230">
        <f>IFERROR(IF(COUNTA('Daily Metrics Log'!$D$2:$D$2000)-11&gt;=1,INDEX('Daily Metrics Log'!$D$2:$D$2000,COUNTA('Daily Metrics Log'!$D$2:$D$2000)-11),NA()),NA())</f>
        <v>51315</v>
      </c>
      <c r="AC13" s="230">
        <f>IFERROR(IF(COUNTA('Daily Metrics Log'!$D$2:$D$2000)-10&gt;=1,INDEX('Daily Metrics Log'!$D$2:$D$2000,COUNTA('Daily Metrics Log'!$D$2:$D$2000)-10),NA()),NA())</f>
        <v>93765</v>
      </c>
      <c r="AD13" s="230">
        <f>IFERROR(IF(COUNTA('Daily Metrics Log'!$D$2:$D$2000)-9&gt;=1,INDEX('Daily Metrics Log'!$D$2:$D$2000,COUNTA('Daily Metrics Log'!$D$2:$D$2000)-9),NA()),NA())</f>
        <v>177264</v>
      </c>
      <c r="AE13" s="230">
        <f>IFERROR(IF(COUNTA('Daily Metrics Log'!$D$2:$D$2000)-8&gt;=1,INDEX('Daily Metrics Log'!$D$2:$D$2000,COUNTA('Daily Metrics Log'!$D$2:$D$2000)-8),NA()),NA())</f>
        <v>251464</v>
      </c>
      <c r="AF13" s="230">
        <f>IFERROR(IF(COUNTA('Daily Metrics Log'!$D$2:$D$2000)-7&gt;=1,INDEX('Daily Metrics Log'!$D$2:$D$2000,COUNTA('Daily Metrics Log'!$D$2:$D$2000)-7),NA()),NA())</f>
        <v>371077</v>
      </c>
      <c r="AG13" s="230">
        <f>IFERROR(IF(COUNTA('Daily Metrics Log'!$D$2:$D$2000)-6&gt;=1,INDEX('Daily Metrics Log'!$D$2:$D$2000,COUNTA('Daily Metrics Log'!$D$2:$D$2000)-6),NA()),NA())</f>
        <v>368661</v>
      </c>
      <c r="AH13" s="230">
        <f>IFERROR(IF(COUNTA('Daily Metrics Log'!$D$2:$D$2000)-5&gt;=1,INDEX('Daily Metrics Log'!$D$2:$D$2000,COUNTA('Daily Metrics Log'!$D$2:$D$2000)-5),NA()),NA())</f>
        <v>449322</v>
      </c>
      <c r="AI13" s="230">
        <f>IFERROR(IF(COUNTA('Daily Metrics Log'!$D$2:$D$2000)-4&gt;=1,INDEX('Daily Metrics Log'!$D$2:$D$2000,COUNTA('Daily Metrics Log'!$D$2:$D$2000)-4),NA()),NA())</f>
        <v>498376</v>
      </c>
      <c r="AJ13" s="230">
        <f>IFERROR(IF(COUNTA('Daily Metrics Log'!$D$2:$D$2000)-3&gt;=1,INDEX('Daily Metrics Log'!$D$2:$D$2000,COUNTA('Daily Metrics Log'!$D$2:$D$2000)-3),NA()),NA())</f>
        <v>550472</v>
      </c>
      <c r="AK13" s="230">
        <f>IFERROR(IF(COUNTA('Daily Metrics Log'!$D$2:$D$2000)-2&gt;=1,INDEX('Daily Metrics Log'!$D$2:$D$2000,COUNTA('Daily Metrics Log'!$D$2:$D$2000)-2),NA()),NA())</f>
        <v>669927</v>
      </c>
      <c r="AL13" s="230">
        <f>IFERROR(IF(COUNTA('Daily Metrics Log'!$D$2:$D$2000)-1&gt;=1,INDEX('Daily Metrics Log'!$D$2:$D$2000,COUNTA('Daily Metrics Log'!$D$2:$D$2000)-1),NA()),NA())</f>
        <v>1053674</v>
      </c>
      <c r="AM13" s="230">
        <f>IFERROR(IF(COUNTA('Daily Metrics Log'!$D$2:$D$2000)-0&gt;=1,INDEX('Daily Metrics Log'!$D$2:$D$2000,COUNTA('Daily Metrics Log'!$D$2:$D$2000)-0),NA()),NA())</f>
        <v>1372091</v>
      </c>
    </row>
    <row r="14" spans="2:39" ht="22">
      <c r="D14" s="342" t="s">
        <v>1003</v>
      </c>
      <c r="E14" s="343">
        <f>'Dashboard (2)'!$E$4</f>
        <v>89</v>
      </c>
      <c r="F14" s="325">
        <f>IFERROR($E$14-VLOOKUP($D$3-1,DailyLog,2,FALSE),"n/a")</f>
        <v>-12</v>
      </c>
      <c r="G14" s="325">
        <f>IFERROR($E$14-VLOOKUP($D$3-7,DailyLog,2,FALSE),"n/a")</f>
        <v>47</v>
      </c>
      <c r="H14" s="325">
        <f>IFERROR($E$14-VLOOKUP($D$3-30,DailyLog,2,FALSE),"n/a")</f>
        <v>66</v>
      </c>
    </row>
    <row r="15" spans="2:39" ht="10" customHeight="1">
      <c r="D15" s="344"/>
      <c r="E15" s="345"/>
      <c r="F15" s="327"/>
      <c r="G15" s="327"/>
      <c r="H15" s="327"/>
      <c r="J15" s="230">
        <f>IFERROR(IF(COUNTA('Daily Metrics Log'!$B$2:$B$2000)-29&gt;=1,INDEX('Daily Metrics Log'!$B$2:$B$2000,COUNTA('Daily Metrics Log'!$B$2:$B$2000)-29),NA()),NA())</f>
        <v>27</v>
      </c>
      <c r="K15" s="230">
        <f>IFERROR(IF(COUNTA('Daily Metrics Log'!$B$2:$B$2000)-28&gt;=1,INDEX('Daily Metrics Log'!$B$2:$B$2000,COUNTA('Daily Metrics Log'!$B$2:$B$2000)-28),NA()),NA())</f>
        <v>27</v>
      </c>
      <c r="L15" s="230">
        <f>IFERROR(IF(COUNTA('Daily Metrics Log'!$B$2:$B$2000)-27&gt;=1,INDEX('Daily Metrics Log'!$B$2:$B$2000,COUNTA('Daily Metrics Log'!$B$2:$B$2000)-27),NA()),NA())</f>
        <v>15</v>
      </c>
      <c r="M15" s="230">
        <f>IFERROR(IF(COUNTA('Daily Metrics Log'!$B$2:$B$2000)-26&gt;=1,INDEX('Daily Metrics Log'!$B$2:$B$2000,COUNTA('Daily Metrics Log'!$B$2:$B$2000)-26),NA()),NA())</f>
        <v>22</v>
      </c>
      <c r="N15" s="230">
        <f>IFERROR(IF(COUNTA('Daily Metrics Log'!$B$2:$B$2000)-25&gt;=1,INDEX('Daily Metrics Log'!$B$2:$B$2000,COUNTA('Daily Metrics Log'!$B$2:$B$2000)-25),NA()),NA())</f>
        <v>22</v>
      </c>
      <c r="O15" s="230">
        <f>IFERROR(IF(COUNTA('Daily Metrics Log'!$B$2:$B$2000)-24&gt;=1,INDEX('Daily Metrics Log'!$B$2:$B$2000,COUNTA('Daily Metrics Log'!$B$2:$B$2000)-24),NA()),NA())</f>
        <v>31</v>
      </c>
      <c r="P15" s="230">
        <f>IFERROR(IF(COUNTA('Daily Metrics Log'!$B$2:$B$2000)-23&gt;=1,INDEX('Daily Metrics Log'!$B$2:$B$2000,COUNTA('Daily Metrics Log'!$B$2:$B$2000)-23),NA()),NA())</f>
        <v>27</v>
      </c>
      <c r="Q15" s="230">
        <f>IFERROR(IF(COUNTA('Daily Metrics Log'!$B$2:$B$2000)-22&gt;=1,INDEX('Daily Metrics Log'!$B$2:$B$2000,COUNTA('Daily Metrics Log'!$B$2:$B$2000)-22),NA()),NA())</f>
        <v>46</v>
      </c>
      <c r="R15" s="230">
        <f>IFERROR(IF(COUNTA('Daily Metrics Log'!$B$2:$B$2000)-21&gt;=1,INDEX('Daily Metrics Log'!$B$2:$B$2000,COUNTA('Daily Metrics Log'!$B$2:$B$2000)-21),NA()),NA())</f>
        <v>42</v>
      </c>
      <c r="S15" s="230">
        <f>IFERROR(IF(COUNTA('Daily Metrics Log'!$B$2:$B$2000)-20&gt;=1,INDEX('Daily Metrics Log'!$B$2:$B$2000,COUNTA('Daily Metrics Log'!$B$2:$B$2000)-20),NA()),NA())</f>
        <v>59</v>
      </c>
      <c r="T15" s="230">
        <f>IFERROR(IF(COUNTA('Daily Metrics Log'!$B$2:$B$2000)-19&gt;=1,INDEX('Daily Metrics Log'!$B$2:$B$2000,COUNTA('Daily Metrics Log'!$B$2:$B$2000)-19),NA()),NA())</f>
        <v>59</v>
      </c>
      <c r="U15" s="230">
        <f>IFERROR(IF(COUNTA('Daily Metrics Log'!$B$2:$B$2000)-18&gt;=1,INDEX('Daily Metrics Log'!$B$2:$B$2000,COUNTA('Daily Metrics Log'!$B$2:$B$2000)-18),NA()),NA())</f>
        <v>83</v>
      </c>
      <c r="V15" s="230">
        <f>IFERROR(IF(COUNTA('Daily Metrics Log'!$B$2:$B$2000)-17&gt;=1,INDEX('Daily Metrics Log'!$B$2:$B$2000,COUNTA('Daily Metrics Log'!$B$2:$B$2000)-17),NA()),NA())</f>
        <v>44</v>
      </c>
      <c r="W15" s="230">
        <f>IFERROR(IF(COUNTA('Daily Metrics Log'!$B$2:$B$2000)-16&gt;=1,INDEX('Daily Metrics Log'!$B$2:$B$2000,COUNTA('Daily Metrics Log'!$B$2:$B$2000)-16),NA()),NA())</f>
        <v>40</v>
      </c>
      <c r="X15" s="230">
        <f>IFERROR(IF(COUNTA('Daily Metrics Log'!$B$2:$B$2000)-15&gt;=1,INDEX('Daily Metrics Log'!$B$2:$B$2000,COUNTA('Daily Metrics Log'!$B$2:$B$2000)-15),NA()),NA())</f>
        <v>43</v>
      </c>
      <c r="Y15" s="230">
        <f>IFERROR(IF(COUNTA('Daily Metrics Log'!$B$2:$B$2000)-14&gt;=1,INDEX('Daily Metrics Log'!$B$2:$B$2000,COUNTA('Daily Metrics Log'!$B$2:$B$2000)-14),NA()),NA())</f>
        <v>42</v>
      </c>
      <c r="Z15" s="230">
        <f>IFERROR(IF(COUNTA('Daily Metrics Log'!$B$2:$B$2000)-13&gt;=1,INDEX('Daily Metrics Log'!$B$2:$B$2000,COUNTA('Daily Metrics Log'!$B$2:$B$2000)-13),NA()),NA())</f>
        <v>46</v>
      </c>
      <c r="AA15" s="230">
        <f>IFERROR(IF(COUNTA('Daily Metrics Log'!$B$2:$B$2000)-12&gt;=1,INDEX('Daily Metrics Log'!$B$2:$B$2000,COUNTA('Daily Metrics Log'!$B$2:$B$2000)-12),NA()),NA())</f>
        <v>50</v>
      </c>
      <c r="AB15" s="230">
        <f>IFERROR(IF(COUNTA('Daily Metrics Log'!$B$2:$B$2000)-11&gt;=1,INDEX('Daily Metrics Log'!$B$2:$B$2000,COUNTA('Daily Metrics Log'!$B$2:$B$2000)-11),NA()),NA())</f>
        <v>101</v>
      </c>
      <c r="AC15" s="230">
        <f>IFERROR(IF(COUNTA('Daily Metrics Log'!$B$2:$B$2000)-10&gt;=1,INDEX('Daily Metrics Log'!$B$2:$B$2000,COUNTA('Daily Metrics Log'!$B$2:$B$2000)-10),NA()),NA())</f>
        <v>139</v>
      </c>
      <c r="AD15" s="230">
        <f>IFERROR(IF(COUNTA('Daily Metrics Log'!$B$2:$B$2000)-9&gt;=1,INDEX('Daily Metrics Log'!$B$2:$B$2000,COUNTA('Daily Metrics Log'!$B$2:$B$2000)-9),NA()),NA())</f>
        <v>121</v>
      </c>
      <c r="AE15" s="230">
        <f>IFERROR(IF(COUNTA('Daily Metrics Log'!$B$2:$B$2000)-8&gt;=1,INDEX('Daily Metrics Log'!$B$2:$B$2000,COUNTA('Daily Metrics Log'!$B$2:$B$2000)-8),NA()),NA())</f>
        <v>101</v>
      </c>
      <c r="AF15" s="230">
        <f>IFERROR(IF(COUNTA('Daily Metrics Log'!$B$2:$B$2000)-7&gt;=1,INDEX('Daily Metrics Log'!$B$2:$B$2000,COUNTA('Daily Metrics Log'!$B$2:$B$2000)-7),NA()),NA())</f>
        <v>91</v>
      </c>
      <c r="AG15" s="230">
        <f>IFERROR(IF(COUNTA('Daily Metrics Log'!$B$2:$B$2000)-6&gt;=1,INDEX('Daily Metrics Log'!$B$2:$B$2000,COUNTA('Daily Metrics Log'!$B$2:$B$2000)-6),NA()),NA())</f>
        <v>85</v>
      </c>
      <c r="AH15" s="230">
        <f>IFERROR(IF(COUNTA('Daily Metrics Log'!$B$2:$B$2000)-5&gt;=1,INDEX('Daily Metrics Log'!$B$2:$B$2000,COUNTA('Daily Metrics Log'!$B$2:$B$2000)-5),NA()),NA())</f>
        <v>77</v>
      </c>
      <c r="AI15" s="230">
        <f>IFERROR(IF(COUNTA('Daily Metrics Log'!$B$2:$B$2000)-4&gt;=1,INDEX('Daily Metrics Log'!$B$2:$B$2000,COUNTA('Daily Metrics Log'!$B$2:$B$2000)-4),NA()),NA())</f>
        <v>140</v>
      </c>
      <c r="AJ15" s="230">
        <f>IFERROR(IF(COUNTA('Daily Metrics Log'!$B$2:$B$2000)-3&gt;=1,INDEX('Daily Metrics Log'!$B$2:$B$2000,COUNTA('Daily Metrics Log'!$B$2:$B$2000)-3),NA()),NA())</f>
        <v>155</v>
      </c>
      <c r="AK15" s="230">
        <f>IFERROR(IF(COUNTA('Daily Metrics Log'!$B$2:$B$2000)-2&gt;=1,INDEX('Daily Metrics Log'!$B$2:$B$2000,COUNTA('Daily Metrics Log'!$B$2:$B$2000)-2),NA()),NA())</f>
        <v>145</v>
      </c>
      <c r="AL15" s="230">
        <f>IFERROR(IF(COUNTA('Daily Metrics Log'!$B$2:$B$2000)-1&gt;=1,INDEX('Daily Metrics Log'!$B$2:$B$2000,COUNTA('Daily Metrics Log'!$B$2:$B$2000)-1),NA()),NA())</f>
        <v>117</v>
      </c>
      <c r="AM15" s="230">
        <f>IFERROR(IF(COUNTA('Daily Metrics Log'!$B$2:$B$2000)-0&gt;=1,INDEX('Daily Metrics Log'!$B$2:$B$2000,COUNTA('Daily Metrics Log'!$B$2:$B$2000)-0),NA()),NA())</f>
        <v>92</v>
      </c>
    </row>
    <row r="16" spans="2:39" ht="22">
      <c r="D16" s="348" t="s">
        <v>991</v>
      </c>
      <c r="E16" s="349">
        <f>SUMPRODUCT(('NWCC Fire Data'!$A$2:$A$2000=$D$4)*(('NWCC Fire Data'!$T$2:$T$2000="Large")+('NWCC Fire Data'!$T$2:$T$2000="Cont")+('NWCC Fire Data'!$T$2:$T$2000="PL"))*('NWCC Fire Data'!$M$2:$M$2000+'NWCC Fire Data'!$N$2:$N$2000+'NWCC Fire Data'!$O$2:$O$2000))</f>
        <v>98</v>
      </c>
      <c r="F16" s="325">
        <f>IFERROR($E$16-VLOOKUP($D$3-1,DailyLog,5,FALSE),"n/a")</f>
        <v>98</v>
      </c>
      <c r="G16" s="325">
        <f>IFERROR($E$16-VLOOKUP($D$3-7,DailyLog,5,FALSE),"n/a")</f>
        <v>98</v>
      </c>
      <c r="H16" s="325">
        <f>IFERROR($E$16-VLOOKUP($D$3-30,DailyLog,5,FALSE),"n/a")</f>
        <v>98</v>
      </c>
    </row>
    <row r="17" spans="4:39" ht="10" customHeight="1">
      <c r="D17" s="344"/>
      <c r="E17" s="345"/>
      <c r="F17" s="327"/>
      <c r="G17" s="327"/>
      <c r="H17" s="327"/>
      <c r="J17" s="230">
        <f>IFERROR(IF(COUNTA('Daily Metrics Log'!$E$2:$E$2000)-29&gt;=1,INDEX('Daily Metrics Log'!$E$2:$E$2000,COUNTA('Daily Metrics Log'!$E$2:$E$2000)-29),NA()),NA())</f>
        <v>0</v>
      </c>
      <c r="K17" s="230">
        <f>IFERROR(IF(COUNTA('Daily Metrics Log'!$E$2:$E$2000)-28&gt;=1,INDEX('Daily Metrics Log'!$E$2:$E$2000,COUNTA('Daily Metrics Log'!$E$2:$E$2000)-28),NA()),NA())</f>
        <v>0</v>
      </c>
      <c r="L17" s="230">
        <f>IFERROR(IF(COUNTA('Daily Metrics Log'!$E$2:$E$2000)-27&gt;=1,INDEX('Daily Metrics Log'!$E$2:$E$2000,COUNTA('Daily Metrics Log'!$E$2:$E$2000)-27),NA()),NA())</f>
        <v>0</v>
      </c>
      <c r="M17" s="230">
        <f>IFERROR(IF(COUNTA('Daily Metrics Log'!$E$2:$E$2000)-26&gt;=1,INDEX('Daily Metrics Log'!$E$2:$E$2000,COUNTA('Daily Metrics Log'!$E$2:$E$2000)-26),NA()),NA())</f>
        <v>0</v>
      </c>
      <c r="N17" s="230">
        <f>IFERROR(IF(COUNTA('Daily Metrics Log'!$E$2:$E$2000)-25&gt;=1,INDEX('Daily Metrics Log'!$E$2:$E$2000,COUNTA('Daily Metrics Log'!$E$2:$E$2000)-25),NA()),NA())</f>
        <v>0</v>
      </c>
      <c r="O17" s="230">
        <f>IFERROR(IF(COUNTA('Daily Metrics Log'!$E$2:$E$2000)-24&gt;=1,INDEX('Daily Metrics Log'!$E$2:$E$2000,COUNTA('Daily Metrics Log'!$E$2:$E$2000)-24),NA()),NA())</f>
        <v>0</v>
      </c>
      <c r="P17" s="230">
        <f>IFERROR(IF(COUNTA('Daily Metrics Log'!$E$2:$E$2000)-23&gt;=1,INDEX('Daily Metrics Log'!$E$2:$E$2000,COUNTA('Daily Metrics Log'!$E$2:$E$2000)-23),NA()),NA())</f>
        <v>0</v>
      </c>
      <c r="Q17" s="230">
        <f>IFERROR(IF(COUNTA('Daily Metrics Log'!$E$2:$E$2000)-22&gt;=1,INDEX('Daily Metrics Log'!$E$2:$E$2000,COUNTA('Daily Metrics Log'!$E$2:$E$2000)-22),NA()),NA())</f>
        <v>0</v>
      </c>
      <c r="R17" s="230">
        <f>IFERROR(IF(COUNTA('Daily Metrics Log'!$E$2:$E$2000)-21&gt;=1,INDEX('Daily Metrics Log'!$E$2:$E$2000,COUNTA('Daily Metrics Log'!$E$2:$E$2000)-21),NA()),NA())</f>
        <v>0</v>
      </c>
      <c r="S17" s="230">
        <f>IFERROR(IF(COUNTA('Daily Metrics Log'!$E$2:$E$2000)-20&gt;=1,INDEX('Daily Metrics Log'!$E$2:$E$2000,COUNTA('Daily Metrics Log'!$E$2:$E$2000)-20),NA()),NA())</f>
        <v>0</v>
      </c>
      <c r="T17" s="230">
        <f>IFERROR(IF(COUNTA('Daily Metrics Log'!$E$2:$E$2000)-19&gt;=1,INDEX('Daily Metrics Log'!$E$2:$E$2000,COUNTA('Daily Metrics Log'!$E$2:$E$2000)-19),NA()),NA())</f>
        <v>0</v>
      </c>
      <c r="U17" s="230">
        <f>IFERROR(IF(COUNTA('Daily Metrics Log'!$E$2:$E$2000)-18&gt;=1,INDEX('Daily Metrics Log'!$E$2:$E$2000,COUNTA('Daily Metrics Log'!$E$2:$E$2000)-18),NA()),NA())</f>
        <v>0</v>
      </c>
      <c r="V17" s="230">
        <f>IFERROR(IF(COUNTA('Daily Metrics Log'!$E$2:$E$2000)-17&gt;=1,INDEX('Daily Metrics Log'!$E$2:$E$2000,COUNTA('Daily Metrics Log'!$E$2:$E$2000)-17),NA()),NA())</f>
        <v>0</v>
      </c>
      <c r="W17" s="230">
        <f>IFERROR(IF(COUNTA('Daily Metrics Log'!$E$2:$E$2000)-16&gt;=1,INDEX('Daily Metrics Log'!$E$2:$E$2000,COUNTA('Daily Metrics Log'!$E$2:$E$2000)-16),NA()),NA())</f>
        <v>0</v>
      </c>
      <c r="X17" s="230">
        <f>IFERROR(IF(COUNTA('Daily Metrics Log'!$E$2:$E$2000)-15&gt;=1,INDEX('Daily Metrics Log'!$E$2:$E$2000,COUNTA('Daily Metrics Log'!$E$2:$E$2000)-15),NA()),NA())</f>
        <v>0</v>
      </c>
      <c r="Y17" s="230">
        <f>IFERROR(IF(COUNTA('Daily Metrics Log'!$E$2:$E$2000)-14&gt;=1,INDEX('Daily Metrics Log'!$E$2:$E$2000,COUNTA('Daily Metrics Log'!$E$2:$E$2000)-14),NA()),NA())</f>
        <v>0</v>
      </c>
      <c r="Z17" s="230">
        <f>IFERROR(IF(COUNTA('Daily Metrics Log'!$E$2:$E$2000)-13&gt;=1,INDEX('Daily Metrics Log'!$E$2:$E$2000,COUNTA('Daily Metrics Log'!$E$2:$E$2000)-13),NA()),NA())</f>
        <v>0</v>
      </c>
      <c r="AA17" s="230">
        <f>IFERROR(IF(COUNTA('Daily Metrics Log'!$E$2:$E$2000)-12&gt;=1,INDEX('Daily Metrics Log'!$E$2:$E$2000,COUNTA('Daily Metrics Log'!$E$2:$E$2000)-12),NA()),NA())</f>
        <v>0</v>
      </c>
      <c r="AB17" s="230">
        <f>IFERROR(IF(COUNTA('Daily Metrics Log'!$E$2:$E$2000)-11&gt;=1,INDEX('Daily Metrics Log'!$E$2:$E$2000,COUNTA('Daily Metrics Log'!$E$2:$E$2000)-11),NA()),NA())</f>
        <v>0</v>
      </c>
      <c r="AC17" s="230">
        <f>IFERROR(IF(COUNTA('Daily Metrics Log'!$E$2:$E$2000)-10&gt;=1,INDEX('Daily Metrics Log'!$E$2:$E$2000,COUNTA('Daily Metrics Log'!$E$2:$E$2000)-10),NA()),NA())</f>
        <v>0</v>
      </c>
      <c r="AD17" s="230">
        <f>IFERROR(IF(COUNTA('Daily Metrics Log'!$E$2:$E$2000)-9&gt;=1,INDEX('Daily Metrics Log'!$E$2:$E$2000,COUNTA('Daily Metrics Log'!$E$2:$E$2000)-9),NA()),NA())</f>
        <v>0</v>
      </c>
      <c r="AE17" s="230">
        <f>IFERROR(IF(COUNTA('Daily Metrics Log'!$E$2:$E$2000)-8&gt;=1,INDEX('Daily Metrics Log'!$E$2:$E$2000,COUNTA('Daily Metrics Log'!$E$2:$E$2000)-8),NA()),NA())</f>
        <v>0</v>
      </c>
      <c r="AF17" s="230">
        <f>IFERROR(IF(COUNTA('Daily Metrics Log'!$E$2:$E$2000)-7&gt;=1,INDEX('Daily Metrics Log'!$E$2:$E$2000,COUNTA('Daily Metrics Log'!$E$2:$E$2000)-7),NA()),NA())</f>
        <v>19</v>
      </c>
      <c r="AG17" s="230">
        <f>IFERROR(IF(COUNTA('Daily Metrics Log'!$E$2:$E$2000)-6&gt;=1,INDEX('Daily Metrics Log'!$E$2:$E$2000,COUNTA('Daily Metrics Log'!$E$2:$E$2000)-6),NA()),NA())</f>
        <v>20</v>
      </c>
      <c r="AH17" s="230">
        <f>IFERROR(IF(COUNTA('Daily Metrics Log'!$E$2:$E$2000)-5&gt;=1,INDEX('Daily Metrics Log'!$E$2:$E$2000,COUNTA('Daily Metrics Log'!$E$2:$E$2000)-5),NA()),NA())</f>
        <v>93</v>
      </c>
      <c r="AI17" s="230">
        <f>IFERROR(IF(COUNTA('Daily Metrics Log'!$E$2:$E$2000)-4&gt;=1,INDEX('Daily Metrics Log'!$E$2:$E$2000,COUNTA('Daily Metrics Log'!$E$2:$E$2000)-4),NA()),NA())</f>
        <v>71</v>
      </c>
      <c r="AJ17" s="230">
        <f>IFERROR(IF(COUNTA('Daily Metrics Log'!$E$2:$E$2000)-3&gt;=1,INDEX('Daily Metrics Log'!$E$2:$E$2000,COUNTA('Daily Metrics Log'!$E$2:$E$2000)-3),NA()),NA())</f>
        <v>71</v>
      </c>
      <c r="AK17" s="230">
        <f>IFERROR(IF(COUNTA('Daily Metrics Log'!$E$2:$E$2000)-2&gt;=1,INDEX('Daily Metrics Log'!$E$2:$E$2000,COUNTA('Daily Metrics Log'!$E$2:$E$2000)-2),NA()),NA())</f>
        <v>90</v>
      </c>
      <c r="AL17" s="230">
        <f>IFERROR(IF(COUNTA('Daily Metrics Log'!$E$2:$E$2000)-1&gt;=1,INDEX('Daily Metrics Log'!$E$2:$E$2000,COUNTA('Daily Metrics Log'!$E$2:$E$2000)-1),NA()),NA())</f>
        <v>90</v>
      </c>
      <c r="AM17" s="230">
        <f>IFERROR(IF(COUNTA('Daily Metrics Log'!$E$2:$E$2000)-0&gt;=1,INDEX('Daily Metrics Log'!$E$2:$E$2000,COUNTA('Daily Metrics Log'!$E$2:$E$2000)-0),NA()),NA())</f>
        <v>98</v>
      </c>
    </row>
    <row r="18" spans="4:39" ht="22">
      <c r="D18" s="342" t="s">
        <v>992</v>
      </c>
      <c r="E18" s="343">
        <f>SUMPRODUCT(('NWCC Fire Data'!$A$2:$A$2000=$D$4)*('NWCC Fire Data'!$T$2:$T$2000="Large")*((('NWCC Fire Data'!$G$2:$G$2000&gt;0)+('NWCC Fire Data'!$H$2:$H$2000&gt;0)+('NWCC Fire Data'!$I$2:$I$2000&gt;0))&gt;0))</f>
        <v>13</v>
      </c>
      <c r="F18" s="325">
        <f>IFERROR($E$18-VLOOKUP($D$3-1,DailyLog,6,FALSE),"n/a")</f>
        <v>2</v>
      </c>
      <c r="G18" s="325">
        <f>IFERROR($E$18-VLOOKUP($D$3-7,DailyLog,6,FALSE),"n/a")</f>
        <v>9</v>
      </c>
      <c r="H18" s="325">
        <f>IFERROR($E$18-VLOOKUP($D$3-30,DailyLog,6,FALSE),"n/a")</f>
        <v>13</v>
      </c>
    </row>
    <row r="19" spans="4:39" ht="10" customHeight="1">
      <c r="D19" s="124"/>
      <c r="E19" s="326"/>
      <c r="F19" s="327"/>
      <c r="G19" s="327"/>
      <c r="H19" s="327"/>
      <c r="J19" s="230">
        <f>IFERROR(IF(COUNTA('Daily Metrics Log'!$F$2:$F$2000)-29&gt;=1,INDEX('Daily Metrics Log'!$F$2:$F$2000,COUNTA('Daily Metrics Log'!$F$2:$F$2000)-29),NA()),NA())</f>
        <v>0</v>
      </c>
      <c r="K19" s="230">
        <f>IFERROR(IF(COUNTA('Daily Metrics Log'!$F$2:$F$2000)-28&gt;=1,INDEX('Daily Metrics Log'!$F$2:$F$2000,COUNTA('Daily Metrics Log'!$F$2:$F$2000)-28),NA()),NA())</f>
        <v>0</v>
      </c>
      <c r="L19" s="230">
        <f>IFERROR(IF(COUNTA('Daily Metrics Log'!$F$2:$F$2000)-27&gt;=1,INDEX('Daily Metrics Log'!$F$2:$F$2000,COUNTA('Daily Metrics Log'!$F$2:$F$2000)-27),NA()),NA())</f>
        <v>0</v>
      </c>
      <c r="M19" s="230">
        <f>IFERROR(IF(COUNTA('Daily Metrics Log'!$F$2:$F$2000)-26&gt;=1,INDEX('Daily Metrics Log'!$F$2:$F$2000,COUNTA('Daily Metrics Log'!$F$2:$F$2000)-26),NA()),NA())</f>
        <v>0</v>
      </c>
      <c r="N19" s="230">
        <f>IFERROR(IF(COUNTA('Daily Metrics Log'!$F$2:$F$2000)-25&gt;=1,INDEX('Daily Metrics Log'!$F$2:$F$2000,COUNTA('Daily Metrics Log'!$F$2:$F$2000)-25),NA()),NA())</f>
        <v>1</v>
      </c>
      <c r="O19" s="230">
        <f>IFERROR(IF(COUNTA('Daily Metrics Log'!$F$2:$F$2000)-24&gt;=1,INDEX('Daily Metrics Log'!$F$2:$F$2000,COUNTA('Daily Metrics Log'!$F$2:$F$2000)-24),NA()),NA())</f>
        <v>0</v>
      </c>
      <c r="P19" s="230">
        <f>IFERROR(IF(COUNTA('Daily Metrics Log'!$F$2:$F$2000)-23&gt;=1,INDEX('Daily Metrics Log'!$F$2:$F$2000,COUNTA('Daily Metrics Log'!$F$2:$F$2000)-23),NA()),NA())</f>
        <v>0</v>
      </c>
      <c r="Q19" s="230">
        <f>IFERROR(IF(COUNTA('Daily Metrics Log'!$F$2:$F$2000)-22&gt;=1,INDEX('Daily Metrics Log'!$F$2:$F$2000,COUNTA('Daily Metrics Log'!$F$2:$F$2000)-22),NA()),NA())</f>
        <v>2</v>
      </c>
      <c r="R19" s="230">
        <f>IFERROR(IF(COUNTA('Daily Metrics Log'!$F$2:$F$2000)-21&gt;=1,INDEX('Daily Metrics Log'!$F$2:$F$2000,COUNTA('Daily Metrics Log'!$F$2:$F$2000)-21),NA()),NA())</f>
        <v>3</v>
      </c>
      <c r="S19" s="230">
        <f>IFERROR(IF(COUNTA('Daily Metrics Log'!$F$2:$F$2000)-20&gt;=1,INDEX('Daily Metrics Log'!$F$2:$F$2000,COUNTA('Daily Metrics Log'!$F$2:$F$2000)-20),NA()),NA())</f>
        <v>2</v>
      </c>
      <c r="T19" s="230">
        <f>IFERROR(IF(COUNTA('Daily Metrics Log'!$F$2:$F$2000)-19&gt;=1,INDEX('Daily Metrics Log'!$F$2:$F$2000,COUNTA('Daily Metrics Log'!$F$2:$F$2000)-19),NA()),NA())</f>
        <v>1</v>
      </c>
      <c r="U19" s="230">
        <f>IFERROR(IF(COUNTA('Daily Metrics Log'!$F$2:$F$2000)-18&gt;=1,INDEX('Daily Metrics Log'!$F$2:$F$2000,COUNTA('Daily Metrics Log'!$F$2:$F$2000)-18),NA()),NA())</f>
        <v>2</v>
      </c>
      <c r="V19" s="230">
        <f>IFERROR(IF(COUNTA('Daily Metrics Log'!$F$2:$F$2000)-17&gt;=1,INDEX('Daily Metrics Log'!$F$2:$F$2000,COUNTA('Daily Metrics Log'!$F$2:$F$2000)-17),NA()),NA())</f>
        <v>2</v>
      </c>
      <c r="W19" s="230">
        <f>IFERROR(IF(COUNTA('Daily Metrics Log'!$F$2:$F$2000)-16&gt;=1,INDEX('Daily Metrics Log'!$F$2:$F$2000,COUNTA('Daily Metrics Log'!$F$2:$F$2000)-16),NA()),NA())</f>
        <v>3</v>
      </c>
      <c r="X19" s="230">
        <f>IFERROR(IF(COUNTA('Daily Metrics Log'!$F$2:$F$2000)-15&gt;=1,INDEX('Daily Metrics Log'!$F$2:$F$2000,COUNTA('Daily Metrics Log'!$F$2:$F$2000)-15),NA()),NA())</f>
        <v>4</v>
      </c>
      <c r="Y19" s="230">
        <f>IFERROR(IF(COUNTA('Daily Metrics Log'!$F$2:$F$2000)-14&gt;=1,INDEX('Daily Metrics Log'!$F$2:$F$2000,COUNTA('Daily Metrics Log'!$F$2:$F$2000)-14),NA()),NA())</f>
        <v>4</v>
      </c>
      <c r="Z19" s="230">
        <f>IFERROR(IF(COUNTA('Daily Metrics Log'!$F$2:$F$2000)-13&gt;=1,INDEX('Daily Metrics Log'!$F$2:$F$2000,COUNTA('Daily Metrics Log'!$F$2:$F$2000)-13),NA()),NA())</f>
        <v>3</v>
      </c>
      <c r="AA19" s="230">
        <f>IFERROR(IF(COUNTA('Daily Metrics Log'!$F$2:$F$2000)-12&gt;=1,INDEX('Daily Metrics Log'!$F$2:$F$2000,COUNTA('Daily Metrics Log'!$F$2:$F$2000)-12),NA()),NA())</f>
        <v>3</v>
      </c>
      <c r="AB19" s="230">
        <f>IFERROR(IF(COUNTA('Daily Metrics Log'!$F$2:$F$2000)-11&gt;=1,INDEX('Daily Metrics Log'!$F$2:$F$2000,COUNTA('Daily Metrics Log'!$F$2:$F$2000)-11),NA()),NA())</f>
        <v>4</v>
      </c>
      <c r="AC19" s="230">
        <f>IFERROR(IF(COUNTA('Daily Metrics Log'!$F$2:$F$2000)-10&gt;=1,INDEX('Daily Metrics Log'!$F$2:$F$2000,COUNTA('Daily Metrics Log'!$F$2:$F$2000)-10),NA()),NA())</f>
        <v>9</v>
      </c>
      <c r="AD19" s="230">
        <f>IFERROR(IF(COUNTA('Daily Metrics Log'!$F$2:$F$2000)-9&gt;=1,INDEX('Daily Metrics Log'!$F$2:$F$2000,COUNTA('Daily Metrics Log'!$F$2:$F$2000)-9),NA()),NA())</f>
        <v>11</v>
      </c>
      <c r="AE19" s="230">
        <f>IFERROR(IF(COUNTA('Daily Metrics Log'!$F$2:$F$2000)-8&gt;=1,INDEX('Daily Metrics Log'!$F$2:$F$2000,COUNTA('Daily Metrics Log'!$F$2:$F$2000)-8),NA()),NA())</f>
        <v>11</v>
      </c>
      <c r="AF19" s="230">
        <f>IFERROR(IF(COUNTA('Daily Metrics Log'!$F$2:$F$2000)-7&gt;=1,INDEX('Daily Metrics Log'!$F$2:$F$2000,COUNTA('Daily Metrics Log'!$F$2:$F$2000)-7),NA()),NA())</f>
        <v>6</v>
      </c>
      <c r="AG19" s="230">
        <f>IFERROR(IF(COUNTA('Daily Metrics Log'!$F$2:$F$2000)-6&gt;=1,INDEX('Daily Metrics Log'!$F$2:$F$2000,COUNTA('Daily Metrics Log'!$F$2:$F$2000)-6),NA()),NA())</f>
        <v>7</v>
      </c>
      <c r="AH19" s="230">
        <f>IFERROR(IF(COUNTA('Daily Metrics Log'!$F$2:$F$2000)-5&gt;=1,INDEX('Daily Metrics Log'!$F$2:$F$2000,COUNTA('Daily Metrics Log'!$F$2:$F$2000)-5),NA()),NA())</f>
        <v>8</v>
      </c>
      <c r="AI19" s="230">
        <f>IFERROR(IF(COUNTA('Daily Metrics Log'!$F$2:$F$2000)-4&gt;=1,INDEX('Daily Metrics Log'!$F$2:$F$2000,COUNTA('Daily Metrics Log'!$F$2:$F$2000)-4),NA()),NA())</f>
        <v>9</v>
      </c>
      <c r="AJ19" s="230">
        <f>IFERROR(IF(COUNTA('Daily Metrics Log'!$F$2:$F$2000)-3&gt;=1,INDEX('Daily Metrics Log'!$F$2:$F$2000,COUNTA('Daily Metrics Log'!$F$2:$F$2000)-3),NA()),NA())</f>
        <v>7</v>
      </c>
      <c r="AK19" s="230">
        <f>IFERROR(IF(COUNTA('Daily Metrics Log'!$F$2:$F$2000)-2&gt;=1,INDEX('Daily Metrics Log'!$F$2:$F$2000,COUNTA('Daily Metrics Log'!$F$2:$F$2000)-2),NA()),NA())</f>
        <v>10</v>
      </c>
      <c r="AL19" s="230">
        <f>IFERROR(IF(COUNTA('Daily Metrics Log'!$F$2:$F$2000)-1&gt;=1,INDEX('Daily Metrics Log'!$F$2:$F$2000,COUNTA('Daily Metrics Log'!$F$2:$F$2000)-1),NA()),NA())</f>
        <v>10</v>
      </c>
      <c r="AM19" s="230">
        <f>IFERROR(IF(COUNTA('Daily Metrics Log'!$F$2:$F$2000)-0&gt;=1,INDEX('Daily Metrics Log'!$F$2:$F$2000,COUNTA('Daily Metrics Log'!$F$2:$F$2000)-0),NA()),NA())</f>
        <v>10</v>
      </c>
    </row>
    <row r="20" spans="4:39" ht="10" customHeight="1">
      <c r="D20" s="124"/>
      <c r="E20" s="326"/>
      <c r="F20" s="327"/>
      <c r="G20" s="327"/>
      <c r="H20" s="327"/>
    </row>
    <row r="21" spans="4:39" ht="22">
      <c r="D21" s="323" t="s">
        <v>1004</v>
      </c>
      <c r="E21" s="326"/>
      <c r="F21" s="327"/>
      <c r="G21" s="327"/>
      <c r="H21" s="327"/>
    </row>
    <row r="22" spans="4:39" ht="22">
      <c r="D22" s="336" t="s">
        <v>1005</v>
      </c>
      <c r="E22" s="328">
        <f>'Dashboard (2)'!$I$69</f>
        <v>7816</v>
      </c>
      <c r="F22" s="325">
        <f>IFERROR($E$22-VLOOKUP($D$3-1,DailyLog,7,FALSE),"n/a")</f>
        <v>4912</v>
      </c>
      <c r="G22" s="325">
        <f>IFERROR($E$22-VLOOKUP($D$3-7,DailyLog,7,FALSE),"n/a")</f>
        <v>7695</v>
      </c>
      <c r="H22" s="325">
        <f>IFERROR($E$22-VLOOKUP($D$3-30,DailyLog,7,FALSE),"n/a")</f>
        <v>7813</v>
      </c>
    </row>
    <row r="23" spans="4:39" ht="10" customHeight="1">
      <c r="D23" s="337"/>
      <c r="E23" s="338"/>
      <c r="F23" s="327"/>
      <c r="G23" s="327"/>
      <c r="H23" s="327"/>
      <c r="J23" s="230">
        <f>IFERROR(IF(COUNTA('Daily Metrics Log'!$G$2:$G$2000)-29&gt;=1,INDEX('Daily Metrics Log'!$G$2:$G$2000,COUNTA('Daily Metrics Log'!$G$2:$G$2000)-29),NA()),NA())</f>
        <v>0</v>
      </c>
      <c r="K23" s="230">
        <f>IFERROR(IF(COUNTA('Daily Metrics Log'!$G$2:$G$2000)-28&gt;=1,INDEX('Daily Metrics Log'!$G$2:$G$2000,COUNTA('Daily Metrics Log'!$G$2:$G$2000)-28),NA()),NA())</f>
        <v>0</v>
      </c>
      <c r="L23" s="230">
        <f>IFERROR(IF(COUNTA('Daily Metrics Log'!$G$2:$G$2000)-27&gt;=1,INDEX('Daily Metrics Log'!$G$2:$G$2000,COUNTA('Daily Metrics Log'!$G$2:$G$2000)-27),NA()),NA())</f>
        <v>0</v>
      </c>
      <c r="M23" s="230">
        <f>IFERROR(IF(COUNTA('Daily Metrics Log'!$G$2:$G$2000)-26&gt;=1,INDEX('Daily Metrics Log'!$G$2:$G$2000,COUNTA('Daily Metrics Log'!$G$2:$G$2000)-26),NA()),NA())</f>
        <v>0</v>
      </c>
      <c r="N23" s="230">
        <f>IFERROR(IF(COUNTA('Daily Metrics Log'!$G$2:$G$2000)-25&gt;=1,INDEX('Daily Metrics Log'!$G$2:$G$2000,COUNTA('Daily Metrics Log'!$G$2:$G$2000)-25),NA()),NA())</f>
        <v>0</v>
      </c>
      <c r="O23" s="230">
        <f>IFERROR(IF(COUNTA('Daily Metrics Log'!$G$2:$G$2000)-24&gt;=1,INDEX('Daily Metrics Log'!$G$2:$G$2000,COUNTA('Daily Metrics Log'!$G$2:$G$2000)-24),NA()),NA())</f>
        <v>0</v>
      </c>
      <c r="P23" s="230">
        <f>IFERROR(IF(COUNTA('Daily Metrics Log'!$G$2:$G$2000)-23&gt;=1,INDEX('Daily Metrics Log'!$G$2:$G$2000,COUNTA('Daily Metrics Log'!$G$2:$G$2000)-23),NA()),NA())</f>
        <v>0</v>
      </c>
      <c r="Q23" s="230">
        <f>IFERROR(IF(COUNTA('Daily Metrics Log'!$G$2:$G$2000)-22&gt;=1,INDEX('Daily Metrics Log'!$G$2:$G$2000,COUNTA('Daily Metrics Log'!$G$2:$G$2000)-22),NA()),NA())</f>
        <v>21</v>
      </c>
      <c r="R23" s="230">
        <f>IFERROR(IF(COUNTA('Daily Metrics Log'!$G$2:$G$2000)-21&gt;=1,INDEX('Daily Metrics Log'!$G$2:$G$2000,COUNTA('Daily Metrics Log'!$G$2:$G$2000)-21),NA()),NA())</f>
        <v>205</v>
      </c>
      <c r="S23" s="230">
        <f>IFERROR(IF(COUNTA('Daily Metrics Log'!$G$2:$G$2000)-20&gt;=1,INDEX('Daily Metrics Log'!$G$2:$G$2000,COUNTA('Daily Metrics Log'!$G$2:$G$2000)-20),NA()),NA())</f>
        <v>31</v>
      </c>
      <c r="T23" s="230">
        <f>IFERROR(IF(COUNTA('Daily Metrics Log'!$G$2:$G$2000)-19&gt;=1,INDEX('Daily Metrics Log'!$G$2:$G$2000,COUNTA('Daily Metrics Log'!$G$2:$G$2000)-19),NA()),NA())</f>
        <v>21</v>
      </c>
      <c r="U23" s="230">
        <f>IFERROR(IF(COUNTA('Daily Metrics Log'!$G$2:$G$2000)-18&gt;=1,INDEX('Daily Metrics Log'!$G$2:$G$2000,COUNTA('Daily Metrics Log'!$G$2:$G$2000)-18),NA()),NA())</f>
        <v>45</v>
      </c>
      <c r="V23" s="230">
        <f>IFERROR(IF(COUNTA('Daily Metrics Log'!$G$2:$G$2000)-17&gt;=1,INDEX('Daily Metrics Log'!$G$2:$G$2000,COUNTA('Daily Metrics Log'!$G$2:$G$2000)-17),NA()),NA())</f>
        <v>154</v>
      </c>
      <c r="W23" s="230">
        <f>IFERROR(IF(COUNTA('Daily Metrics Log'!$G$2:$G$2000)-16&gt;=1,INDEX('Daily Metrics Log'!$G$2:$G$2000,COUNTA('Daily Metrics Log'!$G$2:$G$2000)-16),NA()),NA())</f>
        <v>121</v>
      </c>
      <c r="X23" s="230">
        <f>IFERROR(IF(COUNTA('Daily Metrics Log'!$G$2:$G$2000)-15&gt;=1,INDEX('Daily Metrics Log'!$G$2:$G$2000,COUNTA('Daily Metrics Log'!$G$2:$G$2000)-15),NA()),NA())</f>
        <v>121</v>
      </c>
      <c r="Y23" s="230">
        <f>IFERROR(IF(COUNTA('Daily Metrics Log'!$G$2:$G$2000)-14&gt;=1,INDEX('Daily Metrics Log'!$G$2:$G$2000,COUNTA('Daily Metrics Log'!$G$2:$G$2000)-14),NA()),NA())</f>
        <v>121</v>
      </c>
      <c r="Z23" s="230">
        <f>IFERROR(IF(COUNTA('Daily Metrics Log'!$G$2:$G$2000)-13&gt;=1,INDEX('Daily Metrics Log'!$G$2:$G$2000,COUNTA('Daily Metrics Log'!$G$2:$G$2000)-13),NA()),NA())</f>
        <v>121</v>
      </c>
      <c r="AA23" s="230">
        <f>IFERROR(IF(COUNTA('Daily Metrics Log'!$G$2:$G$2000)-12&gt;=1,INDEX('Daily Metrics Log'!$G$2:$G$2000,COUNTA('Daily Metrics Log'!$G$2:$G$2000)-12),NA()),NA())</f>
        <v>587</v>
      </c>
      <c r="AB23" s="230">
        <f>IFERROR(IF(COUNTA('Daily Metrics Log'!$G$2:$G$2000)-11&gt;=1,INDEX('Daily Metrics Log'!$G$2:$G$2000,COUNTA('Daily Metrics Log'!$G$2:$G$2000)-11),NA()),NA())</f>
        <v>2188</v>
      </c>
      <c r="AC23" s="230">
        <f>IFERROR(IF(COUNTA('Daily Metrics Log'!$G$2:$G$2000)-10&gt;=1,INDEX('Daily Metrics Log'!$G$2:$G$2000,COUNTA('Daily Metrics Log'!$G$2:$G$2000)-10),NA()),NA())</f>
        <v>2187</v>
      </c>
      <c r="AD23" s="230">
        <f>IFERROR(IF(COUNTA('Daily Metrics Log'!$G$2:$G$2000)-9&gt;=1,INDEX('Daily Metrics Log'!$G$2:$G$2000,COUNTA('Daily Metrics Log'!$G$2:$G$2000)-9),NA()),NA())</f>
        <v>2785</v>
      </c>
      <c r="AE23" s="230">
        <f>IFERROR(IF(COUNTA('Daily Metrics Log'!$G$2:$G$2000)-8&gt;=1,INDEX('Daily Metrics Log'!$G$2:$G$2000,COUNTA('Daily Metrics Log'!$G$2:$G$2000)-8),NA()),NA())</f>
        <v>2904</v>
      </c>
      <c r="AF23" s="230">
        <f>IFERROR(IF(COUNTA('Daily Metrics Log'!$G$2:$G$2000)-7&gt;=1,INDEX('Daily Metrics Log'!$G$2:$G$2000,COUNTA('Daily Metrics Log'!$G$2:$G$2000)-7),NA()),NA())</f>
        <v>4453</v>
      </c>
      <c r="AG23" s="230">
        <f>IFERROR(IF(COUNTA('Daily Metrics Log'!$G$2:$G$2000)-6&gt;=1,INDEX('Daily Metrics Log'!$G$2:$G$2000,COUNTA('Daily Metrics Log'!$G$2:$G$2000)-6),NA()),NA())</f>
        <v>5230</v>
      </c>
      <c r="AH23" s="230">
        <f>IFERROR(IF(COUNTA('Daily Metrics Log'!$G$2:$G$2000)-5&gt;=1,INDEX('Daily Metrics Log'!$G$2:$G$2000,COUNTA('Daily Metrics Log'!$G$2:$G$2000)-5),NA()),NA())</f>
        <v>6438</v>
      </c>
      <c r="AI23" s="230">
        <f>IFERROR(IF(COUNTA('Daily Metrics Log'!$G$2:$G$2000)-4&gt;=1,INDEX('Daily Metrics Log'!$G$2:$G$2000,COUNTA('Daily Metrics Log'!$G$2:$G$2000)-4),NA()),NA())</f>
        <v>6567</v>
      </c>
      <c r="AJ23" s="230">
        <f>IFERROR(IF(COUNTA('Daily Metrics Log'!$G$2:$G$2000)-3&gt;=1,INDEX('Daily Metrics Log'!$G$2:$G$2000,COUNTA('Daily Metrics Log'!$G$2:$G$2000)-3),NA()),NA())</f>
        <v>5563</v>
      </c>
      <c r="AK23" s="230">
        <f>IFERROR(IF(COUNTA('Daily Metrics Log'!$G$2:$G$2000)-2&gt;=1,INDEX('Daily Metrics Log'!$G$2:$G$2000,COUNTA('Daily Metrics Log'!$G$2:$G$2000)-2),NA()),NA())</f>
        <v>5724</v>
      </c>
      <c r="AL23" s="230">
        <f>IFERROR(IF(COUNTA('Daily Metrics Log'!$G$2:$G$2000)-1&gt;=1,INDEX('Daily Metrics Log'!$G$2:$G$2000,COUNTA('Daily Metrics Log'!$G$2:$G$2000)-1),NA()),NA())</f>
        <v>5858</v>
      </c>
      <c r="AM23" s="230">
        <f>IFERROR(IF(COUNTA('Daily Metrics Log'!$G$2:$G$2000)-0&gt;=1,INDEX('Daily Metrics Log'!$G$2:$G$2000,COUNTA('Daily Metrics Log'!$G$2:$G$2000)-0),NA()),NA())</f>
        <v>7487</v>
      </c>
    </row>
    <row r="24" spans="4:39" ht="22">
      <c r="D24" s="339" t="s">
        <v>1006</v>
      </c>
      <c r="E24" s="324">
        <f>'Dashboard (2)'!$J$69</f>
        <v>4000</v>
      </c>
      <c r="F24" s="325">
        <f>IFERROR($E$24-VLOOKUP($D$3-1,DailyLog,8,FALSE),"n/a")</f>
        <v>2640</v>
      </c>
      <c r="G24" s="325">
        <f>IFERROR($E$24-VLOOKUP($D$3-7,DailyLog,8,FALSE),"n/a")</f>
        <v>3808</v>
      </c>
      <c r="H24" s="325">
        <f>IFERROR($E$24-VLOOKUP($D$3-30,DailyLog,8,FALSE),"n/a")</f>
        <v>4000</v>
      </c>
    </row>
    <row r="25" spans="4:39" ht="10" customHeight="1">
      <c r="D25" s="337"/>
      <c r="E25" s="340"/>
      <c r="F25" s="329"/>
      <c r="G25" s="329"/>
      <c r="H25" s="329"/>
      <c r="J25" s="230">
        <f>IFERROR(IF(COUNTA('Daily Metrics Log'!$H$2:$H$2000)-29&gt;=1,INDEX('Daily Metrics Log'!$H$2:$H$2000,COUNTA('Daily Metrics Log'!$H$2:$H$2000)-29),NA()),NA())</f>
        <v>0</v>
      </c>
      <c r="K25" s="230">
        <f>IFERROR(IF(COUNTA('Daily Metrics Log'!$H$2:$H$2000)-28&gt;=1,INDEX('Daily Metrics Log'!$H$2:$H$2000,COUNTA('Daily Metrics Log'!$H$2:$H$2000)-28),NA()),NA())</f>
        <v>0</v>
      </c>
      <c r="L25" s="230">
        <f>IFERROR(IF(COUNTA('Daily Metrics Log'!$H$2:$H$2000)-27&gt;=1,INDEX('Daily Metrics Log'!$H$2:$H$2000,COUNTA('Daily Metrics Log'!$H$2:$H$2000)-27),NA()),NA())</f>
        <v>0</v>
      </c>
      <c r="M25" s="230">
        <f>IFERROR(IF(COUNTA('Daily Metrics Log'!$H$2:$H$2000)-26&gt;=1,INDEX('Daily Metrics Log'!$H$2:$H$2000,COUNTA('Daily Metrics Log'!$H$2:$H$2000)-26),NA()),NA())</f>
        <v>0</v>
      </c>
      <c r="N25" s="230">
        <f>IFERROR(IF(COUNTA('Daily Metrics Log'!$H$2:$H$2000)-25&gt;=1,INDEX('Daily Metrics Log'!$H$2:$H$2000,COUNTA('Daily Metrics Log'!$H$2:$H$2000)-25),NA()),NA())</f>
        <v>0</v>
      </c>
      <c r="O25" s="230">
        <f>IFERROR(IF(COUNTA('Daily Metrics Log'!$H$2:$H$2000)-24&gt;=1,INDEX('Daily Metrics Log'!$H$2:$H$2000,COUNTA('Daily Metrics Log'!$H$2:$H$2000)-24),NA()),NA())</f>
        <v>0</v>
      </c>
      <c r="P25" s="230">
        <f>IFERROR(IF(COUNTA('Daily Metrics Log'!$H$2:$H$2000)-23&gt;=1,INDEX('Daily Metrics Log'!$H$2:$H$2000,COUNTA('Daily Metrics Log'!$H$2:$H$2000)-23),NA()),NA())</f>
        <v>0</v>
      </c>
      <c r="Q25" s="230">
        <f>IFERROR(IF(COUNTA('Daily Metrics Log'!$H$2:$H$2000)-22&gt;=1,INDEX('Daily Metrics Log'!$H$2:$H$2000,COUNTA('Daily Metrics Log'!$H$2:$H$2000)-22),NA()),NA())</f>
        <v>192</v>
      </c>
      <c r="R25" s="230">
        <f>IFERROR(IF(COUNTA('Daily Metrics Log'!$H$2:$H$2000)-21&gt;=1,INDEX('Daily Metrics Log'!$H$2:$H$2000,COUNTA('Daily Metrics Log'!$H$2:$H$2000)-21),NA()),NA())</f>
        <v>10</v>
      </c>
      <c r="S25" s="230">
        <f>IFERROR(IF(COUNTA('Daily Metrics Log'!$H$2:$H$2000)-20&gt;=1,INDEX('Daily Metrics Log'!$H$2:$H$2000,COUNTA('Daily Metrics Log'!$H$2:$H$2000)-20),NA()),NA())</f>
        <v>0</v>
      </c>
      <c r="T25" s="230">
        <f>IFERROR(IF(COUNTA('Daily Metrics Log'!$H$2:$H$2000)-19&gt;=1,INDEX('Daily Metrics Log'!$H$2:$H$2000,COUNTA('Daily Metrics Log'!$H$2:$H$2000)-19),NA()),NA())</f>
        <v>0</v>
      </c>
      <c r="U25" s="230">
        <f>IFERROR(IF(COUNTA('Daily Metrics Log'!$H$2:$H$2000)-18&gt;=1,INDEX('Daily Metrics Log'!$H$2:$H$2000,COUNTA('Daily Metrics Log'!$H$2:$H$2000)-18),NA()),NA())</f>
        <v>0</v>
      </c>
      <c r="V25" s="230">
        <f>IFERROR(IF(COUNTA('Daily Metrics Log'!$H$2:$H$2000)-17&gt;=1,INDEX('Daily Metrics Log'!$H$2:$H$2000,COUNTA('Daily Metrics Log'!$H$2:$H$2000)-17),NA()),NA())</f>
        <v>112</v>
      </c>
      <c r="W25" s="230">
        <f>IFERROR(IF(COUNTA('Daily Metrics Log'!$H$2:$H$2000)-16&gt;=1,INDEX('Daily Metrics Log'!$H$2:$H$2000,COUNTA('Daily Metrics Log'!$H$2:$H$2000)-16),NA()),NA())</f>
        <v>184</v>
      </c>
      <c r="X25" s="230">
        <f>IFERROR(IF(COUNTA('Daily Metrics Log'!$H$2:$H$2000)-15&gt;=1,INDEX('Daily Metrics Log'!$H$2:$H$2000,COUNTA('Daily Metrics Log'!$H$2:$H$2000)-15),NA()),NA())</f>
        <v>188</v>
      </c>
      <c r="Y25" s="230">
        <f>IFERROR(IF(COUNTA('Daily Metrics Log'!$H$2:$H$2000)-14&gt;=1,INDEX('Daily Metrics Log'!$H$2:$H$2000,COUNTA('Daily Metrics Log'!$H$2:$H$2000)-14),NA()),NA())</f>
        <v>192</v>
      </c>
      <c r="Z25" s="230">
        <f>IFERROR(IF(COUNTA('Daily Metrics Log'!$H$2:$H$2000)-13&gt;=1,INDEX('Daily Metrics Log'!$H$2:$H$2000,COUNTA('Daily Metrics Log'!$H$2:$H$2000)-13),NA()),NA())</f>
        <v>164</v>
      </c>
      <c r="AA25" s="230">
        <f>IFERROR(IF(COUNTA('Daily Metrics Log'!$H$2:$H$2000)-12&gt;=1,INDEX('Daily Metrics Log'!$H$2:$H$2000,COUNTA('Daily Metrics Log'!$H$2:$H$2000)-12),NA()),NA())</f>
        <v>269</v>
      </c>
      <c r="AB25" s="230">
        <f>IFERROR(IF(COUNTA('Daily Metrics Log'!$H$2:$H$2000)-11&gt;=1,INDEX('Daily Metrics Log'!$H$2:$H$2000,COUNTA('Daily Metrics Log'!$H$2:$H$2000)-11),NA()),NA())</f>
        <v>883</v>
      </c>
      <c r="AC25" s="230">
        <f>IFERROR(IF(COUNTA('Daily Metrics Log'!$H$2:$H$2000)-10&gt;=1,INDEX('Daily Metrics Log'!$H$2:$H$2000,COUNTA('Daily Metrics Log'!$H$2:$H$2000)-10),NA()),NA())</f>
        <v>1512</v>
      </c>
      <c r="AD25" s="230">
        <f>IFERROR(IF(COUNTA('Daily Metrics Log'!$H$2:$H$2000)-9&gt;=1,INDEX('Daily Metrics Log'!$H$2:$H$2000,COUNTA('Daily Metrics Log'!$H$2:$H$2000)-9),NA()),NA())</f>
        <v>1363</v>
      </c>
      <c r="AE25" s="230">
        <f>IFERROR(IF(COUNTA('Daily Metrics Log'!$H$2:$H$2000)-8&gt;=1,INDEX('Daily Metrics Log'!$H$2:$H$2000,COUNTA('Daily Metrics Log'!$H$2:$H$2000)-8),NA()),NA())</f>
        <v>1360</v>
      </c>
      <c r="AF25" s="230">
        <f>IFERROR(IF(COUNTA('Daily Metrics Log'!$H$2:$H$2000)-7&gt;=1,INDEX('Daily Metrics Log'!$H$2:$H$2000,COUNTA('Daily Metrics Log'!$H$2:$H$2000)-7),NA()),NA())</f>
        <v>2657</v>
      </c>
      <c r="AG25" s="230">
        <f>IFERROR(IF(COUNTA('Daily Metrics Log'!$H$2:$H$2000)-6&gt;=1,INDEX('Daily Metrics Log'!$H$2:$H$2000,COUNTA('Daily Metrics Log'!$H$2:$H$2000)-6),NA()),NA())</f>
        <v>1789</v>
      </c>
      <c r="AH25" s="230">
        <f>IFERROR(IF(COUNTA('Daily Metrics Log'!$H$2:$H$2000)-5&gt;=1,INDEX('Daily Metrics Log'!$H$2:$H$2000,COUNTA('Daily Metrics Log'!$H$2:$H$2000)-5),NA()),NA())</f>
        <v>1225</v>
      </c>
      <c r="AI25" s="230">
        <f>IFERROR(IF(COUNTA('Daily Metrics Log'!$H$2:$H$2000)-4&gt;=1,INDEX('Daily Metrics Log'!$H$2:$H$2000,COUNTA('Daily Metrics Log'!$H$2:$H$2000)-4),NA()),NA())</f>
        <v>1495</v>
      </c>
      <c r="AJ25" s="230">
        <f>IFERROR(IF(COUNTA('Daily Metrics Log'!$H$2:$H$2000)-3&gt;=1,INDEX('Daily Metrics Log'!$H$2:$H$2000,COUNTA('Daily Metrics Log'!$H$2:$H$2000)-3),NA()),NA())</f>
        <v>1489</v>
      </c>
      <c r="AK25" s="230">
        <f>IFERROR(IF(COUNTA('Daily Metrics Log'!$H$2:$H$2000)-2&gt;=1,INDEX('Daily Metrics Log'!$H$2:$H$2000,COUNTA('Daily Metrics Log'!$H$2:$H$2000)-2),NA()),NA())</f>
        <v>2726</v>
      </c>
      <c r="AL25" s="230">
        <f>IFERROR(IF(COUNTA('Daily Metrics Log'!$H$2:$H$2000)-1&gt;=1,INDEX('Daily Metrics Log'!$H$2:$H$2000,COUNTA('Daily Metrics Log'!$H$2:$H$2000)-1),NA()),NA())</f>
        <v>2580</v>
      </c>
      <c r="AM25" s="230">
        <f>IFERROR(IF(COUNTA('Daily Metrics Log'!$H$2:$H$2000)-0&gt;=1,INDEX('Daily Metrics Log'!$H$2:$H$2000,COUNTA('Daily Metrics Log'!$H$2:$H$2000)-0),NA()),NA())</f>
        <v>2932</v>
      </c>
    </row>
    <row r="26" spans="4:39" ht="22">
      <c r="D26" s="341" t="s">
        <v>1007</v>
      </c>
      <c r="E26" s="330">
        <f>'Dashboard (2)'!$K$69</f>
        <v>2831</v>
      </c>
      <c r="F26" s="325">
        <f>IFERROR($E$26-VLOOKUP($D$3-1,DailyLog,9,FALSE),"n/a")</f>
        <v>2086</v>
      </c>
      <c r="G26" s="325">
        <f>IFERROR($E$26-VLOOKUP($D$3-7,DailyLog,9,FALSE),"n/a")</f>
        <v>2656</v>
      </c>
      <c r="H26" s="325">
        <f>IFERROR($E$26-VLOOKUP($D$3-30,DailyLog,9,FALSE),"n/a")</f>
        <v>2831</v>
      </c>
    </row>
    <row r="27" spans="4:39" ht="16">
      <c r="J27" s="230">
        <f>IFERROR(IF(COUNTA('Daily Metrics Log'!$I$2:$I$2000)-29&gt;=1,INDEX('Daily Metrics Log'!$I$2:$I$2000,COUNTA('Daily Metrics Log'!$I$2:$I$2000)-29),NA()),NA())</f>
        <v>0</v>
      </c>
      <c r="K27" s="230">
        <f>IFERROR(IF(COUNTA('Daily Metrics Log'!$I$2:$I$2000)-28&gt;=1,INDEX('Daily Metrics Log'!$I$2:$I$2000,COUNTA('Daily Metrics Log'!$I$2:$I$2000)-28),NA()),NA())</f>
        <v>0</v>
      </c>
      <c r="L27" s="230">
        <f>IFERROR(IF(COUNTA('Daily Metrics Log'!$I$2:$I$2000)-27&gt;=1,INDEX('Daily Metrics Log'!$I$2:$I$2000,COUNTA('Daily Metrics Log'!$I$2:$I$2000)-27),NA()),NA())</f>
        <v>0</v>
      </c>
      <c r="M27" s="230">
        <f>IFERROR(IF(COUNTA('Daily Metrics Log'!$I$2:$I$2000)-26&gt;=1,INDEX('Daily Metrics Log'!$I$2:$I$2000,COUNTA('Daily Metrics Log'!$I$2:$I$2000)-26),NA()),NA())</f>
        <v>0</v>
      </c>
      <c r="N27" s="230">
        <f>IFERROR(IF(COUNTA('Daily Metrics Log'!$I$2:$I$2000)-25&gt;=1,INDEX('Daily Metrics Log'!$I$2:$I$2000,COUNTA('Daily Metrics Log'!$I$2:$I$2000)-25),NA()),NA())</f>
        <v>0</v>
      </c>
      <c r="O27" s="230">
        <f>IFERROR(IF(COUNTA('Daily Metrics Log'!$I$2:$I$2000)-24&gt;=1,INDEX('Daily Metrics Log'!$I$2:$I$2000,COUNTA('Daily Metrics Log'!$I$2:$I$2000)-24),NA()),NA())</f>
        <v>0</v>
      </c>
      <c r="P27" s="230">
        <f>IFERROR(IF(COUNTA('Daily Metrics Log'!$I$2:$I$2000)-23&gt;=1,INDEX('Daily Metrics Log'!$I$2:$I$2000,COUNTA('Daily Metrics Log'!$I$2:$I$2000)-23),NA()),NA())</f>
        <v>0</v>
      </c>
      <c r="Q27" s="230">
        <f>IFERROR(IF(COUNTA('Daily Metrics Log'!$I$2:$I$2000)-22&gt;=1,INDEX('Daily Metrics Log'!$I$2:$I$2000,COUNTA('Daily Metrics Log'!$I$2:$I$2000)-22),NA()),NA())</f>
        <v>2</v>
      </c>
      <c r="R27" s="230">
        <f>IFERROR(IF(COUNTA('Daily Metrics Log'!$I$2:$I$2000)-21&gt;=1,INDEX('Daily Metrics Log'!$I$2:$I$2000,COUNTA('Daily Metrics Log'!$I$2:$I$2000)-21),NA()),NA())</f>
        <v>0</v>
      </c>
      <c r="S27" s="230">
        <f>IFERROR(IF(COUNTA('Daily Metrics Log'!$I$2:$I$2000)-20&gt;=1,INDEX('Daily Metrics Log'!$I$2:$I$2000,COUNTA('Daily Metrics Log'!$I$2:$I$2000)-20),NA()),NA())</f>
        <v>0</v>
      </c>
      <c r="T27" s="230">
        <f>IFERROR(IF(COUNTA('Daily Metrics Log'!$I$2:$I$2000)-19&gt;=1,INDEX('Daily Metrics Log'!$I$2:$I$2000,COUNTA('Daily Metrics Log'!$I$2:$I$2000)-19),NA()),NA())</f>
        <v>0</v>
      </c>
      <c r="U27" s="230">
        <f>IFERROR(IF(COUNTA('Daily Metrics Log'!$I$2:$I$2000)-18&gt;=1,INDEX('Daily Metrics Log'!$I$2:$I$2000,COUNTA('Daily Metrics Log'!$I$2:$I$2000)-18),NA()),NA())</f>
        <v>19</v>
      </c>
      <c r="V27" s="230">
        <f>IFERROR(IF(COUNTA('Daily Metrics Log'!$I$2:$I$2000)-17&gt;=1,INDEX('Daily Metrics Log'!$I$2:$I$2000,COUNTA('Daily Metrics Log'!$I$2:$I$2000)-17),NA()),NA())</f>
        <v>20</v>
      </c>
      <c r="W27" s="230">
        <f>IFERROR(IF(COUNTA('Daily Metrics Log'!$I$2:$I$2000)-16&gt;=1,INDEX('Daily Metrics Log'!$I$2:$I$2000,COUNTA('Daily Metrics Log'!$I$2:$I$2000)-16),NA()),NA())</f>
        <v>57</v>
      </c>
      <c r="X27" s="230">
        <f>IFERROR(IF(COUNTA('Daily Metrics Log'!$I$2:$I$2000)-15&gt;=1,INDEX('Daily Metrics Log'!$I$2:$I$2000,COUNTA('Daily Metrics Log'!$I$2:$I$2000)-15),NA()),NA())</f>
        <v>163</v>
      </c>
      <c r="Y27" s="230">
        <f>IFERROR(IF(COUNTA('Daily Metrics Log'!$I$2:$I$2000)-14&gt;=1,INDEX('Daily Metrics Log'!$I$2:$I$2000,COUNTA('Daily Metrics Log'!$I$2:$I$2000)-14),NA()),NA())</f>
        <v>175</v>
      </c>
      <c r="Z27" s="230">
        <f>IFERROR(IF(COUNTA('Daily Metrics Log'!$I$2:$I$2000)-13&gt;=1,INDEX('Daily Metrics Log'!$I$2:$I$2000,COUNTA('Daily Metrics Log'!$I$2:$I$2000)-13),NA()),NA())</f>
        <v>203</v>
      </c>
      <c r="AA27" s="230">
        <f>IFERROR(IF(COUNTA('Daily Metrics Log'!$I$2:$I$2000)-12&gt;=1,INDEX('Daily Metrics Log'!$I$2:$I$2000,COUNTA('Daily Metrics Log'!$I$2:$I$2000)-12),NA()),NA())</f>
        <v>166</v>
      </c>
      <c r="AB27" s="230">
        <f>IFERROR(IF(COUNTA('Daily Metrics Log'!$I$2:$I$2000)-11&gt;=1,INDEX('Daily Metrics Log'!$I$2:$I$2000,COUNTA('Daily Metrics Log'!$I$2:$I$2000)-11),NA()),NA())</f>
        <v>996</v>
      </c>
      <c r="AC27" s="230">
        <f>IFERROR(IF(COUNTA('Daily Metrics Log'!$I$2:$I$2000)-10&gt;=1,INDEX('Daily Metrics Log'!$I$2:$I$2000,COUNTA('Daily Metrics Log'!$I$2:$I$2000)-10),NA()),NA())</f>
        <v>825</v>
      </c>
      <c r="AD27" s="230">
        <f>IFERROR(IF(COUNTA('Daily Metrics Log'!$I$2:$I$2000)-9&gt;=1,INDEX('Daily Metrics Log'!$I$2:$I$2000,COUNTA('Daily Metrics Log'!$I$2:$I$2000)-9),NA()),NA())</f>
        <v>701</v>
      </c>
      <c r="AE27" s="230">
        <f>IFERROR(IF(COUNTA('Daily Metrics Log'!$I$2:$I$2000)-8&gt;=1,INDEX('Daily Metrics Log'!$I$2:$I$2000,COUNTA('Daily Metrics Log'!$I$2:$I$2000)-8),NA()),NA())</f>
        <v>745</v>
      </c>
      <c r="AF27" s="230">
        <f>IFERROR(IF(COUNTA('Daily Metrics Log'!$I$2:$I$2000)-7&gt;=1,INDEX('Daily Metrics Log'!$I$2:$I$2000,COUNTA('Daily Metrics Log'!$I$2:$I$2000)-7),NA()),NA())</f>
        <v>840</v>
      </c>
      <c r="AG27" s="230">
        <f>IFERROR(IF(COUNTA('Daily Metrics Log'!$I$2:$I$2000)-6&gt;=1,INDEX('Daily Metrics Log'!$I$2:$I$2000,COUNTA('Daily Metrics Log'!$I$2:$I$2000)-6),NA()),NA())</f>
        <v>583</v>
      </c>
      <c r="AH27" s="230">
        <f>IFERROR(IF(COUNTA('Daily Metrics Log'!$I$2:$I$2000)-5&gt;=1,INDEX('Daily Metrics Log'!$I$2:$I$2000,COUNTA('Daily Metrics Log'!$I$2:$I$2000)-5),NA()),NA())</f>
        <v>471</v>
      </c>
      <c r="AI27" s="230">
        <f>IFERROR(IF(COUNTA('Daily Metrics Log'!$I$2:$I$2000)-4&gt;=1,INDEX('Daily Metrics Log'!$I$2:$I$2000,COUNTA('Daily Metrics Log'!$I$2:$I$2000)-4),NA()),NA())</f>
        <v>1276</v>
      </c>
      <c r="AJ27" s="230">
        <f>IFERROR(IF(COUNTA('Daily Metrics Log'!$I$2:$I$2000)-3&gt;=1,INDEX('Daily Metrics Log'!$I$2:$I$2000,COUNTA('Daily Metrics Log'!$I$2:$I$2000)-3),NA()),NA())</f>
        <v>1311</v>
      </c>
      <c r="AK27" s="230">
        <f>IFERROR(IF(COUNTA('Daily Metrics Log'!$I$2:$I$2000)-2&gt;=1,INDEX('Daily Metrics Log'!$I$2:$I$2000,COUNTA('Daily Metrics Log'!$I$2:$I$2000)-2),NA()),NA())</f>
        <v>2317</v>
      </c>
      <c r="AL27" s="230">
        <f>IFERROR(IF(COUNTA('Daily Metrics Log'!$I$2:$I$2000)-1&gt;=1,INDEX('Daily Metrics Log'!$I$2:$I$2000,COUNTA('Daily Metrics Log'!$I$2:$I$2000)-1),NA()),NA())</f>
        <v>2759</v>
      </c>
      <c r="AM27" s="230">
        <f>IFERROR(IF(COUNTA('Daily Metrics Log'!$I$2:$I$2000)-0&gt;=1,INDEX('Daily Metrics Log'!$I$2:$I$2000,COUNTA('Daily Metrics Log'!$I$2:$I$2000)-0),NA()),NA())</f>
        <v>2795</v>
      </c>
    </row>
    <row r="29" spans="4:39">
      <c r="D29" s="290" t="s">
        <v>1008</v>
      </c>
      <c r="E29" s="237"/>
      <c r="F29" s="237"/>
      <c r="G29" s="237"/>
      <c r="H29" s="237"/>
    </row>
    <row r="30" spans="4:39">
      <c r="D30" s="290" t="s">
        <v>1009</v>
      </c>
      <c r="E30" s="237"/>
      <c r="F30" s="237"/>
      <c r="G30" s="237"/>
      <c r="H30" s="237"/>
    </row>
    <row r="31" spans="4:39">
      <c r="D31" s="290" t="s">
        <v>1010</v>
      </c>
      <c r="E31" s="237"/>
      <c r="F31" s="237"/>
      <c r="G31" s="237"/>
      <c r="H31" s="237"/>
    </row>
    <row r="32" spans="4:39">
      <c r="D32" s="290" t="s">
        <v>1011</v>
      </c>
      <c r="E32" s="237"/>
      <c r="F32" s="237"/>
      <c r="G32" s="237"/>
      <c r="H32" s="237"/>
    </row>
    <row r="33" spans="4:8">
      <c r="D33" s="290" t="s">
        <v>1012</v>
      </c>
      <c r="E33" s="237"/>
      <c r="F33" s="237"/>
      <c r="G33" s="237"/>
      <c r="H33" s="237"/>
    </row>
    <row r="34" spans="4:8">
      <c r="D34" s="290" t="s">
        <v>1013</v>
      </c>
      <c r="E34" s="237"/>
      <c r="F34" s="237"/>
      <c r="G34" s="237"/>
      <c r="H34" s="237"/>
    </row>
    <row r="35" spans="4:8">
      <c r="D35" s="290" t="s">
        <v>1014</v>
      </c>
      <c r="E35" s="237"/>
      <c r="F35" s="237"/>
      <c r="G35" s="237"/>
      <c r="H35" s="237"/>
    </row>
  </sheetData>
  <mergeCells count="10">
    <mergeCell ref="D35:H35"/>
    <mergeCell ref="D6:H6"/>
    <mergeCell ref="D30:H30"/>
    <mergeCell ref="B1:H1"/>
    <mergeCell ref="D34:H34"/>
    <mergeCell ref="D33:H33"/>
    <mergeCell ref="D29:H29"/>
    <mergeCell ref="D31:H31"/>
    <mergeCell ref="D32:H32"/>
    <mergeCell ref="F8:H8"/>
  </mergeCells>
  <conditionalFormatting sqref="F10:H10 F22:H22 F18:H18 F16:H16 F14:H14 F12:H12 F26:H26 F24:H24">
    <cfRule type="cellIs" dxfId="2" priority="1" operator="equal">
      <formula>0</formula>
    </cfRule>
    <cfRule type="cellIs" dxfId="1" priority="2" operator="lessThan">
      <formula>0</formula>
    </cfRule>
    <cfRule type="cellIs" dxfId="0" priority="3" operator="greaterThan">
      <formula>0</formula>
    </cfRule>
  </conditionalFormatting>
  <pageMargins left="0.75" right="0.75" top="1" bottom="1" header="0.5" footer="0.5"/>
</worksheet>
</file>

<file path=docMetadata/LabelInfo.xml><?xml version="1.0" encoding="utf-8"?>
<clbl:labelList xmlns:clbl="http://schemas.microsoft.com/office/2020/mipLabelMetadata">
  <clbl:label id="{db79d039-fcd0-4045-9c78-4cfb2eba0904}" enabled="1" method="Privileged" siteId="{aa3f6932-fa7c-47b4-a0ce-a598cad161cf}"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13</vt:i4>
      </vt:variant>
      <vt:variant>
        <vt:lpstr>Named Ranges</vt:lpstr>
      </vt:variant>
      <vt:variant>
        <vt:i4>11</vt:i4>
      </vt:variant>
    </vt:vector>
  </HeadingPairs>
  <TitlesOfParts>
    <vt:vector size="24" baseType="lpstr">
      <vt:lpstr>ODEM data</vt:lpstr>
      <vt:lpstr>NWCC Fire Data</vt:lpstr>
      <vt:lpstr>MAPS</vt:lpstr>
      <vt:lpstr>Chart-acres vs active</vt:lpstr>
      <vt:lpstr>Dashboard (2)</vt:lpstr>
      <vt:lpstr>ODF data</vt:lpstr>
      <vt:lpstr>Rpt-Status, name, county</vt:lpstr>
      <vt:lpstr>EVENTS</vt:lpstr>
      <vt:lpstr>Rpt-County, status, name</vt:lpstr>
      <vt:lpstr>County chart</vt:lpstr>
      <vt:lpstr>Counties</vt:lpstr>
      <vt:lpstr>Daily Metrics Log</vt:lpstr>
      <vt:lpstr>Summary</vt:lpstr>
      <vt:lpstr>Agency_data</vt:lpstr>
      <vt:lpstr>County</vt:lpstr>
      <vt:lpstr>DailyLog</vt:lpstr>
      <vt:lpstr>Fires</vt:lpstr>
      <vt:lpstr>Fires_2025</vt:lpstr>
      <vt:lpstr>ODEM</vt:lpstr>
      <vt:lpstr>ODF</vt:lpstr>
      <vt:lpstr>'Dashboard (2)'!Print_Area</vt:lpstr>
      <vt:lpstr>'Rpt-Status, name, county'!Print_Area</vt:lpstr>
      <vt:lpstr>'Rpt-Status, name, county'!Print_Titles</vt:lpstr>
      <vt:lpstr>Wildfires</vt:lpstr>
    </vt:vector>
  </TitlesOfParts>
  <Company>DCBS - M365</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RAMAGE Matt F * DCBS</dc:creator>
  <cp:lastModifiedBy>Matt Ramage</cp:lastModifiedBy>
  <cp:lastPrinted>2025-09-26T15:55:12Z</cp:lastPrinted>
  <dcterms:created xsi:type="dcterms:W3CDTF">2024-10-18T21:57:52Z</dcterms:created>
  <dcterms:modified xsi:type="dcterms:W3CDTF">2026-07-27T22:51:06Z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b79d039-fcd0-4045-9c78-4cfb2eba0904_Enabled">
    <vt:lpwstr>true</vt:lpwstr>
  </property>
  <property fmtid="{D5CDD505-2E9C-101B-9397-08002B2CF9AE}" pid="3" name="MSIP_Label_db79d039-fcd0-4045-9c78-4cfb2eba0904_SetDate">
    <vt:lpwstr>2024-10-18T22:58:16Z</vt:lpwstr>
  </property>
  <property fmtid="{D5CDD505-2E9C-101B-9397-08002B2CF9AE}" pid="4" name="MSIP_Label_db79d039-fcd0-4045-9c78-4cfb2eba0904_Method">
    <vt:lpwstr>Privileged</vt:lpwstr>
  </property>
  <property fmtid="{D5CDD505-2E9C-101B-9397-08002B2CF9AE}" pid="5" name="MSIP_Label_db79d039-fcd0-4045-9c78-4cfb2eba0904_Name">
    <vt:lpwstr>Level 2 - Limited (Items)</vt:lpwstr>
  </property>
  <property fmtid="{D5CDD505-2E9C-101B-9397-08002B2CF9AE}" pid="6" name="MSIP_Label_db79d039-fcd0-4045-9c78-4cfb2eba0904_SiteId">
    <vt:lpwstr>aa3f6932-fa7c-47b4-a0ce-a598cad161cf</vt:lpwstr>
  </property>
  <property fmtid="{D5CDD505-2E9C-101B-9397-08002B2CF9AE}" pid="7" name="MSIP_Label_db79d039-fcd0-4045-9c78-4cfb2eba0904_ActionId">
    <vt:lpwstr>578790b0-1208-4fc6-90f0-f94ef302b163</vt:lpwstr>
  </property>
  <property fmtid="{D5CDD505-2E9C-101B-9397-08002B2CF9AE}" pid="8" name="MSIP_Label_db79d039-fcd0-4045-9c78-4cfb2eba0904_ContentBits">
    <vt:lpwstr>0</vt:lpwstr>
  </property>
</Properties>
</file>