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threadedComments/threadedComment26.xml" ContentType="application/vnd.ms-excel.threadedcomments+xml"/>
  <Override PartName="/xl/comments26.xml" ContentType="application/vnd.openxmlformats-officedocument.spreadsheetml.comments+xml"/>
  <Override PartName="/xl/threadedComments/threadedComment28.xml" ContentType="application/vnd.ms-excel.threadedcomments+xml"/>
  <Override PartName="/xl/worksheets/sheet11.xml" ContentType="application/vnd.openxmlformats-officedocument.spreadsheetml.worksheet+xml"/>
  <Override PartName="/xl/drawings/drawing3.xml" ContentType="application/vnd.openxmlformats-officedocument.drawing+xml"/>
  <Override PartName="/xl/worksheets/sheet29.xml" ContentType="application/vnd.openxmlformats-officedocument.spreadsheetml.worksheet+xml"/>
  <Override PartName="/xl/comments12.xml" ContentType="application/vnd.openxmlformats-officedocument.spreadsheetml.comments+xml"/>
  <Override PartName="/xl/worksheets/sheet15.xml" ContentType="application/vnd.openxmlformats-officedocument.spreadsheetml.worksheet+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worksheets/sheet5.xml" ContentType="application/vnd.openxmlformats-officedocument.spreadsheetml.worksheet+xml"/>
  <Override PartName="/xl/comments10.xml" ContentType="application/vnd.openxmlformats-officedocument.spreadsheetml.comments+xml"/>
  <Override PartName="/xl/worksheets/sheet13.xml" ContentType="application/vnd.openxmlformats-officedocument.spreadsheetml.worksheet+xml"/>
  <Override PartName="/xl/threadedComments/threadedComment3.xml" ContentType="application/vnd.ms-excel.threadedcomments+xml"/>
  <Override PartName="/xl/worksheets/sheet4.xml" ContentType="application/vnd.openxmlformats-officedocument.spreadsheetml.worksheet+xml"/>
  <Override PartName="/xl/comments3.xml" ContentType="application/vnd.openxmlformats-officedocument.spreadsheetml.comments+xml"/>
  <Override PartName="/xl/threadedComments/threadedComment42.xml" ContentType="application/vnd.ms-excel.threadedcomments+xml"/>
  <Override PartName="/xl/threadedComments/threadedComment15.xml" ContentType="application/vnd.ms-excel.threadedcomments+xml"/>
  <Override PartName="/xl/comments42.xml" ContentType="application/vnd.openxmlformats-officedocument.spreadsheetml.comments+xml"/>
  <Override PartName="/xl/comments15.xml" ContentType="application/vnd.openxmlformats-officedocument.spreadsheetml.comments+xml"/>
  <Override PartName="/xl/threadedComments/threadedComment33.xml" ContentType="application/vnd.ms-excel.threadedcomments+xml"/>
  <Override PartName="/xl/comments33.xml" ContentType="application/vnd.openxmlformats-officedocument.spreadsheetml.comments+xml"/>
  <Override PartName="/xl/worksheets/sheet36.xml" ContentType="application/vnd.openxmlformats-officedocument.spreadsheetml.worksheet+xml"/>
  <Override PartName="/xl/threadedComments/threadedComment27.xml" ContentType="application/vnd.ms-excel.threadedcomments+xml"/>
  <Override PartName="/xl/comments27.xml" ContentType="application/vnd.openxmlformats-officedocument.spreadsheetml.comments+xml"/>
  <Override PartName="/xl/worksheets/sheet6.xml" ContentType="application/vnd.openxmlformats-officedocument.spreadsheetml.worksheet+xml"/>
  <Override PartName="/xl/worksheets/sheet30.xml" ContentType="application/vnd.openxmlformats-officedocument.spreadsheetml.worksheet+xml"/>
  <Override PartName="/xl/threadedComments/threadedComment16.xml" ContentType="application/vnd.ms-excel.threadedcomments+xml"/>
  <Override PartName="/xl/comments16.xml" ContentType="application/vnd.openxmlformats-officedocument.spreadsheetml.comments+xml"/>
  <Override PartName="/xl/threadedComments/threadedComment4.xml" ContentType="application/vnd.ms-excel.threadedcomments+xml"/>
  <Override PartName="/xl/threadedComments/threadedComment10.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worksheets/sheet8.xml" ContentType="application/vnd.openxmlformats-officedocument.spreadsheetml.worksheet+xml"/>
  <Override PartName="/xl/comments11.xml" ContentType="application/vnd.openxmlformats-officedocument.spreadsheetml.comments+xml"/>
  <Override PartName="/xl/worksheets/sheet7.xml" ContentType="application/vnd.openxmlformats-officedocument.spreadsheetml.worksheet+xml"/>
  <Override PartName="/xl/threadedComments/threadedComment22.xml" ContentType="application/vnd.ms-excel.threadedcomments+xml"/>
  <Override PartName="/xl/worksheets/sheet25.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comments20.xml" ContentType="application/vnd.openxmlformats-officedocument.spreadsheetml.comments+xml"/>
  <Override PartName="/xl/comments7.xml" ContentType="application/vnd.openxmlformats-officedocument.spreadsheetml.comments+xml"/>
  <Override PartName="/xl/comments46.xml" ContentType="application/vnd.openxmlformats-officedocument.spreadsheetml.comments+xml"/>
  <Override PartName="/xl/worksheets/sheet49.xml" ContentType="application/vnd.openxmlformats-officedocument.spreadsheetml.worksheet+xml"/>
  <Override PartName="/xl/threadedComments/threadedComment1.xml" ContentType="application/vnd.ms-excel.threadedcomments+xml"/>
  <Override PartName="/xl/worksheets/sheet12.xml" ContentType="application/vnd.openxmlformats-officedocument.spreadsheetml.worksheet+xml"/>
  <Override PartName="/xl/worksheets/sheet24.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threadedComments/threadedComment11.xml" ContentType="application/vnd.ms-excel.threadedcomments+xml"/>
  <Override PartName="/xl/comments18.xml" ContentType="application/vnd.openxmlformats-officedocument.spreadsheetml.comments+xml"/>
  <Override PartName="/xl/threadedComments/threadedComment20.xml" ContentType="application/vnd.ms-excel.threadedcomments+xml"/>
  <Override PartName="/xl/worksheets/sheet21.xml" ContentType="application/vnd.openxmlformats-officedocument.spreadsheetml.worksheet+xml"/>
  <Override PartName="/xl/theme/theme1.xml" ContentType="application/vnd.openxmlformats-officedocument.theme+xml"/>
  <Override PartName="/xl/worksheets/sheet23.xml" ContentType="application/vnd.openxmlformats-officedocument.spreadsheetml.worksheet+xml"/>
  <Override PartName="/xl/threadedComments/threadedComment19.xml" ContentType="application/vnd.ms-excel.threadedcomments+xml"/>
  <Override PartName="/xl/comments14.xml" ContentType="application/vnd.openxmlformats-officedocument.spreadsheetml.comments+xml"/>
  <Override PartName="/xl/threadedComments/threadedComment48.xml" ContentType="application/vnd.ms-excel.threadedcomments+xml"/>
  <Override PartName="/xl/worksheets/sheet26.xml" ContentType="application/vnd.openxmlformats-officedocument.spreadsheetml.worksheet+xml"/>
  <Override PartName="/xl/worksheets/sheet27.xml" ContentType="application/vnd.openxmlformats-officedocument.spreadsheetml.worksheet+xml"/>
  <Override PartName="/xl/comments25.xml" ContentType="application/vnd.openxmlformats-officedocument.spreadsheetml.comments+xml"/>
  <Override PartName="/xl/worksheets/sheet28.xml" ContentType="application/vnd.openxmlformats-officedocument.spreadsheetml.worksheet+xml"/>
  <Override PartName="/xl/threadedComments/threadedComment29.xml" ContentType="application/vnd.ms-excel.threadedcomments+xml"/>
  <Override PartName="/xl/comments24.xml" ContentType="application/vnd.openxmlformats-officedocument.spreadsheetml.comments+xml"/>
  <Override PartName="/xl/worksheets/sheet1.xml" ContentType="application/vnd.openxmlformats-officedocument.spreadsheetml.worksheet+xml"/>
  <Override PartName="/xl/comments29.xml" ContentType="application/vnd.openxmlformats-officedocument.spreadsheetml.comments+xml"/>
  <Override PartName="/xl/worksheets/sheet32.xml" ContentType="application/vnd.openxmlformats-officedocument.spreadsheetml.worksheet+xml"/>
  <Override PartName="/xl/comments54.xml" ContentType="application/vnd.openxmlformats-officedocument.spreadsheetml.comments+xml"/>
  <Override PartName="/xl/threadedComments/threadedComment18.xml" ContentType="application/vnd.ms-excel.threadedcomments+xml"/>
  <Override PartName="/xl/threadedComments/threadedComment2.xml" ContentType="application/vnd.ms-excel.threadedcomments+xml"/>
  <Override PartName="/xl/worksheets/sheet33.xml" ContentType="application/vnd.openxmlformats-officedocument.spreadsheetml.worksheet+xml"/>
  <Override PartName="/xl/comments31.xml" ContentType="application/vnd.openxmlformats-officedocument.spreadsheetml.comments+xml"/>
  <Override PartName="/xl/worksheets/sheet57.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readedComments/threadedComment37.xml" ContentType="application/vnd.ms-excel.threadedcomments+xml"/>
  <Override PartName="/xl/comments37.xml" ContentType="application/vnd.openxmlformats-officedocument.spreadsheetml.comments+xml"/>
  <Override PartName="/xl/worksheets/sheet3.xml" ContentType="application/vnd.openxmlformats-officedocument.spreadsheetml.worksheet+xml"/>
  <Override PartName="/xl/threadedComments/threadedComment34.xml" ContentType="application/vnd.ms-excel.threadedcomments+xml"/>
  <Override PartName="/xl/threadedComments/threadedComment23.xml" ContentType="application/vnd.ms-excel.threadedcomments+xml"/>
  <Override PartName="/xl/comments30.xml" ContentType="application/vnd.openxmlformats-officedocument.spreadsheetml.comments+xml"/>
  <Override PartName="/xl/comments34.xml" ContentType="application/vnd.openxmlformats-officedocument.spreadsheetml.comments+xml"/>
  <Override PartName="/xl/drawings/drawing1.xml" ContentType="application/vnd.openxmlformats-officedocument.drawing+xml"/>
  <Override PartName="/xl/comments13.xml" ContentType="application/vnd.openxmlformats-officedocument.spreadsheetml.comments+xml"/>
  <Override PartName="/xl/worksheets/sheet2.xml" ContentType="application/vnd.openxmlformats-officedocument.spreadsheetml.worksheet+xml"/>
  <Override PartName="/xl/threadedComments/threadedComment50.xml" ContentType="application/vnd.ms-excel.threadedcomments+xml"/>
  <Override PartName="/xl/comments48.xml" ContentType="application/vnd.openxmlformats-officedocument.spreadsheetml.comments+xml"/>
  <Override PartName="/xl/comments50.xml" ContentType="application/vnd.openxmlformats-officedocument.spreadsheetml.comments+xml"/>
  <Override PartName="/xl/worksheets/sheet5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threadedComments/threadedComment24.xml" ContentType="application/vnd.ms-excel.threadedcomments+xml"/>
  <Override PartName="/xl/threadedComments/threadedComment35.xml" ContentType="application/vnd.ms-excel.threadedcomments+xml"/>
  <Override PartName="/xl/threadedComments/threadedComment12.xml" ContentType="application/vnd.ms-excel.threadedcomments+xml"/>
  <Override PartName="/xl/threadedComments/threadedComment36.xml" ContentType="application/vnd.ms-excel.threadedcomments+xml"/>
  <Override PartName="/xl/threadedComments/threadedComment54.xml" ContentType="application/vnd.ms-excel.threadedcomments+xml"/>
  <Override PartName="/xl/worksheets/sheet18.xml" ContentType="application/vnd.openxmlformats-officedocument.spreadsheetml.worksheet+xml"/>
  <Override PartName="/xl/worksheets/sheet39.xml" ContentType="application/vnd.openxmlformats-officedocument.spreadsheetml.worksheet+xml"/>
  <Override PartName="/xl/comments38.xml" ContentType="application/vnd.openxmlformats-officedocument.spreadsheetml.comments+xml"/>
  <Override PartName="/xl/worksheets/sheet41.xml" ContentType="application/vnd.openxmlformats-officedocument.spreadsheetml.worksheet+xml"/>
  <Override PartName="/xl/worksheets/sheet42.xml" ContentType="application/vnd.openxmlformats-officedocument.spreadsheetml.worksheet+xml"/>
  <Override PartName="/xl/threadedComments/threadedComment25.xml" ContentType="application/vnd.ms-excel.threadedcomments+xml"/>
  <Override PartName="/xl/comments8.xml" ContentType="application/vnd.openxmlformats-officedocument.spreadsheetml.comments+xml"/>
  <Override PartName="/xl/comments2.xml" ContentType="application/vnd.openxmlformats-officedocument.spreadsheetml.comments+xml"/>
  <Override PartName="/xl/worksheets/sheet48.xml" ContentType="application/vnd.openxmlformats-officedocument.spreadsheetml.worksheet+xml"/>
  <Override PartName="/xl/sharedStrings.xml" ContentType="application/vnd.openxmlformats-officedocument.spreadsheetml.sharedStrings+xml"/>
  <Override PartName="/xl/threadedComments/threadedComment8.xml" ContentType="application/vnd.ms-excel.threadedcomments+xml"/>
  <Override PartName="/xl/threadedComments/threadedComment40.xml" ContentType="application/vnd.ms-excel.threadedcomments+xml"/>
  <Override PartName="/xl/drawings/drawing2.xml" ContentType="application/vnd.openxmlformats-officedocument.drawing+xml"/>
  <Override PartName="/xl/threadedComments/threadedComment32.xml" ContentType="application/vnd.ms-excel.threadedcomments+xml"/>
  <Override PartName="/xl/comments40.xml" ContentType="application/vnd.openxmlformats-officedocument.spreadsheetml.comments+xml"/>
  <Override PartName="/xl/worksheets/sheet43.xml" ContentType="application/vnd.openxmlformats-officedocument.spreadsheetml.worksheet+xml"/>
  <Override PartName="/xl/comments22.xml" ContentType="application/vnd.openxmlformats-officedocument.spreadsheetml.comments+xml"/>
  <Override PartName="/xl/worksheets/sheet16.xml" ContentType="application/vnd.openxmlformats-officedocument.spreadsheetml.worksheet+xml"/>
  <Override PartName="/xl/worksheets/sheet52.xml" ContentType="application/vnd.openxmlformats-officedocument.spreadsheetml.worksheet+xml"/>
  <Override PartName="/xl/threadedComments/threadedComment41.xml" ContentType="application/vnd.ms-excel.threadedcomments+xml"/>
  <Override PartName="/xl/comments41.xml" ContentType="application/vnd.openxmlformats-officedocument.spreadsheetml.comments+xml"/>
  <Override PartName="/xl/threadedComments/threadedComment7.xml" ContentType="application/vnd.ms-excel.threadedcomments+xml"/>
  <Override PartName="/xl/worksheets/sheet44.xml" ContentType="application/vnd.openxmlformats-officedocument.spreadsheetml.worksheet+xml"/>
  <Override PartName="/xl/threadedComments/threadedComment30.xml" ContentType="application/vnd.ms-excel.threadedcomments+xml"/>
  <Override PartName="/xl/worksheets/sheet37.xml" ContentType="application/vnd.openxmlformats-officedocument.spreadsheetml.worksheet+xml"/>
  <Override PartName="/xl/comments49.xml" ContentType="application/vnd.openxmlformats-officedocument.spreadsheetml.comments+xml"/>
  <Override PartName="/xl/comments39.xml" ContentType="application/vnd.openxmlformats-officedocument.spreadsheetml.comments+xml"/>
  <Override PartName="/xl/threadedComments/threadedComment43.xml" ContentType="application/vnd.ms-excel.threadedcomments+xml"/>
  <Override PartName="/xl/comments45.xml" ContentType="application/vnd.openxmlformats-officedocument.spreadsheetml.comments+xml"/>
  <Override PartName="/xl/threadedComments/threadedComment46.xml" ContentType="application/vnd.ms-excel.threadedcomments+xml"/>
  <Override PartName="/xl/threadedComments/threadedComment14.xml" ContentType="application/vnd.ms-excel.threadedcomments+xml"/>
  <Override PartName="/xl/threadedComments/threadedComment44.xml" ContentType="application/vnd.ms-excel.threadedcomments+xml"/>
  <Override PartName="/xl/worksheets/sheet47.xml" ContentType="application/vnd.openxmlformats-officedocument.spreadsheetml.worksheet+xml"/>
  <Override PartName="/xl/comments43.xml" ContentType="application/vnd.openxmlformats-officedocument.spreadsheetml.comments+xml"/>
  <Override PartName="/xl/threadedComments/threadedComment21.xml" ContentType="application/vnd.ms-excel.threadedcomments+xml"/>
  <Override PartName="/xl/threadedComments/threadedComment49.xml" ContentType="application/vnd.ms-excel.threadedcomments+xml"/>
  <Override PartName="/xl/threadedComments/threadedComment52.xml" ContentType="application/vnd.ms-excel.threadedcomments+xml"/>
  <Override PartName="/xl/threadedComments/threadedComment53.xml" ContentType="application/vnd.ms-excel.threadedcomments+xml"/>
  <Override PartName="/xl/worksheets/sheet50.xml" ContentType="application/vnd.openxmlformats-officedocument.spreadsheetml.worksheet+xml"/>
  <Override PartName="/xl/worksheets/sheet54.xml" ContentType="application/vnd.openxmlformats-officedocument.spreadsheetml.worksheet+xml"/>
  <Override PartName="/xl/worksheets/sheet38.xml" ContentType="application/vnd.openxmlformats-officedocument.spreadsheetml.worksheet+xml"/>
  <Override PartName="/xl/comments53.xml" ContentType="application/vnd.openxmlformats-officedocument.spreadsheetml.comments+xml"/>
  <Override PartName="/xl/drawings/drawing6.xml" ContentType="application/vnd.openxmlformats-officedocument.drawing+xml"/>
  <Override PartName="/xl/worksheets/sheet56.xml" ContentType="application/vnd.openxmlformats-officedocument.spreadsheetml.worksheet+xml"/>
  <Override PartName="/xl/drawings/drawing8.xml" ContentType="application/vnd.openxmlformats-officedocument.drawing+xml"/>
  <Override PartName="/xl/threadedComments/threadedComment31.xml" ContentType="application/vnd.ms-excel.threadedcomments+xml"/>
  <Override PartName="/xl/worksheets/sheet59.xml" ContentType="application/vnd.openxmlformats-officedocument.spreadsheetml.worksheet+xml"/>
  <Override PartName="/xl/comments51.xml" ContentType="application/vnd.openxmlformats-officedocument.spreadsheetml.comments+xml"/>
  <Override PartName="/xl/comments35.xml" ContentType="application/vnd.openxmlformats-officedocument.spreadsheetml.comments+xml"/>
  <Override PartName="/xl/workbook.xml" ContentType="application/vnd.openxmlformats-officedocument.spreadsheetml.sheet.main+xml"/>
  <Override PartName="/xl/comments44.xml" ContentType="application/vnd.openxmlformats-officedocument.spreadsheetml.comments+xml"/>
  <Override PartName="/xl/threadedComments/threadedComment47.xml" ContentType="application/vnd.ms-excel.threadedcomments+xml"/>
  <Override PartName="/xl/worksheets/sheet45.xml" ContentType="application/vnd.openxmlformats-officedocument.spreadsheetml.worksheet+xml"/>
  <Override PartName="/xl/charts/chart12.xml" ContentType="application/vnd.openxmlformats-officedocument.drawingml.chart+xml"/>
  <Override PartName="/xl/styles.xml" ContentType="application/vnd.openxmlformats-officedocument.spreadsheetml.styles+xml"/>
  <Override PartName="/xl/threadedComments/threadedComment9.xml" ContentType="application/vnd.ms-excel.threadedcomments+xml"/>
  <Override PartName="/xl/charts/style1.xml" ContentType="application/vnd.ms-office.chartstyle+xml"/>
  <Override PartName="/xl/threadedComments/threadedComment45.xml" ContentType="application/vnd.ms-excel.threadedcomments+xml"/>
  <Override PartName="/xl/charts/colors2.xml" ContentType="application/vnd.ms-office.chartcolorstyle+xml"/>
  <Override PartName="/xl/threadedComments/threadedComment39.xml" ContentType="application/vnd.ms-excel.threadedcomments+xml"/>
  <Override PartName="/xl/comments23.xml" ContentType="application/vnd.openxmlformats-officedocument.spreadsheetml.comments+xml"/>
  <Override PartName="/xl/charts/chart10.xml" ContentType="application/vnd.openxmlformats-officedocument.drawingml.chart+xml"/>
  <Override PartName="/xl/threadedComments/threadedComment38.xml" ContentType="application/vnd.ms-excel.threadedcomments+xml"/>
  <Override PartName="/xl/charts/style2.xml" ContentType="application/vnd.ms-office.chartstyle+xml"/>
  <Override PartName="/xl/comments32.xml" ContentType="application/vnd.openxmlformats-officedocument.spreadsheetml.comments+xml"/>
  <Override PartName="/xl/comments17.xml" ContentType="application/vnd.openxmlformats-officedocument.spreadsheetml.comments+xml"/>
  <Override PartName="/xl/charts/chart9.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worksheets/sheet19.xml" ContentType="application/vnd.openxmlformats-officedocument.spreadsheetml.worksheet+xml"/>
  <Override PartName="/xl/drawings/drawing7.xml" ContentType="application/vnd.openxmlformats-officedocument.drawing+xml"/>
  <Override PartName="/xl/charts/chart6.xml" ContentType="application/vnd.openxmlformats-officedocument.drawingml.chart+xml"/>
  <Override PartName="/xl/threadedComments/threadedComment17.xml" ContentType="application/vnd.ms-excel.threadedcomments+xml"/>
  <Override PartName="/xl/comments21.xml" ContentType="application/vnd.openxmlformats-officedocument.spreadsheetml.comments+xml"/>
  <Override PartName="/xl/worksheets/sheet55.xml" ContentType="application/vnd.openxmlformats-officedocument.spreadsheetml.worksheet+xml"/>
  <Override PartName="/xl/comments36.xml" ContentType="application/vnd.openxmlformats-officedocument.spreadsheetml.comments+xml"/>
  <Override PartName="/xl/charts/colors1.xml" ContentType="application/vnd.ms-office.chartcolorstyle+xml"/>
  <Override PartName="/xl/comments19.xml" ContentType="application/vnd.openxmlformats-officedocument.spreadsheetml.comments+xml"/>
  <Override PartName="/xl/charts/chart4.xml" ContentType="application/vnd.openxmlformats-officedocument.drawingml.chart+xml"/>
  <Override PartName="/xl/worksheets/sheet40.xml" ContentType="application/vnd.openxmlformats-officedocument.spreadsheetml.worksheet+xml"/>
  <Override PartName="/xl/worksheets/sheet10.xml" ContentType="application/vnd.openxmlformats-officedocument.spreadsheetml.worksheet+xml"/>
  <Override PartName="/xl/threadedComments/threadedComment5.xml" ContentType="application/vnd.ms-excel.threadedcomments+xml"/>
  <Override PartName="/xl/threadedComments/threadedComment13.xml" ContentType="application/vnd.ms-excel.threadedcomments+xml"/>
  <Override PartName="/xl/charts/chart11.xml" ContentType="application/vnd.openxmlformats-officedocument.drawingml.chart+xml"/>
  <Override PartName="/xl/charts/chart3.xml" ContentType="application/vnd.openxmlformats-officedocument.drawingml.chart+xml"/>
  <Override PartName="/xl/comments6.xml" ContentType="application/vnd.openxmlformats-officedocument.spreadsheetml.comments+xml"/>
  <Override PartName="/xl/charts/chart5.xml" ContentType="application/vnd.openxmlformats-officedocument.drawingml.chart+xml"/>
  <Override PartName="/xl/worksheets/sheet46.xml" ContentType="application/vnd.openxmlformats-officedocument.spreadsheetml.worksheet+xml"/>
  <Override PartName="/xl/comments28.xml" ContentType="application/vnd.openxmlformats-officedocument.spreadsheetml.comments+xml"/>
  <Override PartName="/xl/threadedComments/threadedComment51.xml" ContentType="application/vnd.ms-excel.threadedcomments+xml"/>
  <Override PartName="/xl/worksheets/sheet51.xml" ContentType="application/vnd.openxmlformats-officedocument.spreadsheetml.worksheet+xml"/>
  <Override PartName="/xl/charts/chart2.xml" ContentType="application/vnd.openxmlformats-officedocument.drawingml.chart+xml"/>
  <Override PartName="/xl/comments47.xml" ContentType="application/vnd.openxmlformats-officedocument.spreadsheetml.comments+xml"/>
  <Override PartName="/xl/comments52.xml" ContentType="application/vnd.openxmlformats-officedocument.spreadsheetml.comments+xml"/>
  <Override PartName="/xl/threadedComments/threadedComment6.xml" ContentType="application/vnd.ms-excel.threadedcomments+xml"/>
  <Override PartName="/xl/charts/chart1.xml" ContentType="application/vnd.openxmlformats-officedocument.drawingml.chart+xml"/>
  <Override PartName="/xl/comments9.xml" ContentType="application/vnd.openxmlformats-officedocument.spreadsheetml.comments+xml"/>
  <Override PartName="/xl/worksheets/sheet58.xml" ContentType="application/vnd.openxmlformats-officedocument.spreadsheetml.worksheet+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workbookProtection lockStructure="0"/>
  <bookViews>
    <workbookView xWindow="360" yWindow="15" windowWidth="20955" windowHeight="9720" activeTab="58"/>
  </bookViews>
  <sheets>
    <sheet name="Май" sheetId="1" state="visible" r:id="rId2"/>
    <sheet name="Июнь" sheetId="2" state="visible" r:id="rId3"/>
    <sheet name="Июль" sheetId="3" state="visible" r:id="rId4"/>
    <sheet name="Август" sheetId="4" state="visible" r:id="rId5"/>
    <sheet name="Сентябрь" sheetId="5" state="visible" r:id="rId6"/>
    <sheet name="Октябрь" sheetId="6" state="visible" r:id="rId7"/>
    <sheet name="Ноябрь" sheetId="7" state="visible" r:id="rId8"/>
    <sheet name="Декабрь" sheetId="8" state="visible" r:id="rId9"/>
    <sheet name="Янв`20" sheetId="9" state="visible" r:id="rId10"/>
    <sheet name="Фвр`10" sheetId="10" state="visible" r:id="rId11"/>
    <sheet name="Мрт `20" sheetId="11" state="visible" r:id="rId12"/>
    <sheet name="Апр `20" sheetId="12" state="visible" r:id="rId13"/>
    <sheet name="Май `20" sheetId="13" state="visible" r:id="rId14"/>
    <sheet name="Июнь `20" sheetId="14" state="visible" r:id="rId15"/>
    <sheet name="Июль `20" sheetId="15" state="visible" r:id="rId16"/>
    <sheet name="Авг `20" sheetId="16" state="visible" r:id="rId17"/>
    <sheet name="Сен `20" sheetId="17" state="visible" r:id="rId18"/>
    <sheet name="Окт `20" sheetId="18" state="visible" r:id="rId19"/>
    <sheet name="Ноя `20" sheetId="19" state="visible" r:id="rId20"/>
    <sheet name="Дек `20" sheetId="20" state="visible" r:id="rId21"/>
    <sheet name="Янв `21" sheetId="21" state="visible" r:id="rId22"/>
    <sheet name="Фвр `21" sheetId="22" state="visible" r:id="rId23"/>
    <sheet name="Мрт `21" sheetId="23" state="visible" r:id="rId24"/>
    <sheet name="Апр `21" sheetId="24" state="visible" r:id="rId25"/>
    <sheet name="Май `21" sheetId="25" state="visible" r:id="rId26"/>
    <sheet name="Июнь `21" sheetId="26" state="visible" r:id="rId27"/>
    <sheet name="Июль `21" sheetId="27" state="visible" r:id="rId28"/>
    <sheet name="Авг `21" sheetId="28" state="visible" r:id="rId29"/>
    <sheet name="Сен `21" sheetId="29" state="visible" r:id="rId30"/>
    <sheet name="Окт`21" sheetId="30" state="visible" r:id="rId31"/>
    <sheet name="Ноя`21" sheetId="31" state="visible" r:id="rId32"/>
    <sheet name="Дек`21" sheetId="32" state="visible" r:id="rId33"/>
    <sheet name="Янв`22" sheetId="33" state="visible" r:id="rId34"/>
    <sheet name="Фвр`22" sheetId="34" state="visible" r:id="rId35"/>
    <sheet name="Мрт`22" sheetId="35" state="visible" r:id="rId36"/>
    <sheet name="Апр`22" sheetId="36" state="visible" r:id="rId37"/>
    <sheet name="Май`22" sheetId="37" state="visible" r:id="rId38"/>
    <sheet name="Июнь`22" sheetId="38" state="visible" r:id="rId39"/>
    <sheet name="Июль`22" sheetId="39" state="visible" r:id="rId40"/>
    <sheet name="Авг`22" sheetId="40" state="visible" r:id="rId41"/>
    <sheet name="Сен`22" sheetId="41" state="visible" r:id="rId42"/>
    <sheet name="Окт`22" sheetId="42" state="visible" r:id="rId43"/>
    <sheet name="Ноя`22" sheetId="43" state="visible" r:id="rId44"/>
    <sheet name="Дек`22" sheetId="44" state="visible" r:id="rId45"/>
    <sheet name="Янв`23" sheetId="45" state="visible" r:id="rId46"/>
    <sheet name="Фвр`23" sheetId="46" state="visible" r:id="rId47"/>
    <sheet name="Мрт`23" sheetId="47" state="visible" r:id="rId48"/>
    <sheet name="Апр`23" sheetId="48" state="visible" r:id="rId49"/>
    <sheet name="Май`23" sheetId="49" state="visible" r:id="rId50"/>
    <sheet name="Июнь`23" sheetId="50" state="visible" r:id="rId51"/>
    <sheet name="Июль`23" sheetId="51" state="visible" r:id="rId52"/>
    <sheet name="Авг`23" sheetId="52" state="visible" r:id="rId53"/>
    <sheet name="Сен`23" sheetId="53" state="visible" r:id="rId54"/>
    <sheet name="Окт`23" sheetId="54" state="visible" r:id="rId55"/>
    <sheet name="Ноя`23" sheetId="55" state="visible" r:id="rId56"/>
    <sheet name="Дек`23" sheetId="56" state="visible" r:id="rId57"/>
    <sheet name="Сводная таблица" sheetId="57" state="visible" r:id="rId58"/>
    <sheet name="Сводная таблица Лера" sheetId="58" state="visible" r:id="rId59"/>
    <sheet name="Валютные_спекуляции" sheetId="59" state="visible" r:id="rId60"/>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tc={00750055-0096-4552-93F7-001E00000000}</author>
  </authors>
  <commentList>
    <comment ref="F35" authorId="0" xr:uid="{00750055-0096-4552-93F7-001E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tc={00CC00DE-007F-4285-8B71-00BB0049009A}</author>
    <author>tc={00E7008B-00D1-4D05-8F5E-00F700000000}</author>
  </authors>
  <commentList>
    <comment ref="E2" authorId="0" xr:uid="{00CC00DE-007F-4285-8B71-00BB0049009A}">
      <text>
        <r>
          <rPr>
            <b/>
            <sz val="9"/>
            <rFont val="Tahoma"/>
          </rPr>
          <t>Автор:</t>
        </r>
        <r>
          <rPr>
            <sz val="9"/>
            <rFont val="Tahoma"/>
          </rPr>
          <t xml:space="preserve">
мама
</t>
        </r>
      </text>
    </comment>
    <comment ref="F35" authorId="1" xr:uid="{00E7008B-00D1-4D05-8F5E-00F7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tc={003A000B-006C-4029-A6BE-00E6007500D6}</author>
    <author>tc={008600EE-0061-49EB-A963-009C00000000}</author>
  </authors>
  <commentList>
    <comment ref="E2" authorId="0" xr:uid="{003A000B-006C-4029-A6BE-00E6007500D6}">
      <text>
        <r>
          <rPr>
            <b/>
            <sz val="9"/>
            <rFont val="Tahoma"/>
          </rPr>
          <t>Автор:</t>
        </r>
        <r>
          <rPr>
            <sz val="9"/>
            <rFont val="Tahoma"/>
          </rPr>
          <t xml:space="preserve">
мама
</t>
        </r>
      </text>
    </comment>
    <comment ref="F34" authorId="1" xr:uid="{008600EE-0061-49EB-A963-009C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tc={0038008D-00FD-473A-945B-001E00BB003C}</author>
    <author>tc={006E00FF-00F3-4FD4-B427-006700000000}</author>
  </authors>
  <commentList>
    <comment ref="E2" authorId="0" xr:uid="{0038008D-00FD-473A-945B-001E00BB003C}">
      <text>
        <r>
          <rPr>
            <b/>
            <sz val="9"/>
            <rFont val="Tahoma"/>
          </rPr>
          <t>Автор:</t>
        </r>
        <r>
          <rPr>
            <sz val="9"/>
            <rFont val="Tahoma"/>
          </rPr>
          <t xml:space="preserve">
мама
</t>
        </r>
      </text>
    </comment>
    <comment ref="F35" authorId="1" xr:uid="{006E00FF-00F3-4FD4-B427-0067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tc={000600BB-0062-42F3-A45B-005700870058}</author>
    <author>tc={006100A0-00E3-4E8A-9838-00F400000000}</author>
  </authors>
  <commentList>
    <comment ref="E2" authorId="0" xr:uid="{000600BB-0062-42F3-A45B-005700870058}">
      <text>
        <r>
          <rPr>
            <b/>
            <sz val="9"/>
            <rFont val="Tahoma"/>
          </rPr>
          <t>Автор:</t>
        </r>
        <r>
          <rPr>
            <sz val="9"/>
            <rFont val="Tahoma"/>
          </rPr>
          <t xml:space="preserve">
мама
</t>
        </r>
      </text>
    </comment>
    <comment ref="F35" authorId="1" xr:uid="{006100A0-00E3-4E8A-9838-00F4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tc={00F1004C-00A0-4EC2-971F-001300C500D9}</author>
    <author>tc={005200A7-001E-4216-8FD4-001E00000000}</author>
  </authors>
  <commentList>
    <comment ref="E2" authorId="0" xr:uid="{00F1004C-00A0-4EC2-971F-001300C500D9}">
      <text>
        <r>
          <rPr>
            <b/>
            <sz val="9"/>
            <rFont val="Tahoma"/>
          </rPr>
          <t>Автор:</t>
        </r>
        <r>
          <rPr>
            <sz val="9"/>
            <rFont val="Tahoma"/>
          </rPr>
          <t xml:space="preserve">
мама
</t>
        </r>
      </text>
    </comment>
    <comment ref="F34" authorId="1" xr:uid="{005200A7-001E-4216-8FD4-001E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tc={00D3002B-00B9-4E6E-B434-00FD000B0032}</author>
    <author>tc={007C00B4-00AB-4123-9357-000B00000000}</author>
  </authors>
  <commentList>
    <comment ref="E2" authorId="0" xr:uid="{00D3002B-00B9-4E6E-B434-00FD000B0032}">
      <text>
        <r>
          <rPr>
            <b/>
            <sz val="9"/>
            <rFont val="Tahoma"/>
          </rPr>
          <t>Автор:</t>
        </r>
        <r>
          <rPr>
            <sz val="9"/>
            <rFont val="Tahoma"/>
          </rPr>
          <t xml:space="preserve">
мама
</t>
        </r>
      </text>
    </comment>
    <comment ref="F35" authorId="1" xr:uid="{007C00B4-00AB-4123-9357-000B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tc={00C0002C-00A0-40F7-9166-005400570078}</author>
    <author>tc={00410044-00B3-4868-A1CF-000C00000000}</author>
  </authors>
  <commentList>
    <comment ref="E2" authorId="0" xr:uid="{00C0002C-00A0-40F7-9166-005400570078}">
      <text>
        <r>
          <rPr>
            <b/>
            <sz val="9"/>
            <rFont val="Tahoma"/>
          </rPr>
          <t>Автор:</t>
        </r>
        <r>
          <rPr>
            <sz val="9"/>
            <rFont val="Tahoma"/>
          </rPr>
          <t xml:space="preserve">
мама
</t>
        </r>
      </text>
    </comment>
    <comment ref="F34" authorId="1" xr:uid="{00410044-00B3-4868-A1CF-000C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tc={00130014-0066-4037-942D-003A007E00D3}</author>
    <author>tc={00150080-00C8-4AE2-816C-001300000000}</author>
  </authors>
  <commentList>
    <comment ref="E2" authorId="0" xr:uid="{00130014-0066-4037-942D-003A007E00D3}">
      <text>
        <r>
          <rPr>
            <b/>
            <sz val="9"/>
            <rFont val="Tahoma"/>
          </rPr>
          <t>Автор:</t>
        </r>
        <r>
          <rPr>
            <sz val="9"/>
            <rFont val="Tahoma"/>
          </rPr>
          <t xml:space="preserve">
мама
</t>
        </r>
      </text>
    </comment>
    <comment ref="F35" authorId="1" xr:uid="{00150080-00C8-4AE2-816C-0013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tc={366E7377-2C17-CBDD-7EB4-A9986B6E3B55}</author>
    <author>tc={002F0057-00B3-4D4E-B26D-008700AD00A0}</author>
    <author>tc={00BC00FC-00E5-48FA-A30E-009B00AD003E}</author>
    <author>tc={004C0059-0049-4ED3-A9F7-000500000000}</author>
  </authors>
  <commentList>
    <comment ref="AA2" authorId="0" xr:uid="{366E7377-2C17-CBDD-7EB4-A9986B6E3B55}">
      <text>
        <r>
          <rPr>
            <b/>
            <sz val="9"/>
            <rFont val="Tahoma"/>
          </rPr>
          <t>Автор:</t>
        </r>
        <r>
          <rPr>
            <sz val="9"/>
            <rFont val="Tahoma"/>
          </rPr>
          <t xml:space="preserve">
мама
</t>
        </r>
      </text>
    </comment>
    <comment ref="E2" authorId="1" xr:uid="{002F0057-00B3-4D4E-B26D-008700AD00A0}">
      <text>
        <r>
          <rPr>
            <b/>
            <sz val="9"/>
            <rFont val="Tahoma"/>
          </rPr>
          <t>Автор:</t>
        </r>
        <r>
          <rPr>
            <sz val="9"/>
            <rFont val="Tahoma"/>
          </rPr>
          <t xml:space="preserve">
мама
</t>
        </r>
      </text>
    </comment>
    <comment ref="AB35" authorId="2" xr:uid="{00BC00FC-00E5-48FA-A30E-009B00AD003E}">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004C0059-0049-4ED3-A9F7-0005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tc={006A009C-00A3-4DCA-8C03-004A0081007C}</author>
    <author>tc={00C000CD-0058-48D6-A62A-000100230050}</author>
    <author>tc={000600E1-00B4-4632-8B84-003300000000}</author>
    <author>tc={0032007C-005C-4E82-8662-004700000000}</author>
  </authors>
  <commentList>
    <comment ref="X2" authorId="0" xr:uid="{006A009C-00A3-4DCA-8C03-004A0081007C}">
      <text>
        <r>
          <rPr>
            <b/>
            <sz val="9"/>
            <rFont val="Tahoma"/>
          </rPr>
          <t>Автор:</t>
        </r>
        <r>
          <rPr>
            <sz val="9"/>
            <rFont val="Tahoma"/>
          </rPr>
          <t xml:space="preserve">
мама
</t>
        </r>
      </text>
    </comment>
    <comment ref="E2" authorId="1" xr:uid="{00C000CD-0058-48D6-A62A-000100230050}">
      <text>
        <r>
          <rPr>
            <b/>
            <sz val="9"/>
            <rFont val="Tahoma"/>
          </rPr>
          <t>Автор:</t>
        </r>
        <r>
          <rPr>
            <sz val="9"/>
            <rFont val="Tahoma"/>
          </rPr>
          <t xml:space="preserve">
мама
</t>
        </r>
      </text>
    </comment>
    <comment ref="Z32" authorId="2" xr:uid="{000600E1-00B4-4632-8B84-0033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2" authorId="3" xr:uid="{0032007C-005C-4E82-8662-0047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tc={007E005F-002B-4FBA-98F1-00FE00000000}</author>
  </authors>
  <commentList>
    <comment ref="F34" authorId="0" xr:uid="{007E005F-002B-4FBA-98F1-00FE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tc={007B0081-0007-462B-B1DB-006B0088004D}</author>
    <author>tc={009C00C0-00E7-44DA-8F11-001A0082002A}</author>
    <author>tc={00E700FB-006E-49B5-BC32-008C00000000}</author>
    <author>tc={001B003E-00CC-449E-A9D3-005000000000}</author>
  </authors>
  <commentList>
    <comment ref="X2" authorId="0" xr:uid="{007B0081-0007-462B-B1DB-006B0088004D}">
      <text>
        <r>
          <rPr>
            <b/>
            <sz val="9"/>
            <rFont val="Tahoma"/>
          </rPr>
          <t>Автор:</t>
        </r>
        <r>
          <rPr>
            <sz val="9"/>
            <rFont val="Tahoma"/>
          </rPr>
          <t xml:space="preserve">
мама
</t>
        </r>
      </text>
    </comment>
    <comment ref="E2" authorId="1" xr:uid="{009C00C0-00E7-44DA-8F11-001A0082002A}">
      <text>
        <r>
          <rPr>
            <b/>
            <sz val="9"/>
            <rFont val="Tahoma"/>
          </rPr>
          <t>Автор:</t>
        </r>
        <r>
          <rPr>
            <sz val="9"/>
            <rFont val="Tahoma"/>
          </rPr>
          <t xml:space="preserve">
мама
</t>
        </r>
      </text>
    </comment>
    <comment ref="Z35" authorId="2" xr:uid="{00E700FB-006E-49B5-BC32-008C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001B003E-00CC-449E-A9D3-0050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tc={002400BD-0085-47FA-A999-000400F30016}</author>
    <author>tc={00A7007E-00E4-47BE-AB7D-002400D70007}</author>
    <author>tc={00440084-008C-46BA-830C-009100000000}</author>
    <author>tc={00ED0088-008E-48A0-9286-005000000000}</author>
  </authors>
  <commentList>
    <comment ref="X2" authorId="0" xr:uid="{002400BD-0085-47FA-A999-000400F30016}">
      <text>
        <r>
          <rPr>
            <b/>
            <sz val="9"/>
            <rFont val="Tahoma"/>
          </rPr>
          <t>Автор:</t>
        </r>
        <r>
          <rPr>
            <sz val="9"/>
            <rFont val="Tahoma"/>
          </rPr>
          <t xml:space="preserve">
мама
</t>
        </r>
      </text>
    </comment>
    <comment ref="E2" authorId="1" xr:uid="{00A7007E-00E4-47BE-AB7D-002400D70007}">
      <text>
        <r>
          <rPr>
            <b/>
            <sz val="9"/>
            <rFont val="Tahoma"/>
          </rPr>
          <t>Автор:</t>
        </r>
        <r>
          <rPr>
            <sz val="9"/>
            <rFont val="Tahoma"/>
          </rPr>
          <t xml:space="preserve">
мама
</t>
        </r>
      </text>
    </comment>
    <comment ref="Z35" authorId="2" xr:uid="{00440084-008C-46BA-830C-0091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00ED0088-008E-48A0-9286-0050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tc={00AD0060-001C-457C-A653-009E009800FB}</author>
    <author>tc={000B0033-00C9-4F6E-A030-009900A5002C}</author>
    <author>tc={00BD0073-0024-4FB5-B425-006700300000}</author>
    <author>tc={006B0030-00C9-499C-86F6-004400000000}</author>
    <author>tc={0025002B-0061-410F-A274-00D800000000}</author>
  </authors>
  <commentList>
    <comment ref="X2" authorId="0" xr:uid="{00AD0060-001C-457C-A653-009E009800FB}">
      <text>
        <r>
          <rPr>
            <b/>
            <sz val="9"/>
            <rFont val="Tahoma"/>
          </rPr>
          <t>Автор:</t>
        </r>
        <r>
          <rPr>
            <sz val="9"/>
            <rFont val="Tahoma"/>
          </rPr>
          <t xml:space="preserve">
мама
</t>
        </r>
      </text>
    </comment>
    <comment ref="F2" authorId="1" xr:uid="{000B0033-00C9-4F6E-A030-009900A5002C}">
      <text>
        <r>
          <rPr>
            <b/>
            <sz val="9"/>
            <rFont val="Tahoma"/>
          </rPr>
          <t>Автор:</t>
        </r>
        <r>
          <rPr>
            <sz val="9"/>
            <rFont val="Tahoma"/>
          </rPr>
          <t xml:space="preserve">
мама
</t>
        </r>
      </text>
    </comment>
    <comment ref="M14" authorId="2" xr:uid="{00BD0073-0024-4FB5-B425-006700300000}">
      <text>
        <r>
          <rPr>
            <b/>
            <sz val="9"/>
            <rFont val="Tahoma"/>
          </rPr>
          <t>Автор:</t>
        </r>
        <r>
          <rPr>
            <sz val="9"/>
            <rFont val="Tahoma"/>
          </rPr>
          <t xml:space="preserve">
осьминожка
</t>
        </r>
      </text>
    </comment>
    <comment ref="Z35" authorId="3" xr:uid="{006B0030-00C9-499C-86F6-0044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4" xr:uid="{0025002B-0061-410F-A274-00D8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tc={00F1003C-00F9-47A7-8E5B-00C600DE00C3}</author>
    <author>tc={00A00032-00C7-4DFB-BF95-004900860005}</author>
    <author>tc={00FE0045-001E-4ED2-8A20-00BD00B6001B}</author>
    <author>tc={00C1007E-0075-496C-A649-004900000000}</author>
    <author>tc={00040017-0083-4109-AFCD-001000000000}</author>
  </authors>
  <commentList>
    <comment ref="X2" authorId="0" xr:uid="{00F1003C-00F9-47A7-8E5B-00C600DE00C3}">
      <text>
        <r>
          <rPr>
            <b/>
            <sz val="9"/>
            <rFont val="Tahoma"/>
          </rPr>
          <t>Автор:</t>
        </r>
        <r>
          <rPr>
            <sz val="9"/>
            <rFont val="Tahoma"/>
          </rPr>
          <t xml:space="preserve">
мама
</t>
        </r>
      </text>
    </comment>
    <comment ref="F2" authorId="1" xr:uid="{00A00032-00C7-4DFB-BF95-004900860005}">
      <text>
        <r>
          <rPr>
            <b/>
            <sz val="9"/>
            <rFont val="Tahoma"/>
          </rPr>
          <t>Автор:</t>
        </r>
        <r>
          <rPr>
            <sz val="9"/>
            <rFont val="Tahoma"/>
          </rPr>
          <t xml:space="preserve">
мама
</t>
        </r>
      </text>
    </comment>
    <comment ref="M14" authorId="2" xr:uid="{00FE0045-001E-4ED2-8A20-00BD00B6001B}">
      <text>
        <r>
          <rPr>
            <b/>
            <sz val="9"/>
            <rFont val="Tahoma"/>
          </rPr>
          <t>Автор:</t>
        </r>
        <r>
          <rPr>
            <sz val="9"/>
            <rFont val="Tahoma"/>
          </rPr>
          <t xml:space="preserve">
брош
</t>
        </r>
      </text>
    </comment>
    <comment ref="Z35" authorId="3" xr:uid="{00C1007E-0075-496C-A649-0049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4" xr:uid="{00040017-0083-4109-AFCD-0010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tc={936AD18B-9224-BF4B-F632-743261D6DB4F}</author>
    <author>tc={005E0036-00C5-4559-9807-0089005F009D}</author>
    <author>tc={00580099-00BF-4A95-9383-0079007700C8}</author>
    <author>tc={E3DB5BE0-66E4-B7D7-C42F-E934B907149B}</author>
    <author>tc={D2705E39-AB22-F6BF-0C25-9FE8344EEDD0}</author>
    <author>tc={00E100B9-0012-42C6-9746-00FA00000000}</author>
  </authors>
  <commentList>
    <comment ref="AB2" authorId="0" xr:uid="{936AD18B-9224-BF4B-F632-743261D6DB4F}">
      <text>
        <r>
          <rPr>
            <b/>
            <sz val="9"/>
            <rFont val="Tahoma"/>
          </rPr>
          <t>Автор:</t>
        </r>
        <r>
          <rPr>
            <sz val="9"/>
            <rFont val="Tahoma"/>
          </rPr>
          <t xml:space="preserve">
мама
</t>
        </r>
      </text>
    </comment>
    <comment ref="F2" authorId="1" xr:uid="{005E0036-00C5-4559-9807-0089005F009D}">
      <text>
        <r>
          <rPr>
            <b/>
            <sz val="9"/>
            <rFont val="Tahoma"/>
          </rPr>
          <t>Автор:</t>
        </r>
        <r>
          <rPr>
            <sz val="9"/>
            <rFont val="Tahoma"/>
          </rPr>
          <t xml:space="preserve">
мама
</t>
        </r>
      </text>
    </comment>
    <comment ref="M14" authorId="2" xr:uid="{00580099-00BF-4A95-9383-0079007700C8}">
      <text>
        <r>
          <rPr>
            <b/>
            <sz val="9"/>
            <rFont val="Tahoma"/>
          </rPr>
          <t>Автор:</t>
        </r>
        <r>
          <rPr>
            <sz val="9"/>
            <rFont val="Tahoma"/>
          </rPr>
          <t xml:space="preserve">
брош
</t>
        </r>
      </text>
    </comment>
    <comment ref="AI14" authorId="3" xr:uid="{E3DB5BE0-66E4-B7D7-C42F-E934B907149B}">
      <text>
        <r>
          <rPr>
            <b/>
            <sz val="9"/>
            <rFont val="Tahoma"/>
          </rPr>
          <t>Автор:</t>
        </r>
        <r>
          <rPr>
            <sz val="9"/>
            <rFont val="Tahoma"/>
          </rPr>
          <t xml:space="preserve">
брош
</t>
        </r>
      </text>
    </comment>
    <comment ref="AB35" authorId="4" xr:uid="{D2705E39-AB22-F6BF-0C25-9FE8344EEDD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5" xr:uid="{00E100B9-0012-42C6-9746-00FA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tc={2D39D2A4-4B66-F0E1-7DE0-2BBE3C810369}</author>
    <author>tc={00C200C6-00EE-4924-8DA3-0055006500D9}</author>
    <author>tc={00BB00EC-0062-47F3-811E-00A900E10044}</author>
    <author>tc={57518CF8-8AC7-9EA1-4B45-F8668E5902D1}</author>
    <author>tc={75A6A55D-A1F8-9B4E-D352-8D7C86D0E979}</author>
    <author>tc={00F300E6-0002-4947-9EB6-00CF00000000}</author>
  </authors>
  <commentList>
    <comment ref="AB2" authorId="0" xr:uid="{2D39D2A4-4B66-F0E1-7DE0-2BBE3C810369}">
      <text>
        <r>
          <rPr>
            <b/>
            <sz val="9"/>
            <rFont val="Tahoma"/>
          </rPr>
          <t>Автор:</t>
        </r>
        <r>
          <rPr>
            <sz val="9"/>
            <rFont val="Tahoma"/>
          </rPr>
          <t xml:space="preserve">
мама
</t>
        </r>
      </text>
    </comment>
    <comment ref="F2" authorId="1" xr:uid="{00C200C6-00EE-4924-8DA3-0055006500D9}">
      <text>
        <r>
          <rPr>
            <b/>
            <sz val="9"/>
            <rFont val="Tahoma"/>
          </rPr>
          <t>Автор:</t>
        </r>
        <r>
          <rPr>
            <sz val="9"/>
            <rFont val="Tahoma"/>
          </rPr>
          <t xml:space="preserve">
мама
</t>
        </r>
      </text>
    </comment>
    <comment ref="M14" authorId="2" xr:uid="{00BB00EC-0062-47F3-811E-00A900E10044}">
      <text>
        <r>
          <rPr>
            <b/>
            <sz val="9"/>
            <rFont val="Tahoma"/>
          </rPr>
          <t>Автор:</t>
        </r>
        <r>
          <rPr>
            <sz val="9"/>
            <rFont val="Tahoma"/>
          </rPr>
          <t xml:space="preserve">
брош
</t>
        </r>
      </text>
    </comment>
    <comment ref="AI14" authorId="3" xr:uid="{57518CF8-8AC7-9EA1-4B45-F8668E5902D1}">
      <text>
        <r>
          <rPr>
            <b/>
            <sz val="9"/>
            <rFont val="Tahoma"/>
          </rPr>
          <t>Автор:</t>
        </r>
        <r>
          <rPr>
            <sz val="9"/>
            <rFont val="Tahoma"/>
          </rPr>
          <t xml:space="preserve">
брош
</t>
        </r>
      </text>
    </comment>
    <comment ref="AB35" authorId="4" xr:uid="{75A6A55D-A1F8-9B4E-D352-8D7C86D0E979}">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5" xr:uid="{00F300E6-0002-4947-9EB6-00CF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tc={071DB9B3-E482-18D0-763F-FD2E4DE93092}</author>
    <author>tc={00DC001C-0011-4802-81BA-002500A0006E}</author>
    <author>tc={001B00F7-008D-48D6-B7A1-00A700D400BC}</author>
    <author>tc={569D6F55-7A9C-97C4-BFBA-116659F21481}</author>
    <author>tc={357A8B52-71EF-9BB9-1D75-E978F121EA6A}</author>
    <author>tc={00600005-003D-4D15-A50F-000700000000}</author>
  </authors>
  <commentList>
    <comment ref="AB2" authorId="0" xr:uid="{071DB9B3-E482-18D0-763F-FD2E4DE93092}">
      <text>
        <r>
          <rPr>
            <b/>
            <sz val="9"/>
            <rFont val="Tahoma"/>
          </rPr>
          <t>Автор:</t>
        </r>
        <r>
          <rPr>
            <sz val="9"/>
            <rFont val="Tahoma"/>
          </rPr>
          <t xml:space="preserve">
мама
</t>
        </r>
      </text>
    </comment>
    <comment ref="F2" authorId="1" xr:uid="{00DC001C-0011-4802-81BA-002500A0006E}">
      <text>
        <r>
          <rPr>
            <b/>
            <sz val="9"/>
            <rFont val="Tahoma"/>
          </rPr>
          <t>Автор:</t>
        </r>
        <r>
          <rPr>
            <sz val="9"/>
            <rFont val="Tahoma"/>
          </rPr>
          <t xml:space="preserve">
мама
</t>
        </r>
      </text>
    </comment>
    <comment ref="M14" authorId="2" xr:uid="{001B00F7-008D-48D6-B7A1-00A700D400BC}">
      <text>
        <r>
          <rPr>
            <b/>
            <sz val="9"/>
            <rFont val="Tahoma"/>
          </rPr>
          <t>Автор:</t>
        </r>
        <r>
          <rPr>
            <sz val="9"/>
            <rFont val="Tahoma"/>
          </rPr>
          <t xml:space="preserve">
брош
</t>
        </r>
      </text>
    </comment>
    <comment ref="AI14" authorId="3" xr:uid="{569D6F55-7A9C-97C4-BFBA-116659F21481}">
      <text>
        <r>
          <rPr>
            <b/>
            <sz val="9"/>
            <rFont val="Tahoma"/>
          </rPr>
          <t>Автор:</t>
        </r>
        <r>
          <rPr>
            <sz val="9"/>
            <rFont val="Tahoma"/>
          </rPr>
          <t xml:space="preserve">
брош
</t>
        </r>
      </text>
    </comment>
    <comment ref="AB35" authorId="4" xr:uid="{357A8B52-71EF-9BB9-1D75-E978F121EA6A}">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5" xr:uid="{00600005-003D-4D15-A50F-0007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tc={72A31C67-96B9-3B45-56C2-1F86D0A0CEC7}</author>
    <author>tc={005E00D6-005A-48A1-9AA6-005500640060}</author>
    <author>tc={AE23ECFA-98C8-9979-29EB-3E2538616ED6}</author>
    <author>tc={00AE005D-0011-4C60-889D-004A00000000}</author>
  </authors>
  <commentList>
    <comment ref="AB2" authorId="0" xr:uid="{72A31C67-96B9-3B45-56C2-1F86D0A0CEC7}">
      <text>
        <r>
          <rPr>
            <b/>
            <sz val="9"/>
            <rFont val="Tahoma"/>
          </rPr>
          <t>Автор:</t>
        </r>
        <r>
          <rPr>
            <sz val="9"/>
            <rFont val="Tahoma"/>
          </rPr>
          <t xml:space="preserve">
мама
</t>
        </r>
      </text>
    </comment>
    <comment ref="F2" authorId="1" xr:uid="{005E00D6-005A-48A1-9AA6-005500640060}">
      <text>
        <r>
          <rPr>
            <b/>
            <sz val="9"/>
            <rFont val="Tahoma"/>
          </rPr>
          <t>Автор:</t>
        </r>
        <r>
          <rPr>
            <sz val="9"/>
            <rFont val="Tahoma"/>
          </rPr>
          <t xml:space="preserve">
мама
</t>
        </r>
      </text>
    </comment>
    <comment ref="AB35" authorId="2" xr:uid="{AE23ECFA-98C8-9979-29EB-3E2538616ED6}">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00AE005D-0011-4C60-889D-004A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tc={90DF5068-07AF-69E5-2158-54D872E7C193}</author>
    <author>tc={C5596B53-32C6-435E-C29E-1C521D10AAE1}</author>
    <author>tc={532BFA54-3DD2-5FDE-A369-9C4FC2BA872E}</author>
    <author>tc={469B2C50-B6DA-40AC-0DF2-04372B2E57DC}</author>
  </authors>
  <commentList>
    <comment ref="AB2" authorId="0" xr:uid="{90DF5068-07AF-69E5-2158-54D872E7C193}">
      <text>
        <r>
          <rPr>
            <b/>
            <sz val="9"/>
            <rFont val="Tahoma"/>
          </rPr>
          <t>Автор:</t>
        </r>
        <r>
          <rPr>
            <sz val="9"/>
            <rFont val="Tahoma"/>
          </rPr>
          <t xml:space="preserve">
мама
</t>
        </r>
      </text>
    </comment>
    <comment ref="F2" authorId="1" xr:uid="{C5596B53-32C6-435E-C29E-1C521D10AAE1}">
      <text>
        <r>
          <rPr>
            <b/>
            <sz val="9"/>
            <rFont val="Tahoma"/>
          </rPr>
          <t>Автор:</t>
        </r>
        <r>
          <rPr>
            <sz val="9"/>
            <rFont val="Tahoma"/>
          </rPr>
          <t xml:space="preserve">
мама
</t>
        </r>
      </text>
    </comment>
    <comment ref="AB35" authorId="2" xr:uid="{532BFA54-3DD2-5FDE-A369-9C4FC2BA872E}">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469B2C50-B6DA-40AC-0DF2-04372B2E57DC}">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tc={2AE90EDF-4CDD-C55D-FFD5-9C21786E55E4}</author>
    <author>tc={0FE694FE-FEE5-1462-B385-39C936C5FDE9}</author>
    <author>tc={089C0AF6-3E4A-6CA7-6313-69209D16878B}</author>
    <author>tc={A21CD001-98F1-0897-5EF3-D3496E9A09B6}</author>
  </authors>
  <commentList>
    <comment ref="AB2" authorId="0" xr:uid="{2AE90EDF-4CDD-C55D-FFD5-9C21786E55E4}">
      <text>
        <r>
          <rPr>
            <b/>
            <sz val="9"/>
            <rFont val="Tahoma"/>
          </rPr>
          <t>Автор:</t>
        </r>
        <r>
          <rPr>
            <sz val="9"/>
            <rFont val="Tahoma"/>
          </rPr>
          <t xml:space="preserve">
мама
</t>
        </r>
      </text>
    </comment>
    <comment ref="F2" authorId="1" xr:uid="{0FE694FE-FEE5-1462-B385-39C936C5FDE9}">
      <text>
        <r>
          <rPr>
            <b/>
            <sz val="9"/>
            <rFont val="Tahoma"/>
          </rPr>
          <t>Автор:</t>
        </r>
        <r>
          <rPr>
            <sz val="9"/>
            <rFont val="Tahoma"/>
          </rPr>
          <t xml:space="preserve">
мама
</t>
        </r>
      </text>
    </comment>
    <comment ref="AB35" authorId="2" xr:uid="{089C0AF6-3E4A-6CA7-6313-69209D16878B}">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A21CD001-98F1-0897-5EF3-D3496E9A09B6}">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tc={00A20048-0071-4878-8A4F-00AD00000000}</author>
  </authors>
  <commentList>
    <comment ref="F35" authorId="0" xr:uid="{00A20048-0071-4878-8A4F-00AD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tc={FC60605A-0114-0C5C-536D-D607B39B1072}</author>
    <author>tc={CF8F0806-432B-0EB5-B206-8C70E1E34E6A}</author>
    <author>tc={BC568DE6-1B3D-6559-8168-5922466F34FF}</author>
    <author>tc={409F36C1-597F-0949-25CF-630EFFD350F7}</author>
  </authors>
  <commentList>
    <comment ref="AB2" authorId="0" xr:uid="{FC60605A-0114-0C5C-536D-D607B39B1072}">
      <text>
        <r>
          <rPr>
            <b/>
            <sz val="9"/>
            <rFont val="Tahoma"/>
          </rPr>
          <t>Автор:</t>
        </r>
        <r>
          <rPr>
            <sz val="9"/>
            <rFont val="Tahoma"/>
          </rPr>
          <t xml:space="preserve">
мама
</t>
        </r>
      </text>
    </comment>
    <comment ref="F2" authorId="1" xr:uid="{CF8F0806-432B-0EB5-B206-8C70E1E34E6A}">
      <text>
        <r>
          <rPr>
            <b/>
            <sz val="9"/>
            <rFont val="Tahoma"/>
          </rPr>
          <t>Автор:</t>
        </r>
        <r>
          <rPr>
            <sz val="9"/>
            <rFont val="Tahoma"/>
          </rPr>
          <t xml:space="preserve">
мама
</t>
        </r>
      </text>
    </comment>
    <comment ref="AB35" authorId="2" xr:uid="{BC568DE6-1B3D-6559-8168-5922466F34FF}">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409F36C1-597F-0949-25CF-630EFFD350F7}">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tc={D3F3D3E2-62D3-D20C-D5CC-46DCA80B3C0E}</author>
    <author>tc={2D91EE71-FE57-CDBD-93DE-8C3917DA9225}</author>
    <author>tc={7D98CAE7-34E1-E43F-6849-55FDA292D8A5}</author>
    <author>tc={DB3B1B6C-6515-F071-118A-744510C95623}</author>
  </authors>
  <commentList>
    <comment ref="AB2" authorId="0" xr:uid="{D3F3D3E2-62D3-D20C-D5CC-46DCA80B3C0E}">
      <text>
        <r>
          <rPr>
            <b/>
            <sz val="9"/>
            <rFont val="Tahoma"/>
          </rPr>
          <t>Автор:</t>
        </r>
        <r>
          <rPr>
            <sz val="9"/>
            <rFont val="Tahoma"/>
          </rPr>
          <t xml:space="preserve">
мама
</t>
        </r>
      </text>
    </comment>
    <comment ref="F2" authorId="1" xr:uid="{2D91EE71-FE57-CDBD-93DE-8C3917DA9225}">
      <text>
        <r>
          <rPr>
            <b/>
            <sz val="9"/>
            <rFont val="Tahoma"/>
          </rPr>
          <t>Автор:</t>
        </r>
        <r>
          <rPr>
            <sz val="9"/>
            <rFont val="Tahoma"/>
          </rPr>
          <t xml:space="preserve">
мама
</t>
        </r>
      </text>
    </comment>
    <comment ref="AB35" authorId="2" xr:uid="{7D98CAE7-34E1-E43F-6849-55FDA292D8A5}">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DB3B1B6C-6515-F071-118A-744510C95623}">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tc={78455078-123A-AFFB-82A1-E93126722CCD}</author>
    <author>tc={403E6011-F4ED-DDD4-9AFE-92A3E36C074A}</author>
    <author>tc={016FA900-3111-1AF7-6360-CE2CEB17132B}</author>
    <author>tc={EE61EB1A-F548-4798-1A6F-331D01C7695C}</author>
  </authors>
  <commentList>
    <comment ref="AB2" authorId="0" xr:uid="{78455078-123A-AFFB-82A1-E93126722CCD}">
      <text>
        <r>
          <rPr>
            <b/>
            <sz val="9"/>
            <rFont val="Tahoma"/>
          </rPr>
          <t>Автор:</t>
        </r>
        <r>
          <rPr>
            <sz val="9"/>
            <rFont val="Tahoma"/>
          </rPr>
          <t xml:space="preserve">
мама
</t>
        </r>
      </text>
    </comment>
    <comment ref="F2" authorId="1" xr:uid="{403E6011-F4ED-DDD4-9AFE-92A3E36C074A}">
      <text>
        <r>
          <rPr>
            <b/>
            <sz val="9"/>
            <rFont val="Tahoma"/>
          </rPr>
          <t>Автор:</t>
        </r>
        <r>
          <rPr>
            <sz val="9"/>
            <rFont val="Tahoma"/>
          </rPr>
          <t xml:space="preserve">
мама
</t>
        </r>
      </text>
    </comment>
    <comment ref="AB35" authorId="2" xr:uid="{016FA900-3111-1AF7-6360-CE2CEB17132B}">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EE61EB1A-F548-4798-1A6F-331D01C7695C}">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tc={9E1D2D0C-B744-6FE3-FA81-EB159C6BAB01}</author>
    <author>tc={DF3C5886-2870-EC48-5EB9-071B2C8144EF}</author>
    <author>tc={016FA900-3111-1AF7-6360-CE2C00000000}</author>
    <author>tc={EE61EB1A-F548-4798-1A6F-331D0E000000}</author>
  </authors>
  <commentList>
    <comment ref="AB2" authorId="0" xr:uid="{9E1D2D0C-B744-6FE3-FA81-EB159C6BAB01}">
      <text>
        <r>
          <rPr>
            <b/>
            <sz val="9"/>
            <rFont val="Tahoma"/>
          </rPr>
          <t>Автор:</t>
        </r>
        <r>
          <rPr>
            <sz val="9"/>
            <rFont val="Tahoma"/>
          </rPr>
          <t xml:space="preserve">
мама
</t>
        </r>
      </text>
    </comment>
    <comment ref="F2" authorId="1" xr:uid="{DF3C5886-2870-EC48-5EB9-071B2C8144EF}">
      <text>
        <r>
          <rPr>
            <b/>
            <sz val="9"/>
            <rFont val="Tahoma"/>
          </rPr>
          <t>Автор:</t>
        </r>
        <r>
          <rPr>
            <sz val="9"/>
            <rFont val="Tahoma"/>
          </rPr>
          <t xml:space="preserve">
мама
</t>
        </r>
      </text>
    </comment>
    <comment ref="AB35" authorId="2" xr:uid="{016FA900-3111-1AF7-6360-CE2C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EE61EB1A-F548-4798-1A6F-331D0E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tc={32265D78-A2C3-D1AF-31ED-48222027DD77}</author>
    <author>tc={CFBBF0B5-81EF-74AB-C946-0CF8A13DA42E}</author>
    <author>tc={D49888CB-8109-9ADE-A3CE-DA2FB8900740}</author>
    <author>tc={E5AACAA7-5D4F-AB31-620C-60180F71955F}</author>
  </authors>
  <commentList>
    <comment ref="AB2" authorId="0" xr:uid="{32265D78-A2C3-D1AF-31ED-48222027DD77}">
      <text>
        <r>
          <rPr>
            <b/>
            <sz val="9"/>
            <rFont val="Tahoma"/>
          </rPr>
          <t>Автор:</t>
        </r>
        <r>
          <rPr>
            <sz val="9"/>
            <rFont val="Tahoma"/>
          </rPr>
          <t xml:space="preserve">
мама
</t>
        </r>
      </text>
    </comment>
    <comment ref="F2" authorId="1" xr:uid="{CFBBF0B5-81EF-74AB-C946-0CF8A13DA42E}">
      <text>
        <r>
          <rPr>
            <b/>
            <sz val="9"/>
            <rFont val="Tahoma"/>
          </rPr>
          <t>Автор:</t>
        </r>
        <r>
          <rPr>
            <sz val="9"/>
            <rFont val="Tahoma"/>
          </rPr>
          <t xml:space="preserve">
мама
</t>
        </r>
      </text>
    </comment>
    <comment ref="AB35" authorId="2" xr:uid="{D49888CB-8109-9ADE-A3CE-DA2FB890074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E5AACAA7-5D4F-AB31-620C-60180F71955F}">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tc={E65C55B4-A5E6-9143-0A9D-7B5B0E935828}</author>
    <author>tc={9BF203EB-EB56-C593-74AA-030663963EA8}</author>
    <author>tc={D49888CB-8109-9ADE-A3CE-DA2F00000000}</author>
    <author>tc={E5AACAA7-5D4F-AB31-620C-60180B000000}</author>
  </authors>
  <commentList>
    <comment ref="AB2" authorId="0" xr:uid="{E65C55B4-A5E6-9143-0A9D-7B5B0E935828}">
      <text>
        <r>
          <rPr>
            <b/>
            <sz val="9"/>
            <rFont val="Tahoma"/>
          </rPr>
          <t>Автор:</t>
        </r>
        <r>
          <rPr>
            <sz val="9"/>
            <rFont val="Tahoma"/>
          </rPr>
          <t xml:space="preserve">
мама
</t>
        </r>
      </text>
    </comment>
    <comment ref="F2" authorId="1" xr:uid="{9BF203EB-EB56-C593-74AA-030663963EA8}">
      <text>
        <r>
          <rPr>
            <b/>
            <sz val="9"/>
            <rFont val="Tahoma"/>
          </rPr>
          <t>Автор:</t>
        </r>
        <r>
          <rPr>
            <sz val="9"/>
            <rFont val="Tahoma"/>
          </rPr>
          <t xml:space="preserve">
мама
</t>
        </r>
      </text>
    </comment>
    <comment ref="AB35" authorId="2" xr:uid="{D49888CB-8109-9ADE-A3CE-DA2F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E5AACAA7-5D4F-AB31-620C-60180B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tc={B10A8123-6F2F-1CEA-4156-70EED6B02DF4}</author>
    <author>tc={DAD87822-2396-7BEB-BBAE-569259C872EE}</author>
    <author>tc={011C8329-F813-A417-3844-21E2E3E3C365}</author>
    <author>tc={F47852B9-CEEE-7D95-3A04-6D49801120A1}</author>
  </authors>
  <commentList>
    <comment ref="AB2" authorId="0" xr:uid="{B10A8123-6F2F-1CEA-4156-70EED6B02DF4}">
      <text>
        <r>
          <rPr>
            <b/>
            <sz val="9"/>
            <rFont val="Tahoma"/>
          </rPr>
          <t>Автор:</t>
        </r>
        <r>
          <rPr>
            <sz val="9"/>
            <rFont val="Tahoma"/>
          </rPr>
          <t xml:space="preserve">
мама
</t>
        </r>
      </text>
    </comment>
    <comment ref="F2" authorId="1" xr:uid="{DAD87822-2396-7BEB-BBAE-569259C872EE}">
      <text>
        <r>
          <rPr>
            <b/>
            <sz val="9"/>
            <rFont val="Tahoma"/>
          </rPr>
          <t>Автор:</t>
        </r>
        <r>
          <rPr>
            <sz val="9"/>
            <rFont val="Tahoma"/>
          </rPr>
          <t xml:space="preserve">
мама
</t>
        </r>
      </text>
    </comment>
    <comment ref="AB35" authorId="2" xr:uid="{011C8329-F813-A417-3844-21E2E3E3C365}">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F47852B9-CEEE-7D95-3A04-6D49801120A1}">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tc={6453C2DD-03E9-B1FF-3D24-A8F891A66C8F}</author>
    <author>tc={4B841E4B-768C-BAEA-03CA-E0CB19820E7C}</author>
    <author>tc={96E820DF-0941-0E31-1AF8-2FD28C09009C}</author>
    <author>tc={1A5BCAA1-102D-B656-01A9-19A9B35DF96A}</author>
  </authors>
  <commentList>
    <comment ref="AB2" authorId="0" xr:uid="{6453C2DD-03E9-B1FF-3D24-A8F891A66C8F}">
      <text>
        <r>
          <rPr>
            <b/>
            <sz val="9"/>
            <rFont val="Tahoma"/>
          </rPr>
          <t>Автор:</t>
        </r>
        <r>
          <rPr>
            <sz val="9"/>
            <rFont val="Tahoma"/>
          </rPr>
          <t xml:space="preserve">
мама
</t>
        </r>
      </text>
    </comment>
    <comment ref="F2" authorId="1" xr:uid="{4B841E4B-768C-BAEA-03CA-E0CB19820E7C}">
      <text>
        <r>
          <rPr>
            <b/>
            <sz val="9"/>
            <rFont val="Tahoma"/>
          </rPr>
          <t>Автор:</t>
        </r>
        <r>
          <rPr>
            <sz val="9"/>
            <rFont val="Tahoma"/>
          </rPr>
          <t xml:space="preserve">
мама
</t>
        </r>
      </text>
    </comment>
    <comment ref="AB35" authorId="2" xr:uid="{96E820DF-0941-0E31-1AF8-2FD28C09009C}">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1A5BCAA1-102D-B656-01A9-19A9B35DF96A}">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tc={BA42C96A-D4E6-D14B-B04F-36642DCBF1DF}</author>
    <author>tc={75EF2D10-B857-8FF5-8BDD-F2759CC60D67}</author>
    <author>tc={96E820DF-0941-0E31-1AF8-2FD200000000}</author>
    <author>tc={1A5BCAA1-102D-B656-01A9-19A9B8000000}</author>
    <author>tc={00D600DC-0028-4E6C-BCC4-00CF00DC00D9}</author>
  </authors>
  <commentList>
    <comment ref="AB2" authorId="0" xr:uid="{BA42C96A-D4E6-D14B-B04F-36642DCBF1DF}">
      <text>
        <r>
          <rPr>
            <b/>
            <sz val="9"/>
            <rFont val="Tahoma"/>
          </rPr>
          <t>Автор:</t>
        </r>
        <r>
          <rPr>
            <sz val="9"/>
            <rFont val="Tahoma"/>
          </rPr>
          <t xml:space="preserve">
мама
</t>
        </r>
      </text>
    </comment>
    <comment ref="F2" authorId="1" xr:uid="{75EF2D10-B857-8FF5-8BDD-F2759CC60D67}">
      <text>
        <r>
          <rPr>
            <b/>
            <sz val="9"/>
            <rFont val="Tahoma"/>
          </rPr>
          <t>Автор:</t>
        </r>
        <r>
          <rPr>
            <sz val="9"/>
            <rFont val="Tahoma"/>
          </rPr>
          <t xml:space="preserve">
мама
</t>
        </r>
      </text>
    </comment>
    <comment ref="AB35" authorId="2" xr:uid="{96E820DF-0941-0E31-1AF8-2FD2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3" xr:uid="{1A5BCAA1-102D-B656-01A9-19A9B8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AL5" authorId="4" xr:uid="{00D600DC-0028-4E6C-BCC4-00CF00DC00D9}">
      <text>
        <r>
          <rPr>
            <b/>
            <sz val="9"/>
            <rFont val="Tahoma"/>
          </rPr>
          <t xml:space="preserve">RePack by Diakov:</t>
        </r>
        <r>
          <rPr>
            <sz val="9"/>
            <rFont val="Tahoma"/>
          </rPr>
          <t xml:space="preserve">
люстра
</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tc={522BC3D8-E8C0-38FD-EEE6-985C0845CAED}</author>
    <author>tc={654D74EE-BA6C-B32C-016D-112B1E098907}</author>
  </authors>
  <commentList>
    <comment ref="F2" authorId="0" xr:uid="{522BC3D8-E8C0-38FD-EEE6-985C0845CAED}">
      <text>
        <r>
          <rPr>
            <b/>
            <sz val="9"/>
            <rFont val="Tahoma"/>
          </rPr>
          <t>Автор:</t>
        </r>
        <r>
          <rPr>
            <sz val="9"/>
            <rFont val="Tahoma"/>
          </rPr>
          <t xml:space="preserve">
мама
</t>
        </r>
      </text>
    </comment>
    <comment ref="F35" authorId="1" xr:uid="{654D74EE-BA6C-B32C-016D-112B1E098907}">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tc={00E900FD-0061-4761-AB88-00CA00000000}</author>
  </authors>
  <commentList>
    <comment ref="F34" authorId="0" xr:uid="{00E900FD-0061-4761-AB88-00CA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tc={68B0840C-25FF-3FF7-F3A5-CC117496B2A9}</author>
    <author>tc={1576768E-8DDF-F0EC-1889-6661477E072E}</author>
  </authors>
  <commentList>
    <comment ref="F2" authorId="0" xr:uid="{68B0840C-25FF-3FF7-F3A5-CC117496B2A9}">
      <text>
        <r>
          <rPr>
            <b/>
            <sz val="9"/>
            <rFont val="Tahoma"/>
          </rPr>
          <t>Автор:</t>
        </r>
        <r>
          <rPr>
            <sz val="9"/>
            <rFont val="Tahoma"/>
          </rPr>
          <t xml:space="preserve">
мама
</t>
        </r>
      </text>
    </comment>
    <comment ref="F35" authorId="1" xr:uid="{1576768E-8DDF-F0EC-1889-6661477E072E}">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tc={5A7D870D-B9B1-6459-E38F-53E024803E4E}</author>
    <author>tc={6F5426D5-77AC-8993-2B8B-CF857DD1A0D0}</author>
  </authors>
  <commentList>
    <comment ref="F2" authorId="0" xr:uid="{5A7D870D-B9B1-6459-E38F-53E024803E4E}">
      <text>
        <r>
          <rPr>
            <b/>
            <sz val="9"/>
            <rFont val="Tahoma"/>
          </rPr>
          <t>Автор:</t>
        </r>
        <r>
          <rPr>
            <sz val="9"/>
            <rFont val="Tahoma"/>
          </rPr>
          <t xml:space="preserve">
мама
</t>
        </r>
      </text>
    </comment>
    <comment ref="F35" authorId="1" xr:uid="{6F5426D5-77AC-8993-2B8B-CF857DD1A0D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tc={2FAE474E-03FF-ADA1-7C6F-CB84E47AB5C8}</author>
    <author>tc={8A840779-0B60-62C0-AA86-1E27D2529BD6}</author>
  </authors>
  <commentList>
    <comment ref="F2" authorId="0" xr:uid="{2FAE474E-03FF-ADA1-7C6F-CB84E47AB5C8}">
      <text>
        <r>
          <rPr>
            <b/>
            <sz val="9"/>
            <rFont val="Tahoma"/>
          </rPr>
          <t>Автор:</t>
        </r>
        <r>
          <rPr>
            <sz val="9"/>
            <rFont val="Tahoma"/>
          </rPr>
          <t xml:space="preserve">
мама
</t>
        </r>
      </text>
    </comment>
    <comment ref="F35" authorId="1" xr:uid="{8A840779-0B60-62C0-AA86-1E27D2529BD6}">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tc={9A5C01D1-DABC-D4CB-0D96-17ACAFE3599F}</author>
    <author>tc={0CAE5AE8-D228-95C6-19D9-0A5737C82AED}</author>
  </authors>
  <commentList>
    <comment ref="F2" authorId="0" xr:uid="{9A5C01D1-DABC-D4CB-0D96-17ACAFE3599F}">
      <text>
        <r>
          <rPr>
            <b/>
            <sz val="9"/>
            <rFont val="Tahoma"/>
          </rPr>
          <t>Автор:</t>
        </r>
        <r>
          <rPr>
            <sz val="9"/>
            <rFont val="Tahoma"/>
          </rPr>
          <t xml:space="preserve">
мама
</t>
        </r>
      </text>
    </comment>
    <comment ref="F35" authorId="1" xr:uid="{0CAE5AE8-D228-95C6-19D9-0A5737C82AED}">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tc={3D0C49E6-11C6-9DD8-8CA2-41E97DEB8B4D}</author>
    <author>tc={702E7D4B-947C-AF86-3A5B-57B5E984E0E5}</author>
  </authors>
  <commentList>
    <comment ref="F2" authorId="0" xr:uid="{3D0C49E6-11C6-9DD8-8CA2-41E97DEB8B4D}">
      <text>
        <r>
          <rPr>
            <b/>
            <sz val="9"/>
            <rFont val="Tahoma"/>
          </rPr>
          <t>Автор:</t>
        </r>
        <r>
          <rPr>
            <sz val="9"/>
            <rFont val="Tahoma"/>
          </rPr>
          <t xml:space="preserve">
мама
</t>
        </r>
      </text>
    </comment>
    <comment ref="F35" authorId="1" xr:uid="{702E7D4B-947C-AF86-3A5B-57B5E984E0E5}">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tc={75BFC01C-5F80-C95C-45AB-1117A25108E9}</author>
    <author>tc={A88FEA3C-5A90-F48C-C083-05A9B786C1D1}</author>
  </authors>
  <commentList>
    <comment ref="F2" authorId="0" xr:uid="{75BFC01C-5F80-C95C-45AB-1117A25108E9}">
      <text>
        <r>
          <rPr>
            <b/>
            <sz val="9"/>
            <rFont val="Tahoma"/>
          </rPr>
          <t>Автор:</t>
        </r>
        <r>
          <rPr>
            <sz val="9"/>
            <rFont val="Tahoma"/>
          </rPr>
          <t xml:space="preserve">
мама
</t>
        </r>
      </text>
    </comment>
    <comment ref="F35" authorId="1" xr:uid="{A88FEA3C-5A90-F48C-C083-05A9B786C1D1}">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tc={58176525-036C-29F7-3AFE-E6E80329B8A5}</author>
    <author>tc={577F6A2E-E1E1-86E5-166C-B372A2729241}</author>
  </authors>
  <commentList>
    <comment ref="F2" authorId="0" xr:uid="{58176525-036C-29F7-3AFE-E6E80329B8A5}">
      <text>
        <r>
          <rPr>
            <b/>
            <sz val="9"/>
            <rFont val="Tahoma"/>
          </rPr>
          <t>Автор:</t>
        </r>
        <r>
          <rPr>
            <sz val="9"/>
            <rFont val="Tahoma"/>
          </rPr>
          <t xml:space="preserve">
мама
</t>
        </r>
      </text>
    </comment>
    <comment ref="F35" authorId="1" xr:uid="{577F6A2E-E1E1-86E5-166C-B372A2729241}">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tc={99F32D17-43FE-9100-0EFD-13BD8511060E}</author>
    <author>tc={99A01480-C844-3BD0-63AE-6080FF1CDC03}</author>
  </authors>
  <commentList>
    <comment ref="F2" authorId="0" xr:uid="{99F32D17-43FE-9100-0EFD-13BD8511060E}">
      <text>
        <r>
          <rPr>
            <b/>
            <sz val="9"/>
            <rFont val="Tahoma"/>
          </rPr>
          <t>Автор:</t>
        </r>
        <r>
          <rPr>
            <sz val="9"/>
            <rFont val="Tahoma"/>
          </rPr>
          <t xml:space="preserve">
мама
</t>
        </r>
      </text>
    </comment>
    <comment ref="F35" authorId="1" xr:uid="{99A01480-C844-3BD0-63AE-6080FF1CDC03}">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tc={BA34C5A6-7AD2-38DC-51E6-99EE77F463A1}</author>
  </authors>
  <commentList>
    <comment ref="F35" authorId="0" xr:uid="{BA34C5A6-7AD2-38DC-51E6-99EE77F463A1}">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tc={21ED0B5B-8B1A-6037-A9C4-666F46E9D122}</author>
  </authors>
  <commentList>
    <comment ref="F35" authorId="0" xr:uid="{21ED0B5B-8B1A-6037-A9C4-666F46E9D122}">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tc={00050062-0013-4E0A-A983-001600A90017}</author>
    <author>tc={003000A2-00BB-4B7F-8F4C-0039006F0008}</author>
    <author>tc={002C00C2-0087-43B2-9B7B-003200000000}</author>
    <author>tc={00DC00DF-0007-437B-A467-00BE000900C5}</author>
  </authors>
  <commentList>
    <comment ref="E2" authorId="0" xr:uid="{00050062-0013-4E0A-A983-001600A90017}">
      <text>
        <r>
          <rPr>
            <b/>
            <sz val="9"/>
            <rFont val="Tahoma"/>
          </rPr>
          <t>Автор:</t>
        </r>
        <r>
          <rPr>
            <sz val="9"/>
            <rFont val="Tahoma"/>
          </rPr>
          <t xml:space="preserve">
артур
</t>
        </r>
      </text>
    </comment>
    <comment ref="I11" authorId="1" xr:uid="{003000A2-00BB-4B7F-8F4C-0039006F0008}">
      <text>
        <r>
          <rPr>
            <b/>
            <sz val="9"/>
            <rFont val="Tahoma"/>
          </rPr>
          <t>Автор:</t>
        </r>
        <r>
          <rPr>
            <sz val="9"/>
            <rFont val="Tahoma"/>
          </rPr>
          <t xml:space="preserve">
корпус ПК
</t>
        </r>
      </text>
    </comment>
    <comment ref="F35" authorId="2" xr:uid="{002C00C2-0087-43B2-9B7B-0032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B5" authorId="3" xr:uid="{00DC00DF-0007-437B-A467-00BE000900C5}">
      <text>
        <r>
          <rPr>
            <b/>
            <sz val="9"/>
            <rFont val="Tahoma"/>
          </rPr>
          <t>Автор:</t>
        </r>
        <r>
          <rPr>
            <sz val="9"/>
            <rFont val="Tahoma"/>
          </rPr>
          <t xml:space="preserve">
Штраф
</t>
        </r>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tc={BD20B3F7-F530-F066-6AC6-9EDDA0B56800}</author>
    <author>tc={E2271030-59CC-5538-E8B8-2A203B095D60}</author>
  </authors>
  <commentList>
    <comment ref="F35" authorId="0" xr:uid="{BD20B3F7-F530-F066-6AC6-9EDDA0B568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E10" authorId="1" xr:uid="{E2271030-59CC-5538-E8B8-2A203B095D60}">
      <text>
        <r>
          <rPr>
            <b/>
            <sz val="9"/>
            <rFont val="Tahoma"/>
          </rPr>
          <t xml:space="preserve">Дмитрий Артемьев:</t>
        </r>
        <r>
          <rPr>
            <sz val="9"/>
            <rFont val="Tahoma"/>
          </rPr>
          <t xml:space="preserve">
отдать
</t>
        </r>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tc={A34BB8C5-E033-DFC6-5271-0274CF6A39ED}</author>
  </authors>
  <commentList>
    <comment ref="F35" authorId="0" xr:uid="{A34BB8C5-E033-DFC6-5271-0274CF6A39ED}">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tc={2903343A-6930-799D-2440-EA7B08FF93C9}</author>
    <author>tc={AE87B624-E41A-9BE0-830B-425494753422}</author>
  </authors>
  <commentList>
    <comment ref="AC35" authorId="0" xr:uid="{2903343A-6930-799D-2440-EA7B08FF93C9}">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1" xr:uid="{AE87B624-E41A-9BE0-830B-425494753422}">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tc={667DAC43-5451-35C3-EA49-D1063A205D9A}</author>
    <author>tc={6AD4F9A2-A873-CDB4-0285-D160BA8D6C88}</author>
  </authors>
  <commentList>
    <comment ref="AC35" authorId="0" xr:uid="{667DAC43-5451-35C3-EA49-D1063A205D9A}">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F35" authorId="1" xr:uid="{6AD4F9A2-A873-CDB4-0285-D160BA8D6C88}">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tc={1B8DFE55-ADC6-7388-0A6F-471100000000}</author>
    <author>tc={E5784DCC-C806-B1D4-B05D-D7CB00000000}</author>
    <author>tc={00C2003F-00CD-45A6-B55D-00A3003600A5}</author>
    <author>tc={5B07A70C-2E4B-EA4B-3F7F-491B535200DB}</author>
  </authors>
  <commentList>
    <comment ref="AB18" authorId="0" xr:uid="{1B8DFE55-ADC6-7388-0A6F-4711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AB35" authorId="1" xr:uid="{E5784DCC-C806-B1D4-B05D-D7CB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AB52" authorId="2" xr:uid="{00C2003F-00CD-45A6-B55D-00A3003600A5}">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AB69" authorId="3" xr:uid="{5B07A70C-2E4B-EA4B-3F7F-491B535200DB}">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tc={00BA00F1-0044-42CE-81BB-0069008C0001}</author>
    <author>tc={006B002A-009B-48E7-9F46-00F4006D00A5}</author>
    <author>tc={008400DA-0042-476C-89D0-006200650083}</author>
    <author>tc={002500A7-007A-475F-94B8-001E008600D4}</author>
    <author>tc={003200FB-005F-4403-93E4-00FD00F00000}</author>
    <author>tc={0040000C-0014-411C-A734-005200000000}</author>
    <author>tc={0035004F-001F-4361-88A1-0012004D00F3}</author>
  </authors>
  <commentList>
    <comment ref="E2" authorId="0" xr:uid="{00BA00F1-0044-42CE-81BB-0069008C0001}">
      <text>
        <r>
          <rPr>
            <b/>
            <sz val="9"/>
            <rFont val="Tahoma"/>
          </rPr>
          <t>Автор:</t>
        </r>
        <r>
          <rPr>
            <sz val="9"/>
            <rFont val="Tahoma"/>
          </rPr>
          <t xml:space="preserve">
артур
</t>
        </r>
      </text>
    </comment>
    <comment ref="E11" authorId="1" xr:uid="{006B002A-009B-48E7-9F46-00F4006D00A5}">
      <text>
        <r>
          <rPr>
            <b/>
            <sz val="9"/>
            <rFont val="Tahoma"/>
          </rPr>
          <t>Автор:</t>
        </r>
        <r>
          <rPr>
            <sz val="9"/>
            <rFont val="Tahoma"/>
          </rPr>
          <t xml:space="preserve">
дэну
</t>
        </r>
      </text>
    </comment>
    <comment ref="I11" authorId="2" xr:uid="{008400DA-0042-476C-89D0-006200650083}">
      <text>
        <r>
          <rPr>
            <b/>
            <sz val="9"/>
            <rFont val="Tahoma"/>
          </rPr>
          <t>Автор:</t>
        </r>
        <r>
          <rPr>
            <sz val="9"/>
            <rFont val="Tahoma"/>
          </rPr>
          <t xml:space="preserve">
чехол
</t>
        </r>
      </text>
    </comment>
    <comment ref="E31" authorId="3" xr:uid="{002500A7-007A-475F-94B8-001E008600D4}">
      <text>
        <r>
          <rPr>
            <b/>
            <sz val="9"/>
            <rFont val="Tahoma"/>
          </rPr>
          <t>Автор:</t>
        </r>
        <r>
          <rPr>
            <sz val="9"/>
            <rFont val="Tahoma"/>
          </rPr>
          <t xml:space="preserve">
юра
</t>
        </r>
      </text>
    </comment>
    <comment ref="K32" authorId="4" xr:uid="{003200FB-005F-4403-93E4-00FD00F00000}">
      <text>
        <r>
          <rPr>
            <b/>
            <sz val="9"/>
            <rFont val="Tahoma"/>
          </rPr>
          <t>Автор:</t>
        </r>
        <r>
          <rPr>
            <sz val="9"/>
            <rFont val="Tahoma"/>
          </rPr>
          <t xml:space="preserve">
свет оскол
</t>
        </r>
      </text>
    </comment>
    <comment ref="F35" authorId="5" xr:uid="{0040000C-0014-411C-A734-0052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B5" authorId="6" xr:uid="{0035004F-001F-4361-88A1-0012004D00F3}">
      <text>
        <r>
          <rPr>
            <b/>
            <sz val="9"/>
            <rFont val="Tahoma"/>
          </rPr>
          <t>Автор:</t>
        </r>
        <r>
          <rPr>
            <sz val="9"/>
            <rFont val="Tahoma"/>
          </rPr>
          <t xml:space="preserve">
Штраф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tc={00F9003D-00BF-4EEB-B72B-0031004B0060}</author>
    <author>tc={00D800FB-00E4-44E0-AF0C-007A0035006C}</author>
    <author>tc={001F0060-0070-4A1E-987B-00460082000D}</author>
    <author>tc={00420085-007E-450D-B12F-008C00C900FC}</author>
    <author>tc={0041006A-00AB-414D-81CD-00B000000000}</author>
    <author>tc={0041008E-00A0-4B9B-8F57-0050007C00F8}</author>
  </authors>
  <commentList>
    <comment ref="E2" authorId="0" xr:uid="{00F9003D-00BF-4EEB-B72B-0031004B0060}">
      <text>
        <r>
          <rPr>
            <b/>
            <sz val="9"/>
            <rFont val="Tahoma"/>
          </rPr>
          <t>Автор:</t>
        </r>
        <r>
          <rPr>
            <sz val="9"/>
            <rFont val="Tahoma"/>
          </rPr>
          <t xml:space="preserve">
артур
</t>
        </r>
      </text>
    </comment>
    <comment ref="E11" authorId="1" xr:uid="{00D800FB-00E4-44E0-AF0C-007A0035006C}">
      <text>
        <r>
          <rPr>
            <b/>
            <sz val="9"/>
            <rFont val="Tahoma"/>
          </rPr>
          <t>Автор:</t>
        </r>
        <r>
          <rPr>
            <sz val="9"/>
            <rFont val="Tahoma"/>
          </rPr>
          <t xml:space="preserve">
дэну
</t>
        </r>
      </text>
    </comment>
    <comment ref="I11" authorId="2" xr:uid="{001F0060-0070-4A1E-987B-00460082000D}">
      <text>
        <r>
          <rPr>
            <b/>
            <sz val="9"/>
            <rFont val="Tahoma"/>
          </rPr>
          <t>Автор:</t>
        </r>
        <r>
          <rPr>
            <sz val="9"/>
            <rFont val="Tahoma"/>
          </rPr>
          <t xml:space="preserve">
чехол
</t>
        </r>
      </text>
    </comment>
    <comment ref="E3" authorId="3" xr:uid="{00420085-007E-450D-B12F-008C00C900FC}">
      <text>
        <r>
          <rPr>
            <b/>
            <sz val="9"/>
            <rFont val="Tahoma"/>
          </rPr>
          <t>Автор:</t>
        </r>
        <r>
          <rPr>
            <sz val="9"/>
            <rFont val="Tahoma"/>
          </rPr>
          <t xml:space="preserve">
мама
</t>
        </r>
      </text>
    </comment>
    <comment ref="F33" authorId="4" xr:uid="{0041006A-00AB-414D-81CD-00B0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B5" authorId="5" xr:uid="{0041008E-00A0-4B9B-8F57-0050007C00F8}">
      <text>
        <r>
          <rPr>
            <b/>
            <sz val="9"/>
            <rFont val="Tahoma"/>
          </rPr>
          <t>Автор:</t>
        </r>
        <r>
          <rPr>
            <sz val="9"/>
            <rFont val="Tahoma"/>
          </rPr>
          <t xml:space="preserve">
Штраф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tc={002E00C4-003C-4916-81CA-00BD00C800E1}</author>
    <author>tc={0025002C-00AA-4EC5-9F31-00AF00E10070}</author>
    <author>tc={00F50067-003F-4389-8727-00BA000B0000}</author>
    <author>tc={00EF007E-004E-43F3-B32F-00EE00000000}</author>
    <author>tc={005E00DA-005E-421C-8E87-0021005D00F6}</author>
  </authors>
  <commentList>
    <comment ref="E2" authorId="0" xr:uid="{002E00C4-003C-4916-81CA-00BD00C800E1}">
      <text>
        <r>
          <rPr>
            <b/>
            <sz val="9"/>
            <rFont val="Tahoma"/>
          </rPr>
          <t>Автор:</t>
        </r>
        <r>
          <rPr>
            <sz val="9"/>
            <rFont val="Tahoma"/>
          </rPr>
          <t xml:space="preserve">
артур
</t>
        </r>
      </text>
    </comment>
    <comment ref="I11" authorId="1" xr:uid="{0025002C-00AA-4EC5-9F31-00AF00E10070}">
      <text>
        <r>
          <rPr>
            <b/>
            <sz val="9"/>
            <rFont val="Tahoma"/>
          </rPr>
          <t>Автор:</t>
        </r>
        <r>
          <rPr>
            <sz val="9"/>
            <rFont val="Tahoma"/>
          </rPr>
          <t xml:space="preserve">
корпус ПК
</t>
        </r>
      </text>
    </comment>
    <comment ref="E32" authorId="2" xr:uid="{00F50067-003F-4389-8727-00BA000B0000}">
      <text>
        <r>
          <rPr>
            <b/>
            <sz val="9"/>
            <rFont val="Tahoma"/>
          </rPr>
          <t>Автор:</t>
        </r>
        <r>
          <rPr>
            <sz val="9"/>
            <rFont val="Tahoma"/>
          </rPr>
          <t xml:space="preserve">
RePack by Diakov:мама
</t>
        </r>
      </text>
    </comment>
    <comment ref="F35" authorId="3" xr:uid="{00EF007E-004E-43F3-B32F-00EE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 ref="B5" authorId="4" xr:uid="{005E00DA-005E-421C-8E87-0021005D00F6}">
      <text>
        <r>
          <rPr>
            <b/>
            <sz val="9"/>
            <rFont val="Tahoma"/>
          </rPr>
          <t>Автор:</t>
        </r>
        <r>
          <rPr>
            <sz val="9"/>
            <rFont val="Tahoma"/>
          </rPr>
          <t xml:space="preserve">
Штраф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tc={00150085-00B3-441F-88B1-00870075009B}</author>
    <author>tc={003200C5-00BA-49BE-A67D-005300000000}</author>
  </authors>
  <commentList>
    <comment ref="E2" authorId="0" xr:uid="{00150085-00B3-441F-88B1-00870075009B}">
      <text>
        <r>
          <rPr>
            <b/>
            <sz val="9"/>
            <rFont val="Tahoma"/>
          </rPr>
          <t>Автор:</t>
        </r>
        <r>
          <rPr>
            <sz val="9"/>
            <rFont val="Tahoma"/>
          </rPr>
          <t xml:space="preserve">
мама
</t>
        </r>
      </text>
    </comment>
    <comment ref="F34" authorId="1" xr:uid="{003200C5-00BA-49BE-A67D-005300000000}">
      <text>
        <r>
          <rPr>
            <b/>
            <sz val="9"/>
            <rFont val="Tahoma"/>
          </rPr>
          <t>Автор:</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Продажа
</t>
        </r>
      </text>
    </comment>
  </commentList>
</comments>
</file>

<file path=xl/sharedStrings.xml><?xml version="1.0" encoding="utf-8"?>
<sst xmlns="http://schemas.openxmlformats.org/spreadsheetml/2006/main" count="182" uniqueCount="182">
  <si>
    <t>Дата</t>
  </si>
  <si>
    <t>транспорт</t>
  </si>
  <si>
    <t>еда</t>
  </si>
  <si>
    <t>кафе</t>
  </si>
  <si>
    <t xml:space="preserve">в займы</t>
  </si>
  <si>
    <t>кредиты</t>
  </si>
  <si>
    <t>косметика</t>
  </si>
  <si>
    <t>одежда</t>
  </si>
  <si>
    <t xml:space="preserve">предметы обихода</t>
  </si>
  <si>
    <t>лекарства</t>
  </si>
  <si>
    <t>жилье</t>
  </si>
  <si>
    <t>подарки</t>
  </si>
  <si>
    <t>связь</t>
  </si>
  <si>
    <t>долги</t>
  </si>
  <si>
    <t>Итого:</t>
  </si>
  <si>
    <t>ЗП</t>
  </si>
  <si>
    <t>Долги</t>
  </si>
  <si>
    <t>Подарки</t>
  </si>
  <si>
    <t>Вклады</t>
  </si>
  <si>
    <t>парикмахерская</t>
  </si>
  <si>
    <t>развлечения</t>
  </si>
  <si>
    <t>Продажа</t>
  </si>
  <si>
    <t>929.94</t>
  </si>
  <si>
    <t xml:space="preserve">отдать жеке</t>
  </si>
  <si>
    <t xml:space="preserve">на тройке на конец месяца</t>
  </si>
  <si>
    <t xml:space="preserve">кредиты и обслуживание карт</t>
  </si>
  <si>
    <t>Чаевые</t>
  </si>
  <si>
    <t>Подработка</t>
  </si>
  <si>
    <t xml:space="preserve">на тройке на начало месяца</t>
  </si>
  <si>
    <t xml:space="preserve">забрать у рамыча</t>
  </si>
  <si>
    <t xml:space="preserve">забрать у ивана</t>
  </si>
  <si>
    <t xml:space="preserve">забрать у мамы</t>
  </si>
  <si>
    <t xml:space="preserve">На подарок Лере:</t>
  </si>
  <si>
    <t>674.60</t>
  </si>
  <si>
    <t>макс</t>
  </si>
  <si>
    <t xml:space="preserve">забрать у жеки</t>
  </si>
  <si>
    <t>821.74</t>
  </si>
  <si>
    <t xml:space="preserve">забрать у макса</t>
  </si>
  <si>
    <t xml:space="preserve">забрать у дена</t>
  </si>
  <si>
    <t xml:space="preserve">забрать у юры</t>
  </si>
  <si>
    <t>Долг</t>
  </si>
  <si>
    <t xml:space="preserve">забрать у артура</t>
  </si>
  <si>
    <t xml:space="preserve">забрать у саши</t>
  </si>
  <si>
    <t xml:space="preserve">игра на перепродажу</t>
  </si>
  <si>
    <t xml:space="preserve">кредит маман</t>
  </si>
  <si>
    <t>такси</t>
  </si>
  <si>
    <t>маме</t>
  </si>
  <si>
    <t>89.98</t>
  </si>
  <si>
    <t xml:space="preserve">забрать у олега</t>
  </si>
  <si>
    <t xml:space="preserve">домашние животные</t>
  </si>
  <si>
    <t>З/П</t>
  </si>
  <si>
    <t>вклады</t>
  </si>
  <si>
    <t>продажа</t>
  </si>
  <si>
    <t>чаевые</t>
  </si>
  <si>
    <t>подработка</t>
  </si>
  <si>
    <t>кэшбэк</t>
  </si>
  <si>
    <t xml:space="preserve">кредиты и обслуживание</t>
  </si>
  <si>
    <t xml:space="preserve">забрать у вани</t>
  </si>
  <si>
    <t xml:space="preserve">кредиты, пошлины и т.д.</t>
  </si>
  <si>
    <t xml:space="preserve">забрать у миши</t>
  </si>
  <si>
    <t xml:space="preserve">забрать у ани</t>
  </si>
  <si>
    <t>майнинг</t>
  </si>
  <si>
    <t>Лере</t>
  </si>
  <si>
    <t>красота</t>
  </si>
  <si>
    <t>Дима</t>
  </si>
  <si>
    <t xml:space="preserve">Расходы в общем:</t>
  </si>
  <si>
    <t xml:space="preserve">Доходы в общем:</t>
  </si>
  <si>
    <t>Долги:</t>
  </si>
  <si>
    <t>Мама</t>
  </si>
  <si>
    <t>Иван</t>
  </si>
  <si>
    <t>ТС</t>
  </si>
  <si>
    <t>продукты</t>
  </si>
  <si>
    <t>обеды</t>
  </si>
  <si>
    <t>животные</t>
  </si>
  <si>
    <t xml:space="preserve">парт Тинь</t>
  </si>
  <si>
    <t>155.80</t>
  </si>
  <si>
    <t>Макс</t>
  </si>
  <si>
    <t>Маник</t>
  </si>
  <si>
    <t>Родителям</t>
  </si>
  <si>
    <t>Пошлины</t>
  </si>
  <si>
    <t>Ногти</t>
  </si>
  <si>
    <t xml:space="preserve">про
дукты</t>
  </si>
  <si>
    <t xml:space="preserve">предметы
обихода</t>
  </si>
  <si>
    <t>стрижка</t>
  </si>
  <si>
    <t xml:space="preserve">развле
чения</t>
  </si>
  <si>
    <t xml:space="preserve">живот
ные</t>
  </si>
  <si>
    <t>некита</t>
  </si>
  <si>
    <t>Итог:</t>
  </si>
  <si>
    <t>AMD</t>
  </si>
  <si>
    <t xml:space="preserve">Итог в руб:</t>
  </si>
  <si>
    <t>RUB</t>
  </si>
  <si>
    <t>H</t>
  </si>
  <si>
    <t>Р</t>
  </si>
  <si>
    <t>Расходы</t>
  </si>
  <si>
    <t>Доходы</t>
  </si>
  <si>
    <t>Остаток</t>
  </si>
  <si>
    <t xml:space="preserve">Реальная ЗП</t>
  </si>
  <si>
    <t>Январь</t>
  </si>
  <si>
    <t>Февраль</t>
  </si>
  <si>
    <t>Март</t>
  </si>
  <si>
    <t>Апрель</t>
  </si>
  <si>
    <t>Май</t>
  </si>
  <si>
    <t>Июнь</t>
  </si>
  <si>
    <t>Июль</t>
  </si>
  <si>
    <t>Август</t>
  </si>
  <si>
    <t>Сентябрь</t>
  </si>
  <si>
    <t>Октябрь</t>
  </si>
  <si>
    <t>Ноябрь</t>
  </si>
  <si>
    <t>Декабрь</t>
  </si>
  <si>
    <t xml:space="preserve">Ср. знач</t>
  </si>
  <si>
    <t xml:space="preserve">За год</t>
  </si>
  <si>
    <t xml:space="preserve">Накоп. Счет</t>
  </si>
  <si>
    <t xml:space="preserve">Курс драма</t>
  </si>
  <si>
    <t xml:space="preserve">Сумма трат</t>
  </si>
  <si>
    <t xml:space="preserve">Сумма доходов</t>
  </si>
  <si>
    <t xml:space="preserve">Свободный остаток</t>
  </si>
  <si>
    <t xml:space="preserve">Продажа/Покупка $</t>
  </si>
  <si>
    <t xml:space="preserve">Дата покупки:</t>
  </si>
  <si>
    <t>Сумма</t>
  </si>
  <si>
    <t>Курс</t>
  </si>
  <si>
    <t xml:space="preserve">Сумма $</t>
  </si>
  <si>
    <t>кешбэк</t>
  </si>
  <si>
    <t>бонусные</t>
  </si>
  <si>
    <t>дивиденды</t>
  </si>
  <si>
    <t xml:space="preserve">Переведено в баксы</t>
  </si>
  <si>
    <t xml:space="preserve">Курс $</t>
  </si>
  <si>
    <t xml:space="preserve">Курс €</t>
  </si>
  <si>
    <t xml:space="preserve">Выведено из баксов</t>
  </si>
  <si>
    <t xml:space="preserve">Из тинькофф</t>
  </si>
  <si>
    <t xml:space="preserve">Выведено в евро</t>
  </si>
  <si>
    <t>КЭшбэк</t>
  </si>
  <si>
    <t xml:space="preserve">Выведено в рубли:</t>
  </si>
  <si>
    <t xml:space="preserve">В баксах осталось:</t>
  </si>
  <si>
    <t xml:space="preserve">В Евро</t>
  </si>
  <si>
    <t xml:space="preserve">Стало с учетом курса</t>
  </si>
  <si>
    <t>Прирост</t>
  </si>
  <si>
    <t xml:space="preserve">Сумма для обмена</t>
  </si>
  <si>
    <t xml:space="preserve">Цена в Р банках</t>
  </si>
  <si>
    <t xml:space="preserve">Цена $ в AMD на бирже</t>
  </si>
  <si>
    <t xml:space="preserve">Цена $в RUB на бирже</t>
  </si>
  <si>
    <t xml:space="preserve">цена в драмах</t>
  </si>
  <si>
    <t>кол-во</t>
  </si>
  <si>
    <t>стоимость</t>
  </si>
  <si>
    <t xml:space="preserve">цена в рублях</t>
  </si>
  <si>
    <t xml:space="preserve">Профит, %</t>
  </si>
  <si>
    <t xml:space="preserve">В рублях</t>
  </si>
  <si>
    <t xml:space="preserve">Получим в банке</t>
  </si>
  <si>
    <t>usdt</t>
  </si>
  <si>
    <t xml:space="preserve">Получим на бирже</t>
  </si>
  <si>
    <t>dusd</t>
  </si>
  <si>
    <t>Профит</t>
  </si>
  <si>
    <t xml:space="preserve">Цена $ в AMD</t>
  </si>
  <si>
    <t xml:space="preserve">Столько $ купим</t>
  </si>
  <si>
    <t xml:space="preserve">Цена $ в RUB</t>
  </si>
  <si>
    <t xml:space="preserve">Получим RUB</t>
  </si>
  <si>
    <t xml:space="preserve">Курс на бирже</t>
  </si>
  <si>
    <t xml:space="preserve">Профит %</t>
  </si>
  <si>
    <t xml:space="preserve">Нужно рублей</t>
  </si>
  <si>
    <t>Binance</t>
  </si>
  <si>
    <t xml:space="preserve">Цена Р в AMD</t>
  </si>
  <si>
    <t xml:space="preserve">Столько Р купим</t>
  </si>
  <si>
    <t xml:space="preserve">Курс в банках</t>
  </si>
  <si>
    <t xml:space="preserve">Цена $ за AMD на бирже</t>
  </si>
  <si>
    <t>Банк</t>
  </si>
  <si>
    <t xml:space="preserve">Сумма на бирже</t>
  </si>
  <si>
    <t xml:space="preserve">Сумма в банке</t>
  </si>
  <si>
    <t xml:space="preserve">Цена $ за рубли</t>
  </si>
  <si>
    <t xml:space="preserve">Получится $</t>
  </si>
  <si>
    <t xml:space="preserve">Цена $ за AMD</t>
  </si>
  <si>
    <t>драм</t>
  </si>
  <si>
    <t xml:space="preserve">Столько AMD потратим</t>
  </si>
  <si>
    <t>Валюта</t>
  </si>
  <si>
    <t>Кол-во</t>
  </si>
  <si>
    <t xml:space="preserve">Кол-во в рублях</t>
  </si>
  <si>
    <t>Процент</t>
  </si>
  <si>
    <t xml:space="preserve">Количество в долларах</t>
  </si>
  <si>
    <t>Рублей</t>
  </si>
  <si>
    <t>Драм</t>
  </si>
  <si>
    <t>Евро</t>
  </si>
  <si>
    <t>Доллров</t>
  </si>
  <si>
    <t>Долларов</t>
  </si>
  <si>
    <t xml:space="preserve">Не платится если авто ввезен в армению до 2014 года, либо растаможен по цене не дешевле растаможки в РФ, в таком случае уплата разницы</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</si>
</sst>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0" formatCode="dd/mm/yyyy"/>
    <numFmt numFmtId="161" formatCode="0.0"/>
  </numFmts>
  <fonts count="9">
    <font>
      <sz val="11.000000"/>
      <color theme="1"/>
      <name val="Calibri"/>
      <scheme val="minor"/>
    </font>
    <font>
      <b/>
      <sz val="11.000000"/>
      <color theme="1"/>
      <name val="Calibri"/>
      <scheme val="minor"/>
    </font>
    <font>
      <sz val="10.000000"/>
      <name val="Arial"/>
    </font>
    <font>
      <sz val="11.000000"/>
      <name val="Calibri"/>
      <scheme val="minor"/>
    </font>
    <font>
      <sz val="11.000000"/>
      <color indexed="2"/>
      <name val="Calibri"/>
      <scheme val="minor"/>
    </font>
    <font>
      <sz val="10.000000"/>
      <name val="Calibri"/>
      <scheme val="minor"/>
    </font>
    <font>
      <sz val="11.000000"/>
      <color rgb="FF444444"/>
      <name val="Calibri"/>
    </font>
    <font>
      <sz val="11.000000"/>
      <name val="Calibri"/>
    </font>
    <font>
      <sz val="10.500000"/>
      <color theme="1"/>
      <name val="Liberation Sans"/>
    </font>
  </fonts>
  <fills count="41">
    <fill>
      <patternFill patternType="none"/>
    </fill>
    <fill>
      <patternFill patternType="gray125"/>
    </fill>
    <fill>
      <patternFill patternType="solid">
        <fgColor theme="9" tint="0.39997558519241921"/>
        <bgColor theme="9" tint="0.39997558519241921"/>
      </patternFill>
    </fill>
    <fill>
      <patternFill patternType="solid">
        <fgColor theme="0" tint="-0.049989318521683403"/>
        <bgColor theme="0" tint="-0.049989318521683403"/>
      </patternFill>
    </fill>
    <fill>
      <patternFill patternType="solid">
        <fgColor theme="0"/>
        <bgColor theme="0"/>
      </patternFill>
    </fill>
    <fill>
      <patternFill patternType="solid">
        <fgColor theme="0" tint="-0.249977111117893"/>
        <bgColor theme="0" tint="-0.249977111117893"/>
      </patternFill>
    </fill>
    <fill>
      <patternFill patternType="solid">
        <fgColor theme="6"/>
        <bgColor theme="6"/>
      </patternFill>
    </fill>
    <fill>
      <patternFill patternType="solid">
        <fgColor indexed="2"/>
        <bgColor indexed="2"/>
      </patternFill>
    </fill>
    <fill>
      <patternFill patternType="solid">
        <fgColor rgb="FFACDCE2"/>
        <bgColor rgb="FFACDCE2"/>
      </patternFill>
    </fill>
    <fill>
      <patternFill patternType="solid">
        <fgColor theme="1"/>
        <bgColor theme="1"/>
      </patternFill>
    </fill>
    <fill>
      <patternFill patternType="solid">
        <fgColor theme="8" tint="0.59999389629810485"/>
        <bgColor theme="8" tint="0.59999389629810485"/>
      </patternFill>
    </fill>
    <fill>
      <patternFill patternType="solid">
        <fgColor indexed="65"/>
        <bgColor indexed="65"/>
      </patternFill>
    </fill>
    <fill>
      <patternFill patternType="solid">
        <fgColor rgb="FFBDD7EE"/>
        <bgColor rgb="FFBDD7EE"/>
      </patternFill>
    </fill>
    <fill>
      <patternFill patternType="solid">
        <fgColor rgb="FF70AD47"/>
        <bgColor rgb="FF70AD47"/>
      </patternFill>
    </fill>
    <fill>
      <patternFill patternType="solid">
        <fgColor rgb="FFF4B084"/>
        <bgColor rgb="FFF4B084"/>
      </patternFill>
    </fill>
    <fill>
      <patternFill patternType="solid">
        <fgColor rgb="FF00B050"/>
        <bgColor rgb="FF00B050"/>
      </patternFill>
    </fill>
    <fill>
      <patternFill patternType="solid">
        <fgColor theme="1" tint="0.499984740745262"/>
        <bgColor theme="1" tint="0.499984740745262"/>
      </patternFill>
    </fill>
    <fill>
      <patternFill patternType="solid">
        <fgColor indexed="5"/>
        <bgColor indexed="5"/>
      </patternFill>
    </fill>
    <fill>
      <patternFill patternType="solid">
        <fgColor theme="8" tint="0.59999389629810485"/>
        <bgColor indexed="5"/>
      </patternFill>
    </fill>
    <fill>
      <patternFill patternType="solid">
        <fgColor theme="0"/>
        <bgColor indexed="5"/>
      </patternFill>
    </fill>
    <fill>
      <patternFill patternType="solid">
        <fgColor theme="4" tint="0.59999389629810485"/>
        <bgColor theme="4" tint="0.59999389629810485"/>
      </patternFill>
    </fill>
    <fill>
      <patternFill patternType="solid">
        <fgColor theme="9" tint="-0.249977111117893"/>
        <bgColor theme="9" tint="-0.249977111117893"/>
      </patternFill>
    </fill>
    <fill>
      <patternFill patternType="solid">
        <fgColor theme="9"/>
        <bgColor theme="0" tint="-0.049989318521683403"/>
      </patternFill>
    </fill>
    <fill>
      <patternFill patternType="solid">
        <fgColor theme="8" tint="0.59999389629810485"/>
        <bgColor theme="4" tint="0.59999389629810485"/>
      </patternFill>
    </fill>
    <fill>
      <patternFill patternType="solid">
        <fgColor rgb="FF92D050"/>
        <bgColor rgb="FF92D050"/>
      </patternFill>
    </fill>
    <fill>
      <patternFill patternType="solid">
        <fgColor theme="0" tint="-0.499984740745262"/>
        <bgColor theme="0" tint="-0.499984740745262"/>
      </patternFill>
    </fill>
    <fill>
      <patternFill patternType="solid">
        <fgColor theme="9"/>
        <bgColor rgb="FFF4B084"/>
      </patternFill>
    </fill>
    <fill>
      <patternFill patternType="solid">
        <fgColor theme="3" tint="0.59999389629810485"/>
        <bgColor theme="3" tint="0.59999389629810485"/>
      </patternFill>
    </fill>
    <fill>
      <patternFill patternType="solid">
        <fgColor theme="4" tint="0.79998168889431442"/>
        <bgColor theme="4" tint="0.79998168889431442"/>
      </patternFill>
    </fill>
    <fill>
      <patternFill patternType="solid">
        <fgColor theme="9"/>
        <bgColor rgb="FFD9E1F2"/>
      </patternFill>
    </fill>
    <fill>
      <patternFill patternType="solid">
        <fgColor theme="0" tint="0"/>
        <bgColor theme="0" tint="0"/>
      </patternFill>
    </fill>
    <fill>
      <patternFill patternType="solid">
        <fgColor theme="9"/>
        <bgColor theme="9"/>
      </patternFill>
    </fill>
    <fill>
      <patternFill patternType="solid">
        <fgColor theme="6" tint="0.79998168889431442"/>
        <bgColor theme="6" tint="0.79998168889431442"/>
      </patternFill>
    </fill>
    <fill>
      <patternFill patternType="solid">
        <fgColor rgb="FFD9E1F2"/>
        <bgColor rgb="FFD9E1F2"/>
      </patternFill>
    </fill>
    <fill>
      <patternFill patternType="solid">
        <fgColor theme="0" tint="-0.14999847407452621"/>
        <bgColor rgb="FFD9E1F2"/>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rgb="FFE2EFDA"/>
        <bgColor rgb="FFE2EFDA"/>
      </patternFill>
    </fill>
    <fill>
      <patternFill patternType="solid">
        <fgColor theme="6" tint="0.79998168889431442"/>
        <bgColor rgb="FFE2EFDA"/>
      </patternFill>
    </fill>
    <fill>
      <patternFill patternType="solid">
        <fgColor theme="6" tint="0.79998168889431442"/>
        <bgColor theme="6" tint="0.59999389629810485"/>
      </patternFill>
    </fill>
    <fill>
      <patternFill patternType="solid">
        <fgColor theme="6" tint="0"/>
        <bgColor theme="6" tint="0"/>
      </patternFill>
    </fill>
  </fills>
  <borders count="52">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auto="1"/>
      </left>
      <right style="thin">
        <color auto="1"/>
      </right>
      <top style="none"/>
      <bottom style="thin">
        <color auto="1"/>
      </bottom>
      <diagonal style="none"/>
    </border>
    <border>
      <left style="thin">
        <color auto="1"/>
      </left>
      <right style="thin">
        <color auto="1"/>
      </right>
      <top style="thin">
        <color auto="1"/>
      </top>
      <bottom style="medium">
        <color auto="1"/>
      </bottom>
      <diagonal style="none"/>
    </border>
    <border>
      <left style="thin">
        <color auto="1"/>
      </left>
      <right style="thin">
        <color auto="1"/>
      </right>
      <top style="thin">
        <color auto="1"/>
      </top>
      <bottom style="none"/>
      <diagonal style="none"/>
    </border>
    <border>
      <left style="thin">
        <color auto="1"/>
      </left>
      <right style="none"/>
      <top style="thin">
        <color auto="1"/>
      </top>
      <bottom style="thin">
        <color auto="1"/>
      </bottom>
      <diagonal style="none"/>
    </border>
    <border>
      <left style="thin">
        <color auto="1"/>
      </left>
      <right style="thin">
        <color auto="1"/>
      </right>
      <top style="none"/>
      <bottom style="none"/>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none"/>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thin">
        <color auto="1"/>
      </top>
      <bottom style="thin">
        <color theme="1"/>
      </bottom>
      <diagonal style="none"/>
    </border>
    <border>
      <left style="thin">
        <color theme="1"/>
      </left>
      <right style="thin">
        <color theme="1"/>
      </right>
      <top style="thin">
        <color theme="1"/>
      </top>
      <bottom style="thin">
        <color theme="1"/>
      </bottom>
      <diagonal style="none"/>
    </border>
    <border>
      <left style="thin">
        <color auto="1"/>
      </left>
      <right style="thin">
        <color auto="1"/>
      </right>
      <top style="thin">
        <color auto="1"/>
      </top>
      <bottom style="thin">
        <color theme="1"/>
      </bottom>
      <diagonal style="none"/>
    </border>
    <border>
      <left style="thin">
        <color auto="1"/>
      </left>
      <right style="thin">
        <color auto="1"/>
      </right>
      <top style="thin">
        <color theme="1"/>
      </top>
      <bottom style="thin">
        <color auto="1"/>
      </bottom>
      <diagonal style="none"/>
    </border>
    <border>
      <left style="thin">
        <color theme="1"/>
      </left>
      <right style="none"/>
      <top style="none"/>
      <bottom style="none"/>
      <diagonal style="none"/>
    </border>
    <border>
      <left style="none"/>
      <right style="thin">
        <color theme="1"/>
      </right>
      <top style="none"/>
      <bottom style="none"/>
      <diagonal style="none"/>
    </border>
    <border>
      <left style="none"/>
      <right style="none"/>
      <top style="thin">
        <color auto="1"/>
      </top>
      <bottom style="thin">
        <color auto="1"/>
      </bottom>
      <diagonal style="none"/>
    </border>
    <border>
      <left style="thin">
        <color theme="1"/>
      </left>
      <right style="thin">
        <color theme="1"/>
      </right>
      <top style="none"/>
      <bottom style="none"/>
      <diagonal style="none"/>
    </border>
    <border>
      <left style="thin">
        <color auto="1"/>
      </left>
      <right style="none"/>
      <top style="none"/>
      <bottom style="thin">
        <color auto="1"/>
      </bottom>
      <diagonal style="none"/>
    </border>
    <border>
      <left style="medium">
        <color auto="1"/>
      </left>
      <right style="thin">
        <color auto="1"/>
      </right>
      <top style="medium">
        <color auto="1"/>
      </top>
      <bottom style="thin">
        <color auto="1"/>
      </bottom>
      <diagonal style="none"/>
    </border>
    <border>
      <left style="thin">
        <color auto="1"/>
      </left>
      <right style="thin">
        <color auto="1"/>
      </right>
      <top style="medium">
        <color auto="1"/>
      </top>
      <bottom style="thin">
        <color auto="1"/>
      </bottom>
      <diagonal style="none"/>
    </border>
    <border>
      <left style="none"/>
      <right style="none"/>
      <top style="medium">
        <color auto="1"/>
      </top>
      <bottom style="none"/>
      <diagonal style="none"/>
    </border>
    <border>
      <left style="none"/>
      <right style="medium">
        <color auto="1"/>
      </right>
      <top style="medium">
        <color auto="1"/>
      </top>
      <bottom style="none"/>
      <diagonal style="none"/>
    </border>
    <border>
      <left style="medium">
        <color auto="1"/>
      </left>
      <right style="none"/>
      <top style="none"/>
      <bottom style="none"/>
      <diagonal style="none"/>
    </border>
    <border>
      <left style="none"/>
      <right style="medium">
        <color auto="1"/>
      </right>
      <top style="none"/>
      <bottom style="none"/>
      <diagonal style="none"/>
    </border>
    <border>
      <left style="none"/>
      <right style="medium">
        <color auto="1"/>
      </right>
      <top style="thin">
        <color auto="1"/>
      </top>
      <bottom style="thin">
        <color auto="1"/>
      </bottom>
      <diagonal style="none"/>
    </border>
    <border>
      <left style="medium">
        <color auto="1"/>
      </left>
      <right style="thin">
        <color auto="1"/>
      </right>
      <top style="thin">
        <color auto="1"/>
      </top>
      <bottom style="medium">
        <color auto="1"/>
      </bottom>
      <diagonal style="none"/>
    </border>
    <border>
      <left style="none"/>
      <right style="none"/>
      <top style="none"/>
      <bottom style="medium">
        <color auto="1"/>
      </bottom>
      <diagonal style="none"/>
    </border>
    <border>
      <left style="none"/>
      <right style="medium">
        <color auto="1"/>
      </right>
      <top style="none"/>
      <bottom style="medium">
        <color auto="1"/>
      </bottom>
      <diagonal style="none"/>
    </border>
    <border>
      <left style="medium">
        <color theme="1"/>
      </left>
      <right style="none"/>
      <top style="none"/>
      <bottom style="none"/>
      <diagonal style="none"/>
    </border>
    <border>
      <left style="none"/>
      <right style="medium">
        <color theme="1"/>
      </right>
      <top style="none"/>
      <bottom style="none"/>
      <diagonal style="none"/>
    </border>
    <border>
      <left style="thin">
        <color theme="1"/>
      </left>
      <right style="medium">
        <color theme="1"/>
      </right>
      <top style="none"/>
      <bottom style="none"/>
      <diagonal style="none"/>
    </border>
    <border>
      <left style="medium">
        <color theme="1"/>
      </left>
      <right style="thin">
        <color theme="1"/>
      </right>
      <top style="thin">
        <color theme="1"/>
      </top>
      <bottom style="medium">
        <color theme="1"/>
      </bottom>
      <diagonal style="none"/>
    </border>
    <border>
      <left style="thin">
        <color theme="1"/>
      </left>
      <right style="thin">
        <color theme="1"/>
      </right>
      <top style="thin">
        <color theme="1"/>
      </top>
      <bottom style="medium">
        <color theme="1"/>
      </bottom>
      <diagonal style="none"/>
    </border>
    <border>
      <left style="thin">
        <color theme="1"/>
      </left>
      <right style="medium">
        <color theme="1"/>
      </right>
      <top style="thin">
        <color theme="1"/>
      </top>
      <bottom style="medium">
        <color theme="1"/>
      </bottom>
      <diagonal style="none"/>
    </border>
    <border>
      <left style="thin">
        <color theme="1"/>
      </left>
      <right style="none"/>
      <top style="thin">
        <color theme="1"/>
      </top>
      <bottom style="thin">
        <color theme="1"/>
      </bottom>
      <diagonal style="none"/>
    </border>
    <border>
      <left style="medium">
        <color theme="1"/>
      </left>
      <right style="thin">
        <color auto="1"/>
      </right>
      <top style="medium">
        <color theme="1"/>
      </top>
      <bottom style="thin">
        <color auto="1"/>
      </bottom>
      <diagonal style="none"/>
    </border>
    <border>
      <left style="thin">
        <color auto="1"/>
      </left>
      <right style="thin">
        <color auto="1"/>
      </right>
      <top style="medium">
        <color theme="1"/>
      </top>
      <bottom style="thin">
        <color auto="1"/>
      </bottom>
      <diagonal style="none"/>
    </border>
    <border>
      <left style="thin">
        <color auto="1"/>
      </left>
      <right style="medium">
        <color theme="1"/>
      </right>
      <top style="medium">
        <color theme="1"/>
      </top>
      <bottom style="thin">
        <color auto="1"/>
      </bottom>
      <diagonal style="none"/>
    </border>
    <border>
      <left style="thin">
        <color theme="1"/>
      </left>
      <right style="thin">
        <color theme="1"/>
      </right>
      <top style="thin">
        <color theme="1"/>
      </top>
      <bottom style="none"/>
      <diagonal style="none"/>
    </border>
    <border>
      <left style="thin">
        <color theme="1"/>
      </left>
      <right style="none"/>
      <top style="thin">
        <color theme="1"/>
      </top>
      <bottom style="none"/>
      <diagonal style="none"/>
    </border>
    <border>
      <left style="medium">
        <color theme="1"/>
      </left>
      <right style="thin">
        <color theme="1"/>
      </right>
      <top style="none"/>
      <bottom style="none"/>
      <diagonal style="none"/>
    </border>
    <border>
      <left style="thin">
        <color auto="1"/>
      </left>
      <right style="thin">
        <color theme="1"/>
      </right>
      <top style="thin">
        <color auto="1"/>
      </top>
      <bottom style="thin">
        <color auto="1"/>
      </bottom>
      <diagonal style="none"/>
    </border>
    <border>
      <left style="thin">
        <color theme="1"/>
      </left>
      <right style="thin">
        <color theme="1"/>
      </right>
      <top style="thin">
        <color theme="1"/>
      </top>
      <bottom style="thin">
        <color auto="1"/>
      </bottom>
      <diagonal style="none"/>
    </border>
    <border>
      <left style="thin">
        <color theme="1"/>
      </left>
      <right style="none"/>
      <top style="thin">
        <color theme="1"/>
      </top>
      <bottom style="thin">
        <color auto="1"/>
      </bottom>
      <diagonal style="none"/>
    </border>
    <border>
      <left style="none"/>
      <right style="thin">
        <color theme="1"/>
      </right>
      <top style="thin">
        <color theme="1"/>
      </top>
      <bottom style="none"/>
      <diagonal style="none"/>
    </border>
    <border>
      <left style="thin">
        <color theme="1"/>
      </left>
      <right style="none"/>
      <top style="none"/>
      <bottom style="thin">
        <color theme="1"/>
      </bottom>
      <diagonal style="none"/>
    </border>
    <border>
      <left style="none"/>
      <right style="thin">
        <color theme="1"/>
      </right>
      <top style="none"/>
      <bottom style="thin">
        <color theme="1"/>
      </bottom>
      <diagonal style="none"/>
    </border>
    <border>
      <left style="none"/>
      <right style="none"/>
      <top style="thin">
        <color theme="1"/>
      </top>
      <bottom style="none"/>
      <diagonal style="none"/>
    </border>
    <border>
      <left style="none"/>
      <right style="none"/>
      <top style="none"/>
      <bottom style="thin">
        <color theme="1"/>
      </bottom>
      <diagonal style="none"/>
    </border>
  </borders>
  <cellStyleXfs count="1">
    <xf fontId="0" fillId="0" borderId="0" numFmtId="0" applyNumberFormat="1" applyFont="1" applyFill="1" applyBorder="1"/>
  </cellStyleXfs>
  <cellXfs count="305">
    <xf fontId="0" fillId="0" borderId="0" numFmtId="0" xfId="0"/>
    <xf fontId="0" fillId="2" borderId="1" numFmtId="0" xfId="0" applyFill="1" applyBorder="1"/>
    <xf fontId="0" fillId="3" borderId="1" numFmtId="14" xfId="0" applyNumberFormat="1" applyFill="1" applyBorder="1"/>
    <xf fontId="0" fillId="3" borderId="1" numFmtId="0" xfId="0" applyFill="1" applyBorder="1"/>
    <xf fontId="0" fillId="0" borderId="1" numFmtId="14" xfId="0" applyNumberFormat="1" applyBorder="1"/>
    <xf fontId="0" fillId="0" borderId="1" numFmtId="0" xfId="0" applyBorder="1"/>
    <xf fontId="0" fillId="4" borderId="1" numFmtId="0" xfId="0" applyFill="1" applyBorder="1"/>
    <xf fontId="0" fillId="5" borderId="1" numFmtId="0" xfId="0" applyFill="1" applyBorder="1"/>
    <xf fontId="0" fillId="6" borderId="1" numFmtId="0" xfId="0" applyFill="1" applyBorder="1"/>
    <xf fontId="0" fillId="6" borderId="0" numFmtId="0" xfId="0" applyFill="1"/>
    <xf fontId="1" fillId="2" borderId="1" numFmtId="0" xfId="0" applyFont="1" applyFill="1" applyBorder="1"/>
    <xf fontId="1" fillId="3" borderId="1" numFmtId="14" xfId="0" applyNumberFormat="1" applyFont="1" applyFill="1" applyBorder="1"/>
    <xf fontId="2" fillId="3" borderId="0" numFmtId="4" xfId="0" applyNumberFormat="1" applyFont="1" applyFill="1"/>
    <xf fontId="0" fillId="7" borderId="0" numFmtId="0" xfId="0" applyFill="1"/>
    <xf fontId="0" fillId="8" borderId="1" numFmtId="0" xfId="0" applyFill="1" applyBorder="1"/>
    <xf fontId="2" fillId="8" borderId="0" numFmtId="4" xfId="0" applyNumberFormat="1" applyFont="1" applyFill="1"/>
    <xf fontId="1" fillId="8" borderId="1" numFmtId="14" xfId="0" applyNumberFormat="1" applyFont="1" applyFill="1" applyBorder="1"/>
    <xf fontId="0" fillId="9" borderId="1" numFmtId="0" xfId="0" applyFill="1" applyBorder="1"/>
    <xf fontId="0" fillId="8" borderId="2" numFmtId="0" xfId="0" applyFill="1" applyBorder="1"/>
    <xf fontId="0" fillId="8" borderId="3" numFmtId="0" xfId="0" applyFill="1" applyBorder="1"/>
    <xf fontId="0" fillId="3" borderId="2" numFmtId="0" xfId="0" applyFill="1" applyBorder="1"/>
    <xf fontId="3" fillId="10" borderId="0" numFmtId="0" xfId="0" applyFont="1" applyFill="1"/>
    <xf fontId="0" fillId="10" borderId="1" numFmtId="0" xfId="0" applyFill="1" applyBorder="1"/>
    <xf fontId="0" fillId="0" borderId="4" numFmtId="0" xfId="0" applyBorder="1"/>
    <xf fontId="0" fillId="11" borderId="4" numFmtId="0" xfId="0" applyFill="1" applyBorder="1"/>
    <xf fontId="1" fillId="3" borderId="5" numFmtId="14" xfId="0" applyNumberFormat="1" applyFont="1" applyFill="1" applyBorder="1"/>
    <xf fontId="0" fillId="0" borderId="2" numFmtId="0" xfId="0" applyBorder="1"/>
    <xf fontId="0" fillId="11" borderId="2" numFmtId="0" xfId="0" applyFill="1" applyBorder="1"/>
    <xf fontId="0" fillId="11" borderId="1" numFmtId="0" xfId="0" applyFill="1" applyBorder="1"/>
    <xf fontId="0" fillId="0" borderId="3" numFmtId="0" xfId="0" applyBorder="1"/>
    <xf fontId="0" fillId="11" borderId="3" numFmtId="0" xfId="0" applyFill="1" applyBorder="1"/>
    <xf fontId="0" fillId="0" borderId="0" numFmtId="0" xfId="0"/>
    <xf fontId="0" fillId="4" borderId="0" numFmtId="0" xfId="0" applyFill="1"/>
    <xf fontId="3" fillId="7" borderId="0" numFmtId="0" xfId="0" applyFont="1" applyFill="1"/>
    <xf fontId="4" fillId="8" borderId="1" numFmtId="0" xfId="0" applyFont="1" applyFill="1" applyBorder="1"/>
    <xf fontId="4" fillId="0" borderId="1" numFmtId="0" xfId="0" applyFont="1" applyBorder="1"/>
    <xf fontId="0" fillId="12" borderId="1" numFmtId="0" xfId="0" applyFill="1" applyBorder="1"/>
    <xf fontId="0" fillId="8" borderId="6" numFmtId="0" xfId="0" applyFill="1" applyBorder="1"/>
    <xf fontId="5" fillId="8" borderId="0" numFmtId="4" xfId="0" applyNumberFormat="1" applyFont="1" applyFill="1"/>
    <xf fontId="1" fillId="2" borderId="1" numFmtId="0" xfId="0" applyFont="1" applyFill="1" applyBorder="1" applyAlignment="1">
      <alignment horizontal="center" wrapText="1"/>
    </xf>
    <xf fontId="0" fillId="2" borderId="1" numFmtId="0" xfId="0" applyFill="1" applyBorder="1" applyAlignment="1">
      <alignment horizontal="center" wrapText="1"/>
    </xf>
    <xf fontId="0" fillId="0" borderId="5" numFmtId="0" xfId="0" applyBorder="1"/>
    <xf fontId="0" fillId="0" borderId="7" numFmtId="0" xfId="0" applyBorder="1"/>
    <xf fontId="0" fillId="6" borderId="8" numFmtId="0" xfId="0" applyFill="1" applyBorder="1"/>
    <xf fontId="0" fillId="6" borderId="9" numFmtId="0" xfId="0" applyFill="1" applyBorder="1"/>
    <xf fontId="0" fillId="2" borderId="5" numFmtId="0" xfId="0" applyFill="1" applyBorder="1"/>
    <xf fontId="0" fillId="8" borderId="5" numFmtId="0" xfId="0" applyFill="1" applyBorder="1"/>
    <xf fontId="0" fillId="5" borderId="5" numFmtId="0" xfId="0" applyFill="1" applyBorder="1"/>
    <xf fontId="3" fillId="11" borderId="1" numFmtId="0" xfId="0" applyFont="1" applyFill="1" applyBorder="1"/>
    <xf fontId="0" fillId="0" borderId="0" numFmtId="0" xfId="0" applyAlignment="1">
      <alignment horizontal="center"/>
    </xf>
    <xf fontId="6" fillId="0" borderId="0" numFmtId="0" xfId="0" applyFont="1" applyAlignment="1" quotePrefix="1">
      <alignment wrapText="1"/>
    </xf>
    <xf fontId="1" fillId="2" borderId="1" numFmtId="0" xfId="0" applyFont="1" applyFill="1" applyBorder="1" applyAlignment="1">
      <alignment horizontal="center" vertical="top"/>
    </xf>
    <xf fontId="0" fillId="13" borderId="0" numFmtId="0" xfId="0" applyFill="1"/>
    <xf fontId="0" fillId="10" borderId="0" numFmtId="0" xfId="0" applyFill="1"/>
    <xf fontId="0" fillId="11" borderId="6" numFmtId="0" xfId="0" applyFill="1" applyBorder="1"/>
    <xf fontId="0" fillId="10" borderId="5" numFmtId="0" xfId="0" applyFill="1" applyBorder="1"/>
    <xf fontId="0" fillId="13" borderId="1" numFmtId="0" xfId="0" applyFill="1" applyBorder="1"/>
    <xf fontId="0" fillId="14" borderId="1" numFmtId="0" xfId="0" applyFill="1" applyBorder="1"/>
    <xf fontId="6" fillId="0" borderId="0" numFmtId="0" xfId="0" applyFont="1" applyAlignment="1">
      <alignment wrapText="1"/>
    </xf>
    <xf fontId="3" fillId="8" borderId="0" numFmtId="4" xfId="0" applyNumberFormat="1" applyFont="1" applyFill="1"/>
    <xf fontId="1" fillId="2" borderId="5" numFmtId="0" xfId="0" applyFont="1" applyFill="1" applyBorder="1" applyAlignment="1">
      <alignment horizontal="center" vertical="top"/>
    </xf>
    <xf fontId="1" fillId="2" borderId="7" numFmtId="0" xfId="0" applyFont="1" applyFill="1" applyBorder="1" applyAlignment="1">
      <alignment horizontal="center" vertical="top"/>
    </xf>
    <xf fontId="0" fillId="8" borderId="7" numFmtId="0" xfId="0" applyFill="1" applyBorder="1"/>
    <xf fontId="0" fillId="8" borderId="4" numFmtId="0" xfId="0" applyFill="1" applyBorder="1"/>
    <xf fontId="0" fillId="12" borderId="4" numFmtId="0" xfId="0" applyFill="1" applyBorder="1"/>
    <xf fontId="1" fillId="14" borderId="1" numFmtId="0" xfId="0" applyFont="1" applyFill="1" applyBorder="1"/>
    <xf fontId="3" fillId="10" borderId="1" numFmtId="0" xfId="0" applyFont="1" applyFill="1" applyBorder="1"/>
    <xf fontId="0" fillId="0" borderId="8" numFmtId="0" xfId="0" applyBorder="1"/>
    <xf fontId="0" fillId="0" borderId="6" numFmtId="0" xfId="0" applyBorder="1"/>
    <xf fontId="3" fillId="0" borderId="1" numFmtId="0" xfId="0" applyFont="1" applyBorder="1"/>
    <xf fontId="0" fillId="10" borderId="7" numFmtId="0" xfId="0" applyFill="1" applyBorder="1"/>
    <xf fontId="6" fillId="0" borderId="1" numFmtId="0" xfId="0" applyFont="1" applyBorder="1" applyAlignment="1">
      <alignment wrapText="1"/>
    </xf>
    <xf fontId="3" fillId="8" borderId="7" numFmtId="4" xfId="0" applyNumberFormat="1" applyFont="1" applyFill="1" applyBorder="1"/>
    <xf fontId="0" fillId="13" borderId="9" numFmtId="0" xfId="0" applyFill="1" applyBorder="1"/>
    <xf fontId="0" fillId="5" borderId="4" numFmtId="0" xfId="0" applyFill="1" applyBorder="1"/>
    <xf fontId="1" fillId="5" borderId="4" numFmtId="0" xfId="0" applyFont="1" applyFill="1" applyBorder="1"/>
    <xf fontId="1" fillId="2" borderId="2" numFmtId="0" xfId="0" applyFont="1" applyFill="1" applyBorder="1"/>
    <xf fontId="1" fillId="14" borderId="2" numFmtId="0" xfId="0" applyFont="1" applyFill="1" applyBorder="1"/>
    <xf fontId="0" fillId="14" borderId="2" numFmtId="0" xfId="0" applyFill="1" applyBorder="1"/>
    <xf fontId="3" fillId="8" borderId="1" numFmtId="4" xfId="0" applyNumberFormat="1" applyFont="1" applyFill="1" applyBorder="1"/>
    <xf fontId="3" fillId="8" borderId="1" numFmtId="0" xfId="0" applyFont="1" applyFill="1" applyBorder="1"/>
    <xf fontId="6" fillId="0" borderId="1" numFmtId="0" xfId="0" applyFont="1" applyBorder="1" applyAlignment="1" quotePrefix="1">
      <alignment wrapText="1"/>
    </xf>
    <xf fontId="1" fillId="15" borderId="1" numFmtId="0" xfId="0" applyFont="1" applyFill="1" applyBorder="1"/>
    <xf fontId="1" fillId="15" borderId="1" numFmtId="0" xfId="0" applyFont="1" applyFill="1" applyBorder="1" applyAlignment="1">
      <alignment horizontal="center" vertical="top"/>
    </xf>
    <xf fontId="0" fillId="16" borderId="0" numFmtId="0" xfId="0" applyFill="1"/>
    <xf fontId="1" fillId="15" borderId="2" numFmtId="0" xfId="0" applyFont="1" applyFill="1" applyBorder="1"/>
    <xf fontId="0" fillId="15" borderId="2" numFmtId="0" xfId="0" applyFill="1" applyBorder="1"/>
    <xf fontId="0" fillId="0" borderId="10" numFmtId="0" xfId="0" applyBorder="1"/>
    <xf fontId="0" fillId="0" borderId="11" numFmtId="0" xfId="0" applyBorder="1"/>
    <xf fontId="0" fillId="0" borderId="9" numFmtId="0" xfId="0" applyBorder="1"/>
    <xf fontId="0" fillId="17" borderId="1" numFmtId="0" xfId="0" applyFill="1" applyBorder="1"/>
    <xf fontId="0" fillId="18" borderId="1" numFmtId="0" xfId="0" applyFill="1" applyBorder="1"/>
    <xf fontId="0" fillId="19" borderId="1" numFmtId="0" xfId="0" applyFill="1" applyBorder="1"/>
    <xf fontId="0" fillId="20" borderId="1" numFmtId="0" xfId="0" applyFill="1" applyBorder="1"/>
    <xf fontId="1" fillId="21" borderId="1" numFmtId="14" xfId="0" applyNumberFormat="1" applyFont="1" applyFill="1" applyBorder="1"/>
    <xf fontId="1" fillId="15" borderId="1" numFmtId="0" xfId="0" applyFont="1" applyFill="1" applyBorder="1" applyAlignment="1">
      <alignment horizontal="center"/>
    </xf>
    <xf fontId="1" fillId="22" borderId="1" numFmtId="14" xfId="0" applyNumberFormat="1" applyFont="1" applyFill="1" applyBorder="1"/>
    <xf fontId="0" fillId="23" borderId="1" numFmtId="0" xfId="0" applyFill="1" applyBorder="1"/>
    <xf fontId="1" fillId="15" borderId="2" numFmtId="0" xfId="0" applyFont="1" applyFill="1" applyBorder="1" applyAlignment="1">
      <alignment horizontal="center"/>
    </xf>
    <xf fontId="0" fillId="15" borderId="2" numFmtId="0" xfId="0" applyFill="1" applyBorder="1" applyAlignment="1">
      <alignment horizontal="center"/>
    </xf>
    <xf fontId="1" fillId="24" borderId="1" numFmtId="0" xfId="0" applyFont="1" applyFill="1" applyBorder="1" applyAlignment="1">
      <alignment horizontal="center" vertical="center"/>
    </xf>
    <xf fontId="1" fillId="24" borderId="1" numFmtId="0" xfId="0" applyFont="1" applyFill="1" applyBorder="1" applyAlignment="1">
      <alignment horizontal="center" vertical="center" wrapText="1"/>
    </xf>
    <xf fontId="1" fillId="24" borderId="1" numFmtId="0" xfId="0" applyFont="1" applyFill="1" applyBorder="1" applyAlignment="1">
      <alignment horizontal="center" vertical="top"/>
    </xf>
    <xf fontId="1" fillId="3" borderId="1" numFmtId="160" xfId="0" applyNumberFormat="1" applyFont="1" applyFill="1" applyBorder="1"/>
    <xf fontId="0" fillId="10" borderId="4" numFmtId="0" xfId="0" applyFill="1" applyBorder="1"/>
    <xf fontId="1" fillId="5" borderId="12" numFmtId="0" xfId="0" applyFont="1" applyFill="1" applyBorder="1"/>
    <xf fontId="1" fillId="5" borderId="13" numFmtId="0" xfId="0" applyFont="1" applyFill="1" applyBorder="1"/>
    <xf fontId="1" fillId="0" borderId="0" numFmtId="0" xfId="0" applyFont="1"/>
    <xf fontId="1" fillId="16" borderId="13" numFmtId="0" xfId="0" applyFont="1" applyFill="1" applyBorder="1"/>
    <xf fontId="0" fillId="16" borderId="13" numFmtId="1" xfId="0" applyNumberFormat="1" applyFill="1" applyBorder="1"/>
    <xf fontId="0" fillId="16" borderId="13" numFmtId="0" xfId="0" applyFill="1" applyBorder="1"/>
    <xf fontId="1" fillId="24" borderId="2" numFmtId="0" xfId="0" applyFont="1" applyFill="1" applyBorder="1" applyAlignment="1">
      <alignment horizontal="center" vertical="center"/>
    </xf>
    <xf fontId="0" fillId="24" borderId="2" numFmtId="0" xfId="0" applyFill="1" applyBorder="1" applyAlignment="1">
      <alignment horizontal="center" vertical="center"/>
    </xf>
    <xf fontId="1" fillId="5" borderId="14" numFmtId="0" xfId="0" applyFont="1" applyFill="1" applyBorder="1"/>
    <xf fontId="1" fillId="5" borderId="4" numFmtId="1" xfId="0" applyNumberFormat="1" applyFont="1" applyFill="1" applyBorder="1"/>
    <xf fontId="0" fillId="25" borderId="13" numFmtId="1" xfId="0" applyNumberFormat="1" applyFill="1" applyBorder="1"/>
    <xf fontId="0" fillId="0" borderId="10" numFmtId="0" xfId="0" applyBorder="1">
      <protection hidden="0" locked="1"/>
    </xf>
    <xf fontId="0" fillId="25" borderId="13" numFmtId="1" xfId="0" applyNumberFormat="1" applyFill="1" applyBorder="1">
      <protection hidden="0" locked="1"/>
    </xf>
    <xf fontId="7" fillId="0" borderId="1" numFmtId="0" xfId="0" applyFont="1" applyBorder="1" applyAlignment="1">
      <alignment wrapText="1"/>
    </xf>
    <xf fontId="8" fillId="0" borderId="0" numFmtId="0" xfId="0" applyFont="1" applyAlignment="1">
      <alignment horizontal="left"/>
    </xf>
    <xf fontId="0" fillId="25" borderId="13" numFmtId="161" xfId="0" applyNumberFormat="1" applyFill="1" applyBorder="1">
      <protection hidden="0" locked="1"/>
    </xf>
    <xf fontId="1" fillId="24" borderId="15" numFmtId="0" xfId="0" applyFont="1" applyFill="1" applyBorder="1" applyAlignment="1">
      <alignment horizontal="center" vertical="center"/>
    </xf>
    <xf fontId="0" fillId="24" borderId="15" numFmtId="0" xfId="0" applyFill="1" applyBorder="1" applyAlignment="1">
      <alignment horizontal="center" vertical="center"/>
    </xf>
    <xf fontId="0" fillId="0" borderId="15" numFmtId="0" xfId="0" applyBorder="1"/>
    <xf fontId="1" fillId="0" borderId="10" numFmtId="0" xfId="0" applyFont="1" applyBorder="1"/>
    <xf fontId="1" fillId="0" borderId="16" numFmtId="0" xfId="0" applyFont="1" applyBorder="1"/>
    <xf fontId="0" fillId="0" borderId="0" numFmtId="0" xfId="0">
      <protection hidden="0" locked="1"/>
    </xf>
    <xf fontId="0" fillId="0" borderId="11" numFmtId="0" xfId="0" applyBorder="1">
      <protection hidden="0" locked="1"/>
    </xf>
    <xf fontId="0" fillId="0" borderId="17" numFmtId="0" xfId="0" applyBorder="1">
      <protection hidden="0" locked="1"/>
    </xf>
    <xf fontId="1" fillId="26" borderId="1" numFmtId="0" xfId="0" applyFont="1" applyFill="1" applyBorder="1" applyAlignment="1">
      <alignment horizontal="center"/>
    </xf>
    <xf fontId="0" fillId="26" borderId="5" numFmtId="0" xfId="0" applyFill="1" applyBorder="1" applyAlignment="1">
      <alignment horizontal="center"/>
    </xf>
    <xf fontId="0" fillId="26" borderId="13" numFmtId="0" xfId="0" applyFill="1" applyBorder="1" applyAlignment="1">
      <alignment horizontal="center"/>
    </xf>
    <xf fontId="0" fillId="26" borderId="7" numFmtId="0" xfId="0" applyFill="1" applyBorder="1" applyAlignment="1">
      <alignment horizontal="center"/>
    </xf>
    <xf fontId="1" fillId="24" borderId="1" numFmtId="0" xfId="0" applyFont="1" applyFill="1" applyBorder="1" applyAlignment="1">
      <alignment horizontal="center"/>
    </xf>
    <xf fontId="1" fillId="24" borderId="5" numFmtId="0" xfId="0" applyFont="1" applyFill="1" applyBorder="1" applyAlignment="1">
      <alignment horizontal="center"/>
    </xf>
    <xf fontId="1" fillId="24" borderId="18" numFmtId="0" xfId="0" applyFont="1" applyFill="1" applyBorder="1" applyAlignment="1">
      <alignment horizontal="center"/>
    </xf>
    <xf fontId="1" fillId="24" borderId="7" numFmtId="0" xfId="0" applyFont="1" applyFill="1" applyBorder="1" applyAlignment="1">
      <alignment horizontal="center"/>
    </xf>
    <xf fontId="0" fillId="27" borderId="0" numFmtId="0" xfId="0" applyFill="1"/>
    <xf fontId="0" fillId="28" borderId="1" numFmtId="0" xfId="0" applyFill="1" applyBorder="1"/>
    <xf fontId="0" fillId="28" borderId="1" numFmtId="1" xfId="0" applyNumberFormat="1" applyFill="1" applyBorder="1"/>
    <xf fontId="0" fillId="28" borderId="2" numFmtId="1" xfId="0" applyNumberFormat="1" applyFill="1" applyBorder="1"/>
    <xf fontId="0" fillId="29" borderId="2" numFmtId="1" xfId="0" applyNumberFormat="1" applyFill="1" applyBorder="1"/>
    <xf fontId="0" fillId="5" borderId="17" numFmtId="0" xfId="0" applyFill="1" applyBorder="1"/>
    <xf fontId="0" fillId="5" borderId="19" numFmtId="0" xfId="0" applyFill="1" applyBorder="1"/>
    <xf fontId="0" fillId="5" borderId="16" numFmtId="0" xfId="0" applyFill="1" applyBorder="1"/>
    <xf fontId="0" fillId="30" borderId="1" numFmtId="0" xfId="0" applyFill="1" applyBorder="1"/>
    <xf fontId="0" fillId="30" borderId="1" numFmtId="1" xfId="0" applyNumberFormat="1" applyFill="1" applyBorder="1"/>
    <xf fontId="0" fillId="31" borderId="1" numFmtId="1" xfId="0" applyNumberFormat="1" applyFill="1" applyBorder="1"/>
    <xf fontId="0" fillId="29" borderId="1" numFmtId="1" xfId="0" applyNumberFormat="1" applyFill="1" applyBorder="1"/>
    <xf fontId="0" fillId="30" borderId="0" numFmtId="1" xfId="0" applyNumberFormat="1" applyFill="1"/>
    <xf fontId="0" fillId="5" borderId="17" numFmtId="1" xfId="0" applyNumberFormat="1" applyFill="1" applyBorder="1"/>
    <xf fontId="0" fillId="5" borderId="19" numFmtId="1" xfId="0" applyNumberFormat="1" applyFill="1" applyBorder="1"/>
    <xf fontId="0" fillId="28" borderId="1" numFmtId="3" xfId="0" applyNumberFormat="1" applyFill="1" applyBorder="1"/>
    <xf fontId="0" fillId="5" borderId="17" numFmtId="3" xfId="0" applyNumberFormat="1" applyFill="1" applyBorder="1"/>
    <xf fontId="0" fillId="5" borderId="19" numFmtId="3" xfId="0" applyNumberFormat="1" applyFill="1" applyBorder="1"/>
    <xf fontId="0" fillId="28" borderId="5" numFmtId="1" xfId="0" applyNumberFormat="1" applyFill="1" applyBorder="1"/>
    <xf fontId="0" fillId="5" borderId="13" numFmtId="1" xfId="0" applyNumberFormat="1" applyFill="1" applyBorder="1"/>
    <xf fontId="0" fillId="5" borderId="13" numFmtId="0" xfId="0" applyFill="1" applyBorder="1"/>
    <xf fontId="0" fillId="32" borderId="1" numFmtId="0" xfId="0" applyFill="1" applyBorder="1"/>
    <xf fontId="0" fillId="32" borderId="1" numFmtId="1" xfId="0" applyNumberFormat="1" applyFill="1" applyBorder="1"/>
    <xf fontId="0" fillId="32" borderId="2" numFmtId="1" xfId="0" applyNumberFormat="1" applyFill="1" applyBorder="1"/>
    <xf fontId="0" fillId="32" borderId="2" numFmtId="0" xfId="0" applyFill="1" applyBorder="1"/>
    <xf fontId="0" fillId="32" borderId="20" numFmtId="1" xfId="0" applyNumberFormat="1" applyFill="1" applyBorder="1"/>
    <xf fontId="0" fillId="32" borderId="13" numFmtId="0" xfId="0" applyFill="1" applyBorder="1"/>
    <xf fontId="1" fillId="24" borderId="21" numFmtId="0" xfId="0" applyFont="1" applyFill="1" applyBorder="1"/>
    <xf fontId="1" fillId="24" borderId="22" numFmtId="0" xfId="0" applyFont="1" applyFill="1" applyBorder="1"/>
    <xf fontId="0" fillId="24" borderId="23" numFmtId="0" xfId="0" applyFill="1" applyBorder="1"/>
    <xf fontId="0" fillId="24" borderId="24" numFmtId="0" xfId="0" applyFill="1" applyBorder="1"/>
    <xf fontId="0" fillId="33" borderId="1" numFmtId="0" xfId="0" applyFill="1" applyBorder="1"/>
    <xf fontId="0" fillId="33" borderId="1" numFmtId="1" xfId="0" applyNumberFormat="1" applyFill="1" applyBorder="1"/>
    <xf fontId="0" fillId="33" borderId="2" numFmtId="1" xfId="0" applyNumberFormat="1" applyFill="1" applyBorder="1"/>
    <xf fontId="0" fillId="34" borderId="17" numFmtId="0" xfId="0" applyFill="1" applyBorder="1"/>
    <xf fontId="0" fillId="34" borderId="19" numFmtId="1" xfId="0" applyNumberFormat="1" applyFill="1" applyBorder="1" applyAlignment="1">
      <alignment horizontal="center"/>
    </xf>
    <xf fontId="0" fillId="34" borderId="19" numFmtId="0" xfId="0" applyFill="1" applyBorder="1" applyAlignment="1">
      <alignment horizontal="center"/>
    </xf>
    <xf fontId="0" fillId="35" borderId="19" numFmtId="0" xfId="0" applyFill="1" applyBorder="1" applyAlignment="1">
      <alignment horizontal="center"/>
    </xf>
    <xf fontId="0" fillId="35" borderId="16" numFmtId="0" xfId="0" applyFill="1" applyBorder="1" applyAlignment="1">
      <alignment horizontal="center"/>
    </xf>
    <xf fontId="0" fillId="36" borderId="25" numFmtId="1" xfId="0" applyNumberFormat="1" applyFill="1" applyBorder="1"/>
    <xf fontId="0" fillId="36" borderId="0" numFmtId="0" xfId="0" applyFill="1"/>
    <xf fontId="0" fillId="36" borderId="0" numFmtId="1" xfId="0" applyNumberFormat="1" applyFill="1"/>
    <xf fontId="0" fillId="36" borderId="26" numFmtId="0" xfId="0" applyFill="1" applyBorder="1"/>
    <xf fontId="0" fillId="0" borderId="1" numFmtId="1" xfId="0" applyNumberFormat="1" applyBorder="1"/>
    <xf fontId="0" fillId="35" borderId="17" numFmtId="0" xfId="0" applyFill="1" applyBorder="1"/>
    <xf fontId="0" fillId="35" borderId="19" numFmtId="1" xfId="0" applyNumberFormat="1" applyFill="1" applyBorder="1" applyAlignment="1">
      <alignment horizontal="center"/>
    </xf>
    <xf fontId="0" fillId="33" borderId="0" numFmtId="1" xfId="0" applyNumberFormat="1" applyFill="1"/>
    <xf fontId="0" fillId="34" borderId="17" numFmtId="1" xfId="0" applyNumberFormat="1" applyFill="1" applyBorder="1"/>
    <xf fontId="0" fillId="33" borderId="1" numFmtId="3" xfId="0" applyNumberFormat="1" applyFill="1" applyBorder="1"/>
    <xf fontId="0" fillId="34" borderId="17" numFmtId="3" xfId="0" applyNumberFormat="1" applyFill="1" applyBorder="1"/>
    <xf fontId="0" fillId="34" borderId="19" numFmtId="3" xfId="0" applyNumberFormat="1" applyFill="1" applyBorder="1" applyAlignment="1">
      <alignment horizontal="center"/>
    </xf>
    <xf fontId="0" fillId="36" borderId="1" numFmtId="1" xfId="0" applyNumberFormat="1" applyFill="1" applyBorder="1"/>
    <xf fontId="0" fillId="35" borderId="1" numFmtId="1" xfId="0" applyNumberFormat="1" applyFill="1" applyBorder="1"/>
    <xf fontId="0" fillId="35" borderId="1" numFmtId="0" xfId="0" applyFill="1" applyBorder="1"/>
    <xf fontId="0" fillId="36" borderId="25" numFmtId="0" xfId="0" applyFill="1" applyBorder="1"/>
    <xf fontId="0" fillId="37" borderId="1" numFmtId="0" xfId="0" applyFill="1" applyBorder="1"/>
    <xf fontId="0" fillId="32" borderId="1" numFmtId="1" xfId="0" applyNumberFormat="1" applyFill="1" applyBorder="1" applyAlignment="1">
      <alignment horizontal="center"/>
    </xf>
    <xf fontId="0" fillId="32" borderId="1" numFmtId="0" xfId="0" applyFill="1" applyBorder="1" applyAlignment="1">
      <alignment horizontal="center"/>
    </xf>
    <xf fontId="0" fillId="32" borderId="5" numFmtId="1" xfId="0" applyNumberFormat="1" applyFill="1" applyBorder="1" applyAlignment="1">
      <alignment horizontal="center"/>
    </xf>
    <xf fontId="0" fillId="32" borderId="18" numFmtId="0" xfId="0" applyFill="1" applyBorder="1" applyAlignment="1">
      <alignment horizontal="center"/>
    </xf>
    <xf fontId="0" fillId="32" borderId="27" numFmtId="0" xfId="0" applyFill="1" applyBorder="1" applyAlignment="1">
      <alignment horizontal="center"/>
    </xf>
    <xf fontId="0" fillId="32" borderId="28" numFmtId="1" xfId="0" applyNumberFormat="1" applyFill="1" applyBorder="1"/>
    <xf fontId="0" fillId="32" borderId="3" numFmtId="0" xfId="0" applyFill="1" applyBorder="1"/>
    <xf fontId="0" fillId="32" borderId="3" numFmtId="1" xfId="0" applyNumberFormat="1" applyFill="1" applyBorder="1"/>
    <xf fontId="0" fillId="0" borderId="29" numFmtId="0" xfId="0" applyBorder="1"/>
    <xf fontId="0" fillId="0" borderId="30" numFmtId="0" xfId="0" applyBorder="1"/>
    <xf fontId="0" fillId="27" borderId="0" numFmtId="0" xfId="0" applyFill="1" applyAlignment="1">
      <alignment horizontal="center"/>
    </xf>
    <xf fontId="1" fillId="24" borderId="13" numFmtId="0" xfId="0" applyFont="1" applyFill="1" applyBorder="1" applyAlignment="1">
      <alignment horizontal="center" vertical="top"/>
    </xf>
    <xf fontId="1" fillId="24" borderId="13" numFmtId="0" xfId="0" applyFont="1" applyFill="1" applyBorder="1"/>
    <xf fontId="0" fillId="33" borderId="20" numFmtId="1" xfId="0" applyNumberFormat="1" applyFill="1" applyBorder="1"/>
    <xf fontId="0" fillId="33" borderId="13" numFmtId="1" xfId="0" applyNumberFormat="1" applyFill="1" applyBorder="1"/>
    <xf fontId="0" fillId="34" borderId="16" numFmtId="0" xfId="0" applyFill="1" applyBorder="1" applyAlignment="1">
      <alignment horizontal="center"/>
    </xf>
    <xf fontId="0" fillId="36" borderId="31" numFmtId="1" xfId="0" applyNumberFormat="1" applyFill="1" applyBorder="1"/>
    <xf fontId="0" fillId="36" borderId="32" numFmtId="0" xfId="0" applyFill="1" applyBorder="1"/>
    <xf fontId="0" fillId="0" borderId="5" numFmtId="1" xfId="0" applyNumberFormat="1" applyBorder="1"/>
    <xf fontId="0" fillId="0" borderId="13" numFmtId="1" xfId="0" applyNumberFormat="1" applyBorder="1"/>
    <xf fontId="0" fillId="33" borderId="5" numFmtId="1" xfId="0" applyNumberFormat="1" applyFill="1" applyBorder="1"/>
    <xf fontId="0" fillId="33" borderId="13" numFmtId="3" xfId="0" applyNumberFormat="1" applyFill="1" applyBorder="1"/>
    <xf fontId="0" fillId="34" borderId="16" numFmtId="3" xfId="0" applyNumberFormat="1" applyFill="1" applyBorder="1" applyAlignment="1">
      <alignment horizontal="center"/>
    </xf>
    <xf fontId="0" fillId="0" borderId="13" numFmtId="3" xfId="0" applyNumberFormat="1" applyBorder="1"/>
    <xf fontId="0" fillId="35" borderId="17" numFmtId="3" xfId="0" applyNumberFormat="1" applyFill="1" applyBorder="1"/>
    <xf fontId="0" fillId="35" borderId="19" numFmtId="3" xfId="0" applyNumberFormat="1" applyFill="1" applyBorder="1" applyAlignment="1">
      <alignment horizontal="center"/>
    </xf>
    <xf fontId="0" fillId="35" borderId="16" numFmtId="3" xfId="0" applyNumberFormat="1" applyFill="1" applyBorder="1" applyAlignment="1">
      <alignment horizontal="center"/>
    </xf>
    <xf fontId="0" fillId="35" borderId="19" numFmtId="0" xfId="0" applyFill="1" applyBorder="1"/>
    <xf fontId="0" fillId="35" borderId="33" numFmtId="0" xfId="0" applyFill="1" applyBorder="1" applyAlignment="1">
      <alignment horizontal="center"/>
    </xf>
    <xf fontId="0" fillId="34" borderId="7" numFmtId="1" xfId="0" applyNumberFormat="1" applyFill="1" applyBorder="1"/>
    <xf fontId="0" fillId="34" borderId="1" numFmtId="1" xfId="0" applyNumberFormat="1" applyFill="1" applyBorder="1" applyAlignment="1">
      <alignment horizontal="center"/>
    </xf>
    <xf fontId="0" fillId="34" borderId="1" numFmtId="0" xfId="0" applyFill="1" applyBorder="1" applyAlignment="1">
      <alignment horizontal="center"/>
    </xf>
    <xf fontId="0" fillId="34" borderId="5" numFmtId="0" xfId="0" applyFill="1" applyBorder="1" applyAlignment="1">
      <alignment horizontal="center"/>
    </xf>
    <xf fontId="0" fillId="36" borderId="31" numFmtId="0" xfId="0" applyFill="1" applyBorder="1"/>
    <xf fontId="0" fillId="37" borderId="1" numFmtId="1" xfId="0" applyNumberFormat="1" applyFill="1" applyBorder="1"/>
    <xf fontId="0" fillId="37" borderId="5" numFmtId="1" xfId="0" applyNumberFormat="1" applyFill="1" applyBorder="1"/>
    <xf fontId="0" fillId="37" borderId="13" numFmtId="1" xfId="0" applyNumberFormat="1" applyFill="1" applyBorder="1"/>
    <xf fontId="0" fillId="37" borderId="7" numFmtId="0" xfId="0" applyFill="1" applyBorder="1"/>
    <xf fontId="0" fillId="37" borderId="1" numFmtId="1" xfId="0" applyNumberFormat="1" applyFill="1" applyBorder="1" applyAlignment="1">
      <alignment horizontal="center"/>
    </xf>
    <xf fontId="0" fillId="37" borderId="1" numFmtId="0" xfId="0" applyFill="1" applyBorder="1" applyAlignment="1">
      <alignment horizontal="center"/>
    </xf>
    <xf fontId="0" fillId="37" borderId="5" numFmtId="0" xfId="0" applyFill="1" applyBorder="1" applyAlignment="1">
      <alignment horizontal="center"/>
    </xf>
    <xf fontId="0" fillId="38" borderId="34" numFmtId="1" xfId="0" applyNumberFormat="1" applyFill="1" applyBorder="1"/>
    <xf fontId="0" fillId="38" borderId="35" numFmtId="0" xfId="0" applyFill="1" applyBorder="1"/>
    <xf fontId="0" fillId="38" borderId="35" numFmtId="1" xfId="0" applyNumberFormat="1" applyFill="1" applyBorder="1"/>
    <xf fontId="0" fillId="38" borderId="36" numFmtId="0" xfId="0" applyFill="1" applyBorder="1"/>
    <xf fontId="1" fillId="31" borderId="13" numFmtId="0" xfId="0" applyFont="1" applyFill="1" applyBorder="1" applyAlignment="1">
      <alignment horizontal="center"/>
    </xf>
    <xf fontId="1" fillId="24" borderId="37" numFmtId="0" xfId="0" applyFont="1" applyFill="1" applyBorder="1" applyAlignment="1">
      <alignment horizontal="center" vertical="top"/>
    </xf>
    <xf fontId="1" fillId="24" borderId="38" numFmtId="0" xfId="0" applyFont="1" applyFill="1" applyBorder="1"/>
    <xf fontId="1" fillId="24" borderId="39" numFmtId="0" xfId="0" applyFont="1" applyFill="1" applyBorder="1"/>
    <xf fontId="1" fillId="24" borderId="40" numFmtId="0" xfId="0" applyFont="1" applyFill="1" applyBorder="1"/>
    <xf fontId="0" fillId="33" borderId="20" numFmtId="0" xfId="0" applyFill="1" applyBorder="1" applyAlignment="1">
      <alignment horizontal="left"/>
    </xf>
    <xf fontId="0" fillId="28" borderId="13" numFmtId="1" xfId="0" applyNumberFormat="1" applyFill="1" applyBorder="1" applyAlignment="1">
      <alignment horizontal="center"/>
    </xf>
    <xf fontId="0" fillId="0" borderId="13" numFmtId="1" xfId="0" applyNumberFormat="1" applyBorder="1" applyAlignment="1">
      <alignment horizontal="center"/>
    </xf>
    <xf fontId="0" fillId="35" borderId="17" numFmtId="0" xfId="0" applyFill="1" applyBorder="1" applyAlignment="1">
      <alignment horizontal="center"/>
    </xf>
    <xf fontId="0" fillId="0" borderId="5" numFmtId="0" xfId="0" applyBorder="1" applyAlignment="1">
      <alignment horizontal="left"/>
    </xf>
    <xf fontId="0" fillId="33" borderId="5" numFmtId="0" xfId="0" applyFill="1" applyBorder="1" applyAlignment="1">
      <alignment horizontal="left"/>
    </xf>
    <xf fontId="0" fillId="35" borderId="17" numFmtId="3" xfId="0" applyNumberFormat="1" applyFill="1" applyBorder="1" applyAlignment="1">
      <alignment horizontal="center"/>
    </xf>
    <xf fontId="0" fillId="35" borderId="17" numFmtId="1" xfId="0" applyNumberFormat="1" applyFill="1" applyBorder="1" applyAlignment="1">
      <alignment horizontal="center"/>
    </xf>
    <xf fontId="0" fillId="28" borderId="13" numFmtId="0" xfId="0" applyFill="1" applyBorder="1" applyAlignment="1">
      <alignment horizontal="center"/>
    </xf>
    <xf fontId="0" fillId="0" borderId="13" numFmtId="0" xfId="0" applyBorder="1" applyAlignment="1">
      <alignment horizontal="center"/>
    </xf>
    <xf fontId="0" fillId="35" borderId="16" numFmtId="1" xfId="0" applyNumberFormat="1" applyFill="1" applyBorder="1" applyAlignment="1">
      <alignment horizontal="center"/>
    </xf>
    <xf fontId="0" fillId="33" borderId="8" numFmtId="0" xfId="0" applyFill="1" applyBorder="1" applyAlignment="1">
      <alignment horizontal="left"/>
    </xf>
    <xf fontId="0" fillId="28" borderId="41" numFmtId="1" xfId="0" applyNumberFormat="1" applyFill="1" applyBorder="1" applyAlignment="1">
      <alignment horizontal="center"/>
    </xf>
    <xf fontId="0" fillId="35" borderId="42" numFmtId="1" xfId="0" applyNumberFormat="1" applyFill="1" applyBorder="1" applyAlignment="1">
      <alignment horizontal="center"/>
    </xf>
    <xf fontId="0" fillId="35" borderId="42" numFmtId="0" xfId="0" applyFill="1" applyBorder="1" applyAlignment="1">
      <alignment horizontal="center"/>
    </xf>
    <xf fontId="0" fillId="38" borderId="4" numFmtId="0" xfId="0" applyFill="1" applyBorder="1" applyAlignment="1">
      <alignment horizontal="left"/>
    </xf>
    <xf fontId="0" fillId="39" borderId="4" numFmtId="1" xfId="0" applyNumberFormat="1" applyFill="1" applyBorder="1" applyAlignment="1">
      <alignment horizontal="center"/>
    </xf>
    <xf fontId="0" fillId="39" borderId="8" numFmtId="1" xfId="0" applyNumberFormat="1" applyFill="1" applyBorder="1" applyAlignment="1">
      <alignment horizontal="center"/>
    </xf>
    <xf fontId="0" fillId="39" borderId="13" numFmtId="1" xfId="0" applyNumberFormat="1" applyFill="1" applyBorder="1" applyAlignment="1">
      <alignment horizontal="center"/>
    </xf>
    <xf fontId="0" fillId="32" borderId="7" numFmtId="1" xfId="0" applyNumberFormat="1" applyFill="1" applyBorder="1" applyAlignment="1">
      <alignment horizontal="center"/>
    </xf>
    <xf fontId="0" fillId="0" borderId="13" numFmtId="0" xfId="0" applyBorder="1" applyAlignment="1">
      <alignment horizontal="left"/>
    </xf>
    <xf fontId="0" fillId="33" borderId="13" numFmtId="0" xfId="0" applyFill="1" applyBorder="1"/>
    <xf fontId="0" fillId="28" borderId="13" numFmtId="1" xfId="0" applyNumberFormat="1" applyFill="1" applyBorder="1"/>
    <xf fontId="0" fillId="35" borderId="17" numFmtId="161" xfId="0" applyNumberFormat="1" applyFill="1" applyBorder="1" applyAlignment="1">
      <alignment horizontal="center"/>
    </xf>
    <xf fontId="0" fillId="36" borderId="43" numFmtId="1" xfId="0" applyNumberFormat="1" applyFill="1" applyBorder="1"/>
    <xf fontId="0" fillId="0" borderId="13" numFmtId="0" xfId="0" applyBorder="1"/>
    <xf fontId="0" fillId="36" borderId="43" numFmtId="0" xfId="0" applyFill="1" applyBorder="1"/>
    <xf fontId="0" fillId="36" borderId="19" numFmtId="0" xfId="0" applyFill="1" applyBorder="1"/>
    <xf fontId="0" fillId="36" borderId="33" numFmtId="0" xfId="0" applyFill="1" applyBorder="1"/>
    <xf fontId="0" fillId="28" borderId="13" numFmtId="161" xfId="0" applyNumberFormat="1" applyFill="1" applyBorder="1"/>
    <xf fontId="0" fillId="35" borderId="13" numFmtId="1" xfId="0" applyNumberFormat="1" applyFill="1" applyBorder="1" applyAlignment="1">
      <alignment horizontal="center"/>
    </xf>
    <xf fontId="0" fillId="35" borderId="13" numFmtId="0" xfId="0" applyFill="1" applyBorder="1" applyAlignment="1">
      <alignment horizontal="center"/>
    </xf>
    <xf fontId="0" fillId="38" borderId="13" numFmtId="0" xfId="0" applyFill="1" applyBorder="1"/>
    <xf fontId="0" fillId="32" borderId="13" numFmtId="1" xfId="0" applyNumberFormat="1" applyFill="1" applyBorder="1"/>
    <xf fontId="0" fillId="32" borderId="13" numFmtId="1" xfId="0" applyNumberFormat="1" applyFill="1" applyBorder="1" applyAlignment="1">
      <alignment horizontal="center"/>
    </xf>
    <xf fontId="0" fillId="32" borderId="34" numFmtId="1" xfId="0" applyNumberFormat="1" applyFill="1" applyBorder="1"/>
    <xf fontId="0" fillId="0" borderId="13" numFmtId="0" xfId="0" applyBorder="1">
      <protection hidden="0" locked="1"/>
    </xf>
    <xf fontId="0" fillId="0" borderId="13" numFmtId="2" xfId="0" applyNumberFormat="1" applyBorder="1"/>
    <xf fontId="1" fillId="31" borderId="2" numFmtId="0" xfId="0" applyFont="1" applyFill="1" applyBorder="1"/>
    <xf fontId="0" fillId="26" borderId="6" numFmtId="0" xfId="0" applyFill="1" applyBorder="1"/>
    <xf fontId="0" fillId="33" borderId="44" numFmtId="0" xfId="0" applyFill="1" applyBorder="1"/>
    <xf fontId="0" fillId="0" borderId="37" numFmtId="0" xfId="0" applyBorder="1"/>
    <xf fontId="0" fillId="0" borderId="44" numFmtId="0" xfId="0" applyBorder="1"/>
    <xf fontId="0" fillId="0" borderId="45" numFmtId="0" xfId="0" applyBorder="1"/>
    <xf fontId="0" fillId="0" borderId="46" numFmtId="0" xfId="0" applyBorder="1"/>
    <xf fontId="0" fillId="38" borderId="1" numFmtId="0" xfId="0" applyFill="1" applyBorder="1"/>
    <xf fontId="0" fillId="39" borderId="1" numFmtId="0" xfId="0" applyFill="1" applyBorder="1"/>
    <xf fontId="1" fillId="0" borderId="1" numFmtId="0" xfId="0" applyFont="1" applyBorder="1"/>
    <xf fontId="0" fillId="0" borderId="0" numFmtId="14" xfId="0" applyNumberFormat="1"/>
    <xf fontId="0" fillId="24" borderId="0" numFmtId="0" xfId="0" applyFill="1"/>
    <xf fontId="0" fillId="0" borderId="4" numFmtId="14" xfId="0" applyNumberFormat="1" applyBorder="1"/>
    <xf fontId="0" fillId="0" borderId="13" numFmtId="14" xfId="0" applyNumberFormat="1" applyBorder="1"/>
    <xf fontId="0" fillId="0" borderId="42" numFmtId="0" xfId="0" applyBorder="1"/>
    <xf fontId="0" fillId="0" borderId="47" numFmtId="0" xfId="0" applyBorder="1"/>
    <xf fontId="0" fillId="0" borderId="16" numFmtId="0" xfId="0" applyBorder="1"/>
    <xf fontId="0" fillId="0" borderId="17" numFmtId="0" xfId="0" applyBorder="1"/>
    <xf fontId="0" fillId="0" borderId="48" numFmtId="0" xfId="0" applyBorder="1"/>
    <xf fontId="0" fillId="0" borderId="49" numFmtId="0" xfId="0" applyBorder="1"/>
    <xf fontId="0" fillId="0" borderId="50" numFmtId="0" xfId="0" applyBorder="1"/>
    <xf fontId="0" fillId="40" borderId="0" numFmtId="0" xfId="0" applyFill="1"/>
    <xf fontId="0" fillId="0" borderId="51" numFmtId="0" xfId="0" applyBorder="1"/>
    <xf fontId="0" fillId="0" borderId="0" numFmtId="1" xfId="0" applyNumberFormat="1">
      <protection hidden="0" locked="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0" Type="http://schemas.openxmlformats.org/officeDocument/2006/relationships/worksheet" Target="worksheets/sheet59.xml"/><Relationship  Id="rId59" Type="http://schemas.openxmlformats.org/officeDocument/2006/relationships/worksheet" Target="worksheets/sheet58.xml"/><Relationship  Id="rId63" Type="http://schemas.openxmlformats.org/officeDocument/2006/relationships/styles" Target="styles.xml"/><Relationship  Id="rId57" Type="http://schemas.openxmlformats.org/officeDocument/2006/relationships/worksheet" Target="worksheets/sheet56.xml"/><Relationship  Id="rId56" Type="http://schemas.openxmlformats.org/officeDocument/2006/relationships/worksheet" Target="worksheets/sheet55.xml"/><Relationship  Id="rId51" Type="http://schemas.openxmlformats.org/officeDocument/2006/relationships/worksheet" Target="worksheets/sheet50.xml"/><Relationship  Id="rId55" Type="http://schemas.openxmlformats.org/officeDocument/2006/relationships/worksheet" Target="worksheets/sheet54.xml"/><Relationship  Id="rId48" Type="http://schemas.openxmlformats.org/officeDocument/2006/relationships/worksheet" Target="worksheets/sheet47.xml"/><Relationship  Id="rId47" Type="http://schemas.openxmlformats.org/officeDocument/2006/relationships/worksheet" Target="worksheets/sheet46.xml"/><Relationship  Id="rId45" Type="http://schemas.openxmlformats.org/officeDocument/2006/relationships/worksheet" Target="worksheets/sheet44.xml"/><Relationship  Id="rId44" Type="http://schemas.openxmlformats.org/officeDocument/2006/relationships/worksheet" Target="worksheets/sheet43.xml"/><Relationship  Id="rId62" Type="http://schemas.openxmlformats.org/officeDocument/2006/relationships/sharedStrings" Target="sharedStrings.xml"/><Relationship  Id="rId49" Type="http://schemas.openxmlformats.org/officeDocument/2006/relationships/worksheet" Target="worksheets/sheet48.xml"/><Relationship  Id="rId43" Type="http://schemas.openxmlformats.org/officeDocument/2006/relationships/worksheet" Target="worksheets/sheet42.xml"/><Relationship  Id="rId42" Type="http://schemas.openxmlformats.org/officeDocument/2006/relationships/worksheet" Target="worksheets/sheet41.xml"/><Relationship  Id="rId40" Type="http://schemas.openxmlformats.org/officeDocument/2006/relationships/worksheet" Target="worksheets/sheet39.xml"/><Relationship  Id="rId39" Type="http://schemas.openxmlformats.org/officeDocument/2006/relationships/worksheet" Target="worksheets/sheet38.xml"/><Relationship  Id="rId54" Type="http://schemas.openxmlformats.org/officeDocument/2006/relationships/worksheet" Target="worksheets/sheet53.xml"/><Relationship  Id="rId38" Type="http://schemas.openxmlformats.org/officeDocument/2006/relationships/worksheet" Target="worksheets/sheet37.xml"/><Relationship  Id="rId41" Type="http://schemas.openxmlformats.org/officeDocument/2006/relationships/worksheet" Target="worksheets/sheet40.xml"/><Relationship  Id="rId36" Type="http://schemas.openxmlformats.org/officeDocument/2006/relationships/worksheet" Target="worksheets/sheet35.xml"/><Relationship  Id="rId35" Type="http://schemas.openxmlformats.org/officeDocument/2006/relationships/worksheet" Target="worksheets/sheet34.xml"/><Relationship  Id="rId34" Type="http://schemas.openxmlformats.org/officeDocument/2006/relationships/worksheet" Target="worksheets/sheet33.xml"/><Relationship  Id="rId58" Type="http://schemas.openxmlformats.org/officeDocument/2006/relationships/worksheet" Target="worksheets/sheet57.xml"/><Relationship  Id="rId33" Type="http://schemas.openxmlformats.org/officeDocument/2006/relationships/worksheet" Target="worksheets/sheet32.xml"/><Relationship  Id="rId29" Type="http://schemas.openxmlformats.org/officeDocument/2006/relationships/worksheet" Target="worksheets/sheet28.xml"/><Relationship  Id="rId28" Type="http://schemas.openxmlformats.org/officeDocument/2006/relationships/worksheet" Target="worksheets/sheet27.xml"/><Relationship  Id="rId27" Type="http://schemas.openxmlformats.org/officeDocument/2006/relationships/worksheet" Target="worksheets/sheet26.xml"/><Relationship  Id="rId52" Type="http://schemas.openxmlformats.org/officeDocument/2006/relationships/worksheet" Target="worksheets/sheet51.xml"/><Relationship  Id="rId23" Type="http://schemas.openxmlformats.org/officeDocument/2006/relationships/worksheet" Target="worksheets/sheet22.xml"/><Relationship  Id="rId61" Type="http://schemas.openxmlformats.org/officeDocument/2006/relationships/theme" Target="theme/theme1.xml"/><Relationship  Id="rId22" Type="http://schemas.openxmlformats.org/officeDocument/2006/relationships/worksheet" Target="worksheets/sheet21.xml"/><Relationship  Id="rId21" Type="http://schemas.openxmlformats.org/officeDocument/2006/relationships/worksheet" Target="worksheets/sheet20.xml"/><Relationship  Id="rId25" Type="http://schemas.openxmlformats.org/officeDocument/2006/relationships/worksheet" Target="worksheets/sheet24.xml"/><Relationship  Id="rId13" Type="http://schemas.openxmlformats.org/officeDocument/2006/relationships/worksheet" Target="worksheets/sheet12.xml"/><Relationship  Id="rId50" Type="http://schemas.openxmlformats.org/officeDocument/2006/relationships/worksheet" Target="worksheets/sheet49.xml"/><Relationship  Id="rId11" Type="http://schemas.openxmlformats.org/officeDocument/2006/relationships/worksheet" Target="worksheets/sheet10.xml"/><Relationship  Id="rId24" Type="http://schemas.openxmlformats.org/officeDocument/2006/relationships/worksheet" Target="worksheets/sheet23.xml"/><Relationship  Id="rId10" Type="http://schemas.openxmlformats.org/officeDocument/2006/relationships/worksheet" Target="worksheets/sheet9.xml"/><Relationship  Id="rId17" Type="http://schemas.openxmlformats.org/officeDocument/2006/relationships/worksheet" Target="worksheets/sheet16.xml"/><Relationship  Id="rId18" Type="http://schemas.openxmlformats.org/officeDocument/2006/relationships/worksheet" Target="worksheets/sheet17.xml"/><Relationship  Id="rId26" Type="http://schemas.openxmlformats.org/officeDocument/2006/relationships/worksheet" Target="worksheets/sheet25.xml"/><Relationship  Id="rId53" Type="http://schemas.openxmlformats.org/officeDocument/2006/relationships/worksheet" Target="worksheets/sheet52.xml"/><Relationship  Id="rId15" Type="http://schemas.openxmlformats.org/officeDocument/2006/relationships/worksheet" Target="worksheets/sheet14.xml"/><Relationship  Id="rId9" Type="http://schemas.openxmlformats.org/officeDocument/2006/relationships/worksheet" Target="worksheets/sheet8.xml"/><Relationship  Id="rId8" Type="http://schemas.openxmlformats.org/officeDocument/2006/relationships/worksheet" Target="worksheets/sheet7.xml"/><Relationship  Id="rId20" Type="http://schemas.openxmlformats.org/officeDocument/2006/relationships/worksheet" Target="worksheets/sheet19.xml"/><Relationship  Id="rId31" Type="http://schemas.openxmlformats.org/officeDocument/2006/relationships/worksheet" Target="worksheets/sheet30.xml"/><Relationship  Id="rId37" Type="http://schemas.openxmlformats.org/officeDocument/2006/relationships/worksheet" Target="worksheets/sheet36.xml"/><Relationship  Id="rId19" Type="http://schemas.openxmlformats.org/officeDocument/2006/relationships/worksheet" Target="worksheets/sheet18.xml"/><Relationship  Id="rId46" Type="http://schemas.openxmlformats.org/officeDocument/2006/relationships/worksheet" Target="worksheets/sheet45.xml"/><Relationship  Id="rId7" Type="http://schemas.openxmlformats.org/officeDocument/2006/relationships/worksheet" Target="worksheets/sheet6.xml"/><Relationship  Id="rId14" Type="http://schemas.openxmlformats.org/officeDocument/2006/relationships/worksheet" Target="worksheets/sheet13.xml"/><Relationship  Id="rId6" Type="http://schemas.openxmlformats.org/officeDocument/2006/relationships/worksheet" Target="worksheets/sheet5.xml"/><Relationship  Id="rId5" Type="http://schemas.openxmlformats.org/officeDocument/2006/relationships/worksheet" Target="worksheets/sheet4.xml"/><Relationship  Id="rId16" Type="http://schemas.openxmlformats.org/officeDocument/2006/relationships/worksheet" Target="worksheets/sheet15.xml"/><Relationship  Id="rId4" Type="http://schemas.openxmlformats.org/officeDocument/2006/relationships/worksheet" Target="worksheets/sheet3.xml"/><Relationship  Id="rId12" Type="http://schemas.openxmlformats.org/officeDocument/2006/relationships/worksheet" Target="worksheets/sheet11.xml"/><Relationship  Id="rId32" Type="http://schemas.openxmlformats.org/officeDocument/2006/relationships/worksheet" Target="worksheets/sheet31.xml"/><Relationship  Id="rId3" Type="http://schemas.openxmlformats.org/officeDocument/2006/relationships/worksheet" Target="worksheets/sheet2.xml"/><Relationship  Id="rId30" Type="http://schemas.openxmlformats.org/officeDocument/2006/relationships/worksheet" Target="worksheets/sheet29.xml"/><Relationship  Id="rId2" Type="http://schemas.openxmlformats.org/officeDocument/2006/relationships/worksheet" Target="worksheets/sheet1.xml"/><Relationship  Id="rId1" Type="http://schemas.microsoft.com/office/2017/10/relationships/person" Target="persons/person.xml"/></Relationships>
</file>

<file path=xl/charts/_rels/chart1.xml.rels><?xml version="1.0" encoding="UTF-8" standalone="yes"?><Relationships xmlns="http://schemas.openxmlformats.org/package/2006/relationships"></Relationships>
</file>

<file path=xl/charts/_rels/chart10.xml.rels><?xml version="1.0" encoding="UTF-8" standalone="yes"?><Relationships xmlns="http://schemas.openxmlformats.org/package/2006/relationships"></Relationships>
</file>

<file path=xl/charts/_rels/chart1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_rels/chart12.xml.rels><?xml version="1.0" encoding="UTF-8" standalone="yes"?><Relationships xmlns="http://schemas.openxmlformats.org/package/2006/relationships"><Relationship Id="rId1" Type="http://schemas.microsoft.com/office/2011/relationships/chartStyle" Target="style2.xml" /><Relationship Id="rId2" Type="http://schemas.microsoft.com/office/2011/relationships/chartColorStyle" Target="colors2.xml" /></Relationships>
</file>

<file path=xl/charts/_rels/chart2.xml.rels><?xml version="1.0" encoding="UTF-8" standalone="yes"?><Relationships xmlns="http://schemas.openxmlformats.org/package/2006/relationships"></Relationships>
</file>

<file path=xl/charts/_rels/chart3.xml.rels><?xml version="1.0" encoding="UTF-8" standalone="yes"?><Relationships xmlns="http://schemas.openxmlformats.org/package/2006/relationships"></Relationships>
</file>

<file path=xl/charts/_rels/chart4.xml.rels><?xml version="1.0" encoding="UTF-8" standalone="yes"?><Relationships xmlns="http://schemas.openxmlformats.org/package/2006/relationships"></Relationships>
</file>

<file path=xl/charts/_rels/chart5.xml.rels><?xml version="1.0" encoding="UTF-8" standalone="yes"?><Relationships xmlns="http://schemas.openxmlformats.org/package/2006/relationships"></Relationships>
</file>

<file path=xl/charts/_rels/chart6.xml.rels><?xml version="1.0" encoding="UTF-8" standalone="yes"?><Relationships xmlns="http://schemas.openxmlformats.org/package/2006/relationships"></Relationships>
</file>

<file path=xl/charts/_rels/chart7.xml.rels><?xml version="1.0" encoding="UTF-8" standalone="yes"?><Relationships xmlns="http://schemas.openxmlformats.org/package/2006/relationships"></Relationships>
</file>

<file path=xl/charts/_rels/chart8.xml.rels><?xml version="1.0" encoding="UTF-8" standalone="yes"?><Relationships xmlns="http://schemas.openxmlformats.org/package/2006/relationships"></Relationships>
</file>

<file path=xl/charts/_rels/chart9.xml.rels><?xml version="1.0" encoding="UTF-8" standalone="yes"?><Relationships xmlns="http://schemas.openxmlformats.org/package/2006/relationships"></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title>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bwMode="auto">
              <a:prstGeom prst="rect">
                <a:avLst/>
              </a:prstGeom>
              <a:solidFill>
                <a:schemeClr val="accent1"/>
              </a:solidFill>
              <a:ln w="19050">
                <a:solidFill>
                  <a:schemeClr val="lt1"/>
                </a:solidFill>
              </a:ln>
              <a:effectLst/>
            </c:spPr>
          </c:dPt>
          <c:dPt>
            <c:idx val="1"/>
            <c:bubble3D val="0"/>
            <c:spPr bwMode="auto">
              <a:prstGeom prst="rect">
                <a:avLst/>
              </a:prstGeom>
              <a:solidFill>
                <a:schemeClr val="accent2"/>
              </a:solidFill>
              <a:ln w="19050">
                <a:solidFill>
                  <a:schemeClr val="lt1"/>
                </a:solidFill>
              </a:ln>
              <a:effectLst/>
            </c:spPr>
          </c:dPt>
          <c:dPt>
            <c:idx val="2"/>
            <c:bubble3D val="0"/>
            <c:spPr bwMode="auto">
              <a:prstGeom prst="rect">
                <a:avLst/>
              </a:prstGeom>
              <a:solidFill>
                <a:schemeClr val="accent3"/>
              </a:solidFill>
              <a:ln w="19050">
                <a:solidFill>
                  <a:schemeClr val="lt1"/>
                </a:solidFill>
              </a:ln>
              <a:effectLst/>
            </c:spPr>
          </c:dPt>
          <c:dPt>
            <c:idx val="3"/>
            <c:bubble3D val="0"/>
            <c:spPr bwMode="auto">
              <a:prstGeom prst="rect">
                <a:avLst/>
              </a:prstGeom>
              <a:solidFill>
                <a:schemeClr val="accent4"/>
              </a:solidFill>
              <a:ln w="19050">
                <a:solidFill>
                  <a:schemeClr val="lt1"/>
                </a:solidFill>
              </a:ln>
              <a:effectLst/>
            </c:spPr>
          </c:dPt>
          <c:dPt>
            <c:idx val="4"/>
            <c:bubble3D val="0"/>
            <c:spPr bwMode="auto">
              <a:prstGeom prst="rect">
                <a:avLst/>
              </a:prstGeom>
              <a:solidFill>
                <a:schemeClr val="accent5"/>
              </a:solidFill>
              <a:ln w="19050">
                <a:solidFill>
                  <a:schemeClr val="lt1"/>
                </a:solidFill>
                <a:miter/>
              </a:ln>
              <a:effectLst/>
            </c:spPr>
          </c:dPt>
          <c:dPt>
            <c:idx val="5"/>
            <c:bubble3D val="0"/>
            <c:spPr bwMode="auto">
              <a:prstGeom prst="rect">
                <a:avLst/>
              </a:prstGeom>
              <a:solidFill>
                <a:schemeClr val="accent6"/>
              </a:solidFill>
              <a:ln w="19050">
                <a:solidFill>
                  <a:schemeClr val="lt1"/>
                </a:solidFill>
              </a:ln>
              <a:effectLst/>
            </c:spPr>
          </c:dPt>
          <c:dPt>
            <c:idx val="6"/>
            <c:bubble3D val="0"/>
            <c:spPr bwMode="auto">
              <a:prstGeom prst="rect">
                <a:avLst/>
              </a:prstGeom>
              <a:solidFill>
                <a:schemeClr val="accent1">
                  <a:lumMod val="60000"/>
                </a:schemeClr>
              </a:solidFill>
              <a:ln w="19050">
                <a:solidFill>
                  <a:schemeClr val="lt1"/>
                </a:solidFill>
              </a:ln>
              <a:effectLst/>
            </c:spPr>
          </c:dPt>
          <c:dPt>
            <c:idx val="7"/>
            <c:bubble3D val="0"/>
            <c:spPr bwMode="auto">
              <a:prstGeom prst="rect">
                <a:avLst/>
              </a:prstGeom>
              <a:solidFill>
                <a:schemeClr val="accent2">
                  <a:lumMod val="60000"/>
                </a:schemeClr>
              </a:solidFill>
              <a:ln w="19050">
                <a:solidFill>
                  <a:schemeClr val="lt1"/>
                </a:solidFill>
              </a:ln>
              <a:effectLst/>
            </c:spPr>
          </c:dPt>
          <c:dPt>
            <c:idx val="8"/>
            <c:bubble3D val="0"/>
            <c:spPr bwMode="auto">
              <a:prstGeom prst="rect">
                <a:avLst/>
              </a:prstGeom>
              <a:solidFill>
                <a:schemeClr val="accent3">
                  <a:lumMod val="60000"/>
                </a:schemeClr>
              </a:solidFill>
              <a:ln w="19050">
                <a:solidFill>
                  <a:schemeClr val="lt1"/>
                </a:solidFill>
              </a:ln>
              <a:effectLst/>
            </c:spPr>
          </c:dPt>
          <c:dPt>
            <c:idx val="9"/>
            <c:bubble3D val="0"/>
            <c:spPr bwMode="auto">
              <a:prstGeom prst="rect">
                <a:avLst/>
              </a:prstGeom>
              <a:solidFill>
                <a:schemeClr val="accent4">
                  <a:lumMod val="60000"/>
                </a:schemeClr>
              </a:solidFill>
              <a:ln w="19050">
                <a:solidFill>
                  <a:schemeClr val="lt1"/>
                </a:solidFill>
              </a:ln>
              <a:effectLst/>
            </c:spPr>
          </c:dPt>
          <c:dPt>
            <c:idx val="10"/>
            <c:bubble3D val="0"/>
            <c:spPr bwMode="auto">
              <a:prstGeom prst="rect">
                <a:avLst/>
              </a:prstGeom>
              <a:solidFill>
                <a:schemeClr val="accent5">
                  <a:lumMod val="60000"/>
                </a:schemeClr>
              </a:solidFill>
              <a:ln w="19050">
                <a:solidFill>
                  <a:schemeClr val="lt1"/>
                </a:solidFill>
              </a:ln>
              <a:effectLst/>
            </c:spPr>
          </c:dPt>
          <c:dPt>
            <c:idx val="11"/>
            <c:bubble3D val="0"/>
            <c:spPr bwMode="auto">
              <a:prstGeom prst="rect">
                <a:avLst/>
              </a:prstGeom>
              <a:solidFill>
                <a:schemeClr val="accent6">
                  <a:lumMod val="60000"/>
                </a:schemeClr>
              </a:solidFill>
              <a:ln w="19050">
                <a:solidFill>
                  <a:schemeClr val="lt1"/>
                </a:solidFill>
                <a:bevel/>
              </a:ln>
              <a:effectLst/>
            </c:spPr>
          </c:dPt>
          <c:dPt>
            <c:idx val="12"/>
            <c:bubble3D val="0"/>
            <c:spPr bwMode="auto">
              <a:prstGeom prst="rect">
                <a:avLst/>
              </a:prstGeom>
              <a:solidFill>
                <a:schemeClr val="accent1">
                  <a:lumMod val="80000"/>
                  <a:lumOff val="20000"/>
                </a:schemeClr>
              </a:solidFill>
              <a:ln w="19050">
                <a:solidFill>
                  <a:schemeClr val="lt1"/>
                </a:solidFill>
              </a:ln>
              <a:effectLst/>
            </c:spPr>
          </c:dPt>
          <c:cat>
            <c:strRef>
              <c:f>Май!$B$1:$N$1</c:f>
              <c:strCache>
                <c:ptCount val="13"/>
                <c:pt idx="0">
                  <c:v>транспорт</c:v>
                </c:pt>
                <c:pt idx="1">
                  <c:v>еда</c:v>
                </c:pt>
                <c:pt idx="2">
                  <c:v>кафе</c:v>
                </c:pt>
                <c:pt idx="3">
                  <c:v xml:space="preserve">в займы</c:v>
                </c:pt>
                <c:pt idx="4">
                  <c:v>кредиты</c:v>
                </c:pt>
                <c:pt idx="5">
                  <c:v>косметика</c:v>
                </c:pt>
                <c:pt idx="6">
                  <c:v>одежда</c:v>
                </c:pt>
                <c:pt idx="7">
                  <c:v xml:space="preserve">предметы обихода</c:v>
                </c:pt>
                <c:pt idx="8">
                  <c:v>лекарства</c:v>
                </c:pt>
                <c:pt idx="9">
                  <c:v>жилье</c:v>
                </c:pt>
                <c:pt idx="10">
                  <c:v>подарки</c:v>
                </c:pt>
                <c:pt idx="11">
                  <c:v>связь</c:v>
                </c:pt>
                <c:pt idx="12">
                  <c:v>долги</c:v>
                </c:pt>
              </c:strCache>
            </c:strRef>
          </c:cat>
          <c:val>
            <c:numRef>
              <c:f>Май!$B$32:$N$32</c:f>
              <c:numCache>
                <c:formatCode>General</c:formatCode>
                <c:ptCount val="13"/>
                <c:pt idx="0">
                  <c:v>2492.5</c:v>
                </c:pt>
                <c:pt idx="1">
                  <c:v>6741.65</c:v>
                </c:pt>
                <c:pt idx="2">
                  <c:v>3394.99</c:v>
                </c:pt>
                <c:pt idx="3">
                  <c:v>0</c:v>
                </c:pt>
                <c:pt idx="4">
                  <c:v>4360</c:v>
                </c:pt>
                <c:pt idx="5">
                  <c:v>0</c:v>
                </c:pt>
                <c:pt idx="6">
                  <c:v>3184</c:v>
                </c:pt>
                <c:pt idx="7">
                  <c:v>3759.2</c:v>
                </c:pt>
                <c:pt idx="8">
                  <c:v>400.5</c:v>
                </c:pt>
                <c:pt idx="9">
                  <c:v>14536</c:v>
                </c:pt>
                <c:pt idx="10">
                  <c:v>2000</c:v>
                </c:pt>
                <c:pt idx="11">
                  <c:v>275</c:v>
                </c:pt>
                <c:pt idx="12">
                  <c:v>1400</c:v>
                </c:pt>
              </c:numCache>
            </c:numRef>
          </c:val>
        </c:ser>
        <c:dLbls>
          <c:showBubbleSize val="0"/>
          <c:showCatName val="0"/>
          <c:showLeaderLines val="1"/>
          <c:showLegendKey val="0"/>
          <c:showPercent val="0"/>
          <c:showSerName val="0"/>
          <c:showVal val="0"/>
        </c:dLbls>
        <c:firstSliceAng val="0"/>
      </c:pieChart>
      <c:spPr bwMode="auto">
        <a:prstGeom prst="rect">
          <a:avLst/>
        </a:prstGeom>
        <a:noFill/>
        <a:ln>
          <a:noFill/>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ru-RU"/>
              <a:t>Реальная ЗП</a:t>
            </a:r>
            <a:endParaRPr/>
          </a:p>
        </c:rich>
      </c:tx>
      <c:layout/>
      <c:overlay val="0"/>
      <c:spPr bwMode="auto">
        <a:prstGeom prst="rect">
          <a:avLst/>
        </a:prstGeom>
        <a:noFill/>
        <a:ln>
          <a:noFill/>
        </a:ln>
        <a:effectLst/>
      </c:spPr>
    </c:title>
    <c:autoTitleDeleted val="0"/>
    <c:plotArea>
      <c:layout/>
      <c:barChart>
        <c:barDir val="col"/>
        <c:grouping val="stacked"/>
        <c:varyColors val="0"/>
        <c:ser>
          <c:idx val="1"/>
          <c:order val="0"/>
          <c:spPr bwMode="auto">
            <a:prstGeom prst="rect">
              <a:avLst/>
            </a:prstGeom>
            <a:solidFill>
              <a:schemeClr val="accent1"/>
            </a:solidFill>
            <a:ln>
              <a:noFill/>
              <a:round/>
            </a:ln>
            <a:effectLst/>
          </c:spPr>
          <c:invertIfNegative val="0"/>
          <c:cat>
            <c:strRef>
              <c:f xml:space="preserve">'Сводная таблица Лера'!$A$19:$A$30</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 xml:space="preserve">'Сводная таблица Лера'!$E$19:$E$30</c:f>
              <c:numCache>
                <c:formatCode>General</c:formatCode>
                <c:ptCount val="12"/>
                <c:pt idx="0">
                  <c:v>34037.04</c:v>
                </c:pt>
                <c:pt idx="1">
                  <c:v>31640.309999999998</c:v>
                </c:pt>
                <c:pt idx="2">
                  <c:v>33821.89</c:v>
                </c:pt>
                <c:pt idx="3">
                  <c:v>32233.82</c:v>
                </c:pt>
                <c:pt idx="4">
                  <c:v>28125.07</c:v>
                </c:pt>
                <c:pt idx="5">
                  <c:v>25649.52</c:v>
                </c:pt>
                <c:pt idx="6">
                  <c:v>39359.61</c:v>
                </c:pt>
                <c:pt idx="7">
                  <c:v>8406.6</c:v>
                </c:pt>
              </c:numCache>
            </c:numRef>
          </c:val>
        </c:ser>
        <c:dLbls>
          <c:showBubbleSize val="0"/>
          <c:showCatName val="0"/>
          <c:showLeaderLines val="0"/>
          <c:showLegendKey val="0"/>
          <c:showPercent val="0"/>
          <c:showSerName val="0"/>
          <c:showVal val="0"/>
        </c:dLbls>
        <c:gapWidth val="150"/>
        <c:overlap val="100"/>
        <c:axId val="520439288"/>
        <c:axId val="520440464"/>
      </c:barChart>
      <c:catAx>
        <c:axId val="520439288"/>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520440464"/>
        <c:crosses val="autoZero"/>
        <c:auto val="1"/>
        <c:lblAlgn val="ctr"/>
        <c:lblOffset val="100"/>
        <c:noMultiLvlLbl val="0"/>
      </c:catAx>
      <c:valAx>
        <c:axId val="520440464"/>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numFmt formatCode="General"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520439288"/>
        <c:crosses val="autoZero"/>
        <c:crossBetween val="between"/>
      </c:valAx>
      <c:spPr bwMode="auto">
        <a:prstGeom prst="rect">
          <a:avLst/>
        </a:prstGeom>
        <a:noFill/>
        <a:ln>
          <a:noFill/>
        </a:ln>
        <a:effectLst/>
      </c:spPr>
    </c:plotArea>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Распределение в </a:t>
            </a:r>
            <a:r>
              <a:rPr sz="1400"/>
              <a:t>₽</a:t>
            </a:r>
            <a:r>
              <a:rPr/>
              <a:t> </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pieChart>
        <c:varyColors val="1"/>
        <c:ser>
          <c:idx val="0"/>
          <c:order val="0"/>
          <c:dPt>
            <c:idx val="0"/>
            <c:spPr bwMode="auto">
              <a:prstGeom prst="rect">
                <a:avLst/>
              </a:prstGeom>
              <a:solidFill>
                <a:schemeClr val="accent1"/>
              </a:solidFill>
              <a:ln w="19050">
                <a:solidFill>
                  <a:schemeClr val="lt1"/>
                </a:solidFill>
              </a:ln>
            </c:spPr>
          </c:dPt>
          <c:dPt>
            <c:idx val="1"/>
            <c:spPr bwMode="auto">
              <a:prstGeom prst="rect">
                <a:avLst/>
              </a:prstGeom>
              <a:solidFill>
                <a:schemeClr val="accent2"/>
              </a:solidFill>
              <a:ln w="19050">
                <a:solidFill>
                  <a:schemeClr val="lt1"/>
                </a:solidFill>
              </a:ln>
            </c:spPr>
          </c:dPt>
          <c:dPt>
            <c:idx val="2"/>
            <c:spPr bwMode="auto">
              <a:prstGeom prst="rect">
                <a:avLst/>
              </a:prstGeom>
              <a:solidFill>
                <a:schemeClr val="accent3"/>
              </a:solidFill>
              <a:ln w="19050">
                <a:solidFill>
                  <a:schemeClr val="lt1"/>
                </a:solidFill>
              </a:ln>
            </c:spPr>
          </c:dPt>
          <c:dPt>
            <c:idx val="3"/>
            <c:spPr bwMode="auto">
              <a:prstGeom prst="rect">
                <a:avLst/>
              </a:prstGeom>
              <a:solidFill>
                <a:schemeClr val="accent4"/>
              </a:solidFill>
              <a:ln w="19050">
                <a:solidFill>
                  <a:schemeClr val="lt1"/>
                </a:solidFill>
              </a:ln>
            </c:spPr>
          </c:dPt>
          <c:dLbls>
            <c:dLbl>
              <c:idx val="0"/>
              <c:dLblPos val="ctr"/>
              <c:layout/>
              <c:separator xml:space="preserve"> </c:separator>
              <c:showBubbleSize val="0"/>
              <c:showCatName val="0"/>
              <c:showLegendKey val="0"/>
              <c:showPercent val="0"/>
              <c:showSerName val="1"/>
              <c:showVal val="1"/>
              <c:spPr bwMode="auto">
                <a:prstGeom prst="rect">
                  <a:avLst/>
                </a:prstGeom>
                <a:noFill/>
                <a:ln>
                  <a:noFill/>
                </a:ln>
              </c:spPr>
              <c:tx>
                <c:rich>
                  <a:bodyPr/>
                  <a:p>
                    <a:pPr>
                      <a:defRPr sz="900">
                        <a:solidFill>
                          <a:schemeClr val="tx1">
                            <a:lumMod val="75000"/>
                            <a:lumOff val="25000"/>
                          </a:schemeClr>
                        </a:solidFill>
                        <a:latin typeface="+mn-lt"/>
                        <a:ea typeface="+mn-ea"/>
                        <a:cs typeface="+mn-cs"/>
                      </a:defRPr>
                    </a:pPr>
                    <a:r>
                      <a:rPr sz="2400"/>
                      <a:t>₽</a:t>
                    </a:r>
                    <a:endParaRPr/>
                  </a:p>
                </c:rich>
              </c:tx>
              <c:txPr>
                <a:bodyPr/>
                <a:p>
                  <a:pPr>
                    <a:defRPr sz="900">
                      <a:solidFill>
                        <a:schemeClr val="tx1">
                          <a:lumMod val="75000"/>
                          <a:lumOff val="25000"/>
                        </a:schemeClr>
                      </a:solidFill>
                      <a:latin typeface="+mn-lt"/>
                      <a:ea typeface="+mn-ea"/>
                      <a:cs typeface="+mn-cs"/>
                    </a:defRPr>
                  </a:pPr>
                  <a:endParaRPr/>
                </a:p>
              </c:txPr>
            </c:dLbl>
            <c:dLbl>
              <c:idx val="1"/>
              <c:dLblPos val="ctr"/>
              <c:layout/>
              <c:separator xml:space="preserve"> </c:separator>
              <c:showBubbleSize val="0"/>
              <c:showCatName val="0"/>
              <c:showLegendKey val="0"/>
              <c:showPercent val="0"/>
              <c:showSerName val="1"/>
              <c:showVal val="1"/>
              <c:spPr bwMode="auto">
                <a:prstGeom prst="rect">
                  <a:avLst/>
                </a:prstGeom>
                <a:noFill/>
                <a:ln>
                  <a:noFill/>
                </a:ln>
              </c:spPr>
              <c:tx>
                <c:rich>
                  <a:bodyPr/>
                  <a:p>
                    <a:pPr>
                      <a:defRPr/>
                    </a:pPr>
                    <a:r>
                      <a:rPr sz="2400"/>
                      <a:t>֏</a:t>
                    </a:r>
                    <a:endParaRPr sz="2400"/>
                  </a:p>
                </c:rich>
              </c:tx>
              <c:txPr>
                <a:bodyPr/>
                <a:p>
                  <a:pPr>
                    <a:defRPr sz="900">
                      <a:solidFill>
                        <a:schemeClr val="tx1">
                          <a:lumMod val="75000"/>
                          <a:lumOff val="25000"/>
                        </a:schemeClr>
                      </a:solidFill>
                      <a:latin typeface="+mn-lt"/>
                      <a:ea typeface="+mn-ea"/>
                      <a:cs typeface="+mn-cs"/>
                    </a:defRPr>
                  </a:pPr>
                  <a:endParaRPr/>
                </a:p>
              </c:txPr>
            </c:dLbl>
            <c:dLbl>
              <c:idx val="3"/>
              <c:dLblPos val="ctr"/>
              <c:layout/>
              <c:separator xml:space="preserve"> </c:separator>
              <c:showBubbleSize val="0"/>
              <c:showCatName val="0"/>
              <c:showLegendKey val="0"/>
              <c:showPercent val="0"/>
              <c:showSerName val="1"/>
              <c:showVal val="1"/>
              <c:spPr bwMode="auto">
                <a:prstGeom prst="rect">
                  <a:avLst/>
                </a:prstGeom>
                <a:noFill/>
                <a:ln>
                  <a:noFill/>
                </a:ln>
              </c:spPr>
              <c:tx>
                <c:rich>
                  <a:bodyPr/>
                  <a:p>
                    <a:pPr>
                      <a:defRPr sz="900">
                        <a:solidFill>
                          <a:schemeClr val="tx1">
                            <a:lumMod val="75000"/>
                            <a:lumOff val="25000"/>
                          </a:schemeClr>
                        </a:solidFill>
                        <a:latin typeface="+mn-lt"/>
                        <a:ea typeface="+mn-ea"/>
                        <a:cs typeface="+mn-cs"/>
                      </a:defRPr>
                    </a:pPr>
                    <a:r>
                      <a:rPr sz="2400"/>
                      <a:t>$</a:t>
                    </a:r>
                    <a:endParaRPr sz="2400"/>
                  </a:p>
                </c:rich>
              </c:tx>
              <c:txPr>
                <a:bodyPr/>
                <a:p>
                  <a:pPr>
                    <a:defRPr sz="900">
                      <a:solidFill>
                        <a:schemeClr val="tx1">
                          <a:lumMod val="75000"/>
                          <a:lumOff val="25000"/>
                        </a:schemeClr>
                      </a:solidFill>
                      <a:latin typeface="+mn-lt"/>
                      <a:ea typeface="+mn-ea"/>
                      <a:cs typeface="+mn-cs"/>
                    </a:defRPr>
                  </a:pPr>
                  <a:endParaRPr/>
                </a:p>
              </c:txPr>
            </c:dLbl>
            <c:dLbl>
              <c:idx val="2"/>
              <c:delete val="1"/>
              <c:layout/>
            </c:dLbl>
            <c:dLblPos val="ctr"/>
            <c:separator xml:space="preserve"> </c:separator>
            <c:showBubbleSize val="0"/>
            <c:showCatName val="0"/>
            <c:showLeaderLines val="0"/>
            <c:showLegendKey val="0"/>
            <c:showPercent val="0"/>
            <c:showSerName val="1"/>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val>
            <c:numRef>
              <c:f>'Валютные_спекуляции'!$H$83:$H$86</c:f>
              <c:numCache>
                <c:formatCode>General</c:formatCode>
                <c:ptCount val="4"/>
                <c:pt idx="0">
                  <c:v>0.3096628026637816</c:v>
                </c:pt>
                <c:pt idx="1">
                  <c:v>0.337191748765448</c:v>
                </c:pt>
                <c:pt idx="2">
                  <c:v>0.0001563211224591118</c:v>
                </c:pt>
                <c:pt idx="3">
                  <c:v>0.3529891274483113</c:v>
                </c:pt>
              </c:numCache>
            </c:numRef>
          </c:val>
        </c:ser>
        <c:dLbls>
          <c:dLblPos val="ctr"/>
          <c:separator xml:space="preserve"> </c:separator>
          <c:showBubbleSize val="0"/>
          <c:showCatName val="0"/>
          <c:showLeaderLines val="0"/>
          <c:showLegendKey val="0"/>
          <c:showPercent val="0"/>
          <c:showSerName val="1"/>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firstSliceAng val="0"/>
      </c:pieChart>
      <c:spPr bwMode="auto">
        <a:prstGeom prst="rect">
          <a:avLst/>
        </a:prstGeom>
        <a:noFill/>
        <a:ln>
          <a:noFill/>
        </a:ln>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3738562" y="15868649"/>
      <a:ext cx="4552949" cy="2724149"/>
    </a:xfrm>
    <a:prstGeom prst="rect">
      <a:avLst/>
    </a:prstGeom>
    <a:solidFill>
      <a:schemeClr val="bg1"/>
    </a:solidFill>
    <a:ln w="9525" cap="flat" cmpd="sng" algn="ctr">
      <a:solidFill>
        <a:schemeClr val="tx1">
          <a:lumMod val="15000"/>
          <a:lumOff val="85000"/>
        </a:schemeClr>
      </a:solidFill>
      <a:round/>
    </a:ln>
  </c:spPr>
  <c:txPr>
    <a:bodyPr/>
    <a:p>
      <a:pPr>
        <a:defRPr sz="9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title>
      <c:tx>
        <c:rich>
          <a:bodyPr/>
          <a:p>
            <a:pPr>
              <a:defRPr/>
            </a:pPr>
            <a:r>
              <a:rPr/>
              <a:t>Распределение в $</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
      <c:pieChart>
        <c:varyColors val="1"/>
        <c:ser>
          <c:idx val="0"/>
          <c:order val="0"/>
          <c:dPt>
            <c:idx val="0"/>
            <c:spPr bwMode="auto">
              <a:prstGeom prst="rect">
                <a:avLst/>
              </a:prstGeom>
              <a:solidFill>
                <a:schemeClr val="accent1"/>
              </a:solidFill>
              <a:ln w="19050">
                <a:solidFill>
                  <a:schemeClr val="lt1"/>
                </a:solidFill>
              </a:ln>
            </c:spPr>
          </c:dPt>
          <c:dPt>
            <c:idx val="1"/>
            <c:spPr bwMode="auto">
              <a:prstGeom prst="rect">
                <a:avLst/>
              </a:prstGeom>
              <a:solidFill>
                <a:schemeClr val="accent2"/>
              </a:solidFill>
              <a:ln w="19050">
                <a:solidFill>
                  <a:schemeClr val="lt1"/>
                </a:solidFill>
              </a:ln>
            </c:spPr>
          </c:dPt>
          <c:dPt>
            <c:idx val="2"/>
            <c:spPr bwMode="auto">
              <a:prstGeom prst="rect">
                <a:avLst/>
              </a:prstGeom>
              <a:solidFill>
                <a:schemeClr val="accent3"/>
              </a:solidFill>
              <a:ln w="19050">
                <a:solidFill>
                  <a:schemeClr val="lt1"/>
                </a:solidFill>
              </a:ln>
            </c:spPr>
          </c:dPt>
          <c:dPt>
            <c:idx val="3"/>
            <c:spPr bwMode="auto">
              <a:prstGeom prst="rect">
                <a:avLst/>
              </a:prstGeom>
              <a:solidFill>
                <a:schemeClr val="accent4"/>
              </a:solidFill>
              <a:ln w="19050">
                <a:solidFill>
                  <a:schemeClr val="lt1"/>
                </a:solidFill>
              </a:ln>
            </c:spPr>
          </c:dPt>
          <c:dLbls>
            <c:dLbl>
              <c:idx val="0"/>
              <c:dLblPos val="ctr"/>
              <c:layout/>
              <c:separator xml:space="preserve"> </c:separator>
              <c:showBubbleSize val="0"/>
              <c:showCatName val="0"/>
              <c:showLegendKey val="0"/>
              <c:showPercent val="0"/>
              <c:showSerName val="1"/>
              <c:showVal val="1"/>
              <c:spPr bwMode="auto">
                <a:prstGeom prst="rect">
                  <a:avLst/>
                </a:prstGeom>
                <a:noFill/>
                <a:ln>
                  <a:noFill/>
                </a:ln>
              </c:spPr>
              <c:tx>
                <c:rich>
                  <a:bodyPr/>
                  <a:p>
                    <a:pPr>
                      <a:defRPr/>
                    </a:pPr>
                    <a:r>
                      <a:rPr sz="2400"/>
                      <a:t>₽</a:t>
                    </a:r>
                    <a:endParaRPr/>
                  </a:p>
                </c:rich>
              </c:tx>
              <c:txPr>
                <a:bodyPr/>
                <a:p>
                  <a:pPr>
                    <a:defRPr sz="900">
                      <a:solidFill>
                        <a:schemeClr val="tx1">
                          <a:lumMod val="75000"/>
                          <a:lumOff val="25000"/>
                        </a:schemeClr>
                      </a:solidFill>
                      <a:latin typeface="+mn-lt"/>
                      <a:ea typeface="+mn-ea"/>
                      <a:cs typeface="+mn-cs"/>
                    </a:defRPr>
                  </a:pPr>
                  <a:endParaRPr/>
                </a:p>
              </c:txPr>
            </c:dLbl>
            <c:dLbl>
              <c:idx val="1"/>
              <c:dLblPos val="ctr"/>
              <c:layout/>
              <c:separator xml:space="preserve"> </c:separator>
              <c:showBubbleSize val="0"/>
              <c:showCatName val="0"/>
              <c:showLegendKey val="0"/>
              <c:showPercent val="0"/>
              <c:showSerName val="1"/>
              <c:showVal val="1"/>
              <c:spPr bwMode="auto">
                <a:prstGeom prst="rect">
                  <a:avLst/>
                </a:prstGeom>
                <a:noFill/>
                <a:ln>
                  <a:noFill/>
                </a:ln>
              </c:spPr>
              <c:tx>
                <c:rich>
                  <a:bodyPr/>
                  <a:p>
                    <a:pPr>
                      <a:defRPr/>
                    </a:pPr>
                    <a:r>
                      <a:rPr sz="2400"/>
                      <a:t>֏</a:t>
                    </a:r>
                    <a:endParaRPr/>
                  </a:p>
                </c:rich>
              </c:tx>
              <c:txPr>
                <a:bodyPr/>
                <a:p>
                  <a:pPr>
                    <a:defRPr sz="900">
                      <a:solidFill>
                        <a:schemeClr val="tx1">
                          <a:lumMod val="75000"/>
                          <a:lumOff val="25000"/>
                        </a:schemeClr>
                      </a:solidFill>
                      <a:latin typeface="+mn-lt"/>
                      <a:ea typeface="+mn-ea"/>
                      <a:cs typeface="+mn-cs"/>
                    </a:defRPr>
                  </a:pPr>
                  <a:endParaRPr/>
                </a:p>
              </c:txPr>
            </c:dLbl>
            <c:dLbl>
              <c:idx val="2"/>
              <c:dLblPos val="ctr"/>
              <c:layout/>
              <c:separator xml:space="preserve"> </c:separator>
              <c:showBubbleSize val="0"/>
              <c:showCatName val="0"/>
              <c:showLegendKey val="0"/>
              <c:showPercent val="0"/>
              <c:showSerName val="1"/>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
            <c:dLbl>
              <c:idx val="3"/>
              <c:dLblPos val="ctr"/>
              <c:layout/>
              <c:separator xml:space="preserve"> </c:separator>
              <c:showBubbleSize val="0"/>
              <c:showCatName val="0"/>
              <c:showLegendKey val="0"/>
              <c:showPercent val="0"/>
              <c:showSerName val="1"/>
              <c:showVal val="1"/>
              <c:spPr bwMode="auto">
                <a:prstGeom prst="rect">
                  <a:avLst/>
                </a:prstGeom>
                <a:noFill/>
                <a:ln>
                  <a:noFill/>
                </a:ln>
              </c:spPr>
              <c:tx>
                <c:rich>
                  <a:bodyPr/>
                  <a:p>
                    <a:pPr>
                      <a:defRPr/>
                    </a:pPr>
                    <a:r>
                      <a:rPr sz="2400"/>
                      <a:t>$</a:t>
                    </a:r>
                    <a:endParaRPr/>
                  </a:p>
                </c:rich>
              </c:tx>
              <c:txPr>
                <a:bodyPr/>
                <a:p>
                  <a:pPr>
                    <a:defRPr sz="900">
                      <a:solidFill>
                        <a:schemeClr val="tx1">
                          <a:lumMod val="75000"/>
                          <a:lumOff val="25000"/>
                        </a:schemeClr>
                      </a:solidFill>
                      <a:latin typeface="+mn-lt"/>
                      <a:ea typeface="+mn-ea"/>
                      <a:cs typeface="+mn-cs"/>
                    </a:defRPr>
                  </a:pPr>
                  <a:endParaRPr/>
                </a:p>
              </c:txPr>
            </c:dLbl>
            <c:dLblPos val="ctr"/>
            <c:separator xml:space="preserve"> </c:separator>
            <c:showBubbleSize val="0"/>
            <c:showCatName val="0"/>
            <c:showLeaderLines val="0"/>
            <c:showLegendKey val="0"/>
            <c:showPercent val="0"/>
            <c:showSerName val="1"/>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val>
            <c:numRef>
              <c:f>'Валютные_спекуляции'!$J$83:$J$86</c:f>
              <c:numCache>
                <c:formatCode>General</c:formatCode>
                <c:ptCount val="4"/>
                <c:pt idx="0">
                  <c:v>0.30936317741321406</c:v>
                </c:pt>
                <c:pt idx="1">
                  <c:v>0.33798924231446575</c:v>
                </c:pt>
                <c:pt idx="3">
                  <c:v>0.3526475802723201</c:v>
                </c:pt>
              </c:numCache>
            </c:numRef>
          </c:val>
        </c:ser>
        <c:dLbls>
          <c:dLblPos val="ctr"/>
          <c:separator xml:space="preserve"> </c:separator>
          <c:showBubbleSize val="0"/>
          <c:showCatName val="0"/>
          <c:showLeaderLines val="0"/>
          <c:showLegendKey val="0"/>
          <c:showPercent val="0"/>
          <c:showSerName val="1"/>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firstSliceAng val="0"/>
      </c:pieChart>
      <c:spPr bwMode="auto">
        <a:prstGeom prst="rect">
          <a:avLst/>
        </a:prstGeom>
        <a:noFill/>
        <a:ln>
          <a:noFill/>
        </a:ln>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8367712" y="15868649"/>
      <a:ext cx="4552949" cy="2724149"/>
    </a:xfrm>
    <a:prstGeom prst="rect">
      <a:avLst/>
    </a:prstGeom>
    <a:solidFill>
      <a:schemeClr val="bg1"/>
    </a:solidFill>
    <a:ln w="9525" cap="flat" cmpd="sng" algn="ctr">
      <a:solidFill>
        <a:schemeClr val="tx1">
          <a:lumMod val="15000"/>
          <a:lumOff val="85000"/>
        </a:schemeClr>
      </a:solidFill>
      <a:round/>
    </a:ln>
  </c:spPr>
  <c:txPr>
    <a:bodyPr/>
    <a:p>
      <a:pPr>
        <a:defRPr sz="9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title>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bwMode="auto">
              <a:prstGeom prst="rect">
                <a:avLst/>
              </a:prstGeom>
              <a:solidFill>
                <a:schemeClr val="accent1"/>
              </a:solidFill>
              <a:ln w="19050">
                <a:solidFill>
                  <a:schemeClr val="lt1"/>
                </a:solidFill>
              </a:ln>
              <a:effectLst/>
            </c:spPr>
          </c:dPt>
          <c:dPt>
            <c:idx val="1"/>
            <c:bubble3D val="0"/>
            <c:spPr bwMode="auto">
              <a:prstGeom prst="rect">
                <a:avLst/>
              </a:prstGeom>
              <a:solidFill>
                <a:schemeClr val="accent2"/>
              </a:solidFill>
              <a:ln w="19050">
                <a:solidFill>
                  <a:schemeClr val="lt1"/>
                </a:solidFill>
              </a:ln>
              <a:effectLst/>
            </c:spPr>
          </c:dPt>
          <c:dPt>
            <c:idx val="2"/>
            <c:bubble3D val="0"/>
            <c:spPr bwMode="auto">
              <a:prstGeom prst="rect">
                <a:avLst/>
              </a:prstGeom>
              <a:solidFill>
                <a:schemeClr val="accent3"/>
              </a:solidFill>
              <a:ln w="19050">
                <a:solidFill>
                  <a:schemeClr val="lt1"/>
                </a:solidFill>
                <a:miter/>
              </a:ln>
              <a:effectLst/>
            </c:spPr>
          </c:dPt>
          <c:dPt>
            <c:idx val="3"/>
            <c:bubble3D val="0"/>
            <c:spPr bwMode="auto">
              <a:prstGeom prst="rect">
                <a:avLst/>
              </a:prstGeom>
              <a:solidFill>
                <a:schemeClr val="accent4"/>
              </a:solidFill>
              <a:ln w="19050">
                <a:solidFill>
                  <a:schemeClr val="lt1"/>
                </a:solidFill>
                <a:miter/>
              </a:ln>
              <a:effectLst/>
            </c:spPr>
          </c:dPt>
          <c:dPt>
            <c:idx val="4"/>
            <c:bubble3D val="0"/>
            <c:spPr bwMode="auto">
              <a:prstGeom prst="rect">
                <a:avLst/>
              </a:prstGeom>
              <a:solidFill>
                <a:schemeClr val="accent5"/>
              </a:solidFill>
              <a:ln w="19050">
                <a:solidFill>
                  <a:schemeClr val="lt1"/>
                </a:solidFill>
                <a:miter/>
              </a:ln>
              <a:effectLst/>
            </c:spPr>
          </c:dPt>
          <c:dPt>
            <c:idx val="5"/>
            <c:bubble3D val="0"/>
            <c:spPr bwMode="auto">
              <a:prstGeom prst="rect">
                <a:avLst/>
              </a:prstGeom>
              <a:solidFill>
                <a:schemeClr val="accent6"/>
              </a:solidFill>
              <a:ln w="19050">
                <a:solidFill>
                  <a:schemeClr val="lt1"/>
                </a:solidFill>
                <a:bevel/>
              </a:ln>
              <a:effectLst/>
            </c:spPr>
          </c:dPt>
          <c:dPt>
            <c:idx val="6"/>
            <c:bubble3D val="0"/>
            <c:spPr bwMode="auto">
              <a:prstGeom prst="rect">
                <a:avLst/>
              </a:prstGeom>
              <a:solidFill>
                <a:schemeClr val="accent1">
                  <a:lumMod val="60000"/>
                </a:schemeClr>
              </a:solidFill>
              <a:ln w="19050">
                <a:solidFill>
                  <a:schemeClr val="lt1"/>
                </a:solidFill>
              </a:ln>
              <a:effectLst/>
            </c:spPr>
          </c:dPt>
          <c:dPt>
            <c:idx val="7"/>
            <c:bubble3D val="0"/>
            <c:spPr bwMode="auto">
              <a:prstGeom prst="rect">
                <a:avLst/>
              </a:prstGeom>
              <a:solidFill>
                <a:schemeClr val="accent2">
                  <a:lumMod val="60000"/>
                </a:schemeClr>
              </a:solidFill>
              <a:ln w="19050">
                <a:solidFill>
                  <a:schemeClr val="lt1"/>
                </a:solidFill>
              </a:ln>
              <a:effectLst/>
            </c:spPr>
          </c:dPt>
          <c:dPt>
            <c:idx val="8"/>
            <c:bubble3D val="0"/>
            <c:spPr bwMode="auto">
              <a:prstGeom prst="rect">
                <a:avLst/>
              </a:prstGeom>
              <a:solidFill>
                <a:schemeClr val="accent3">
                  <a:lumMod val="60000"/>
                </a:schemeClr>
              </a:solidFill>
              <a:ln w="19050">
                <a:solidFill>
                  <a:schemeClr val="lt1"/>
                </a:solidFill>
              </a:ln>
              <a:effectLst/>
            </c:spPr>
          </c:dPt>
          <c:dPt>
            <c:idx val="9"/>
            <c:bubble3D val="0"/>
            <c:spPr bwMode="auto">
              <a:prstGeom prst="rect">
                <a:avLst/>
              </a:prstGeom>
              <a:solidFill>
                <a:schemeClr val="accent4">
                  <a:lumMod val="60000"/>
                </a:schemeClr>
              </a:solidFill>
              <a:ln w="19050">
                <a:solidFill>
                  <a:schemeClr val="lt1"/>
                </a:solidFill>
                <a:round/>
              </a:ln>
              <a:effectLst/>
            </c:spPr>
          </c:dPt>
          <c:dPt>
            <c:idx val="10"/>
            <c:bubble3D val="0"/>
            <c:spPr bwMode="auto">
              <a:prstGeom prst="rect">
                <a:avLst/>
              </a:prstGeom>
              <a:solidFill>
                <a:schemeClr val="accent5">
                  <a:lumMod val="60000"/>
                </a:schemeClr>
              </a:solidFill>
              <a:ln w="19050">
                <a:solidFill>
                  <a:schemeClr val="lt1"/>
                </a:solidFill>
                <a:miter/>
              </a:ln>
              <a:effectLst/>
            </c:spPr>
          </c:dPt>
          <c:dPt>
            <c:idx val="11"/>
            <c:bubble3D val="0"/>
            <c:spPr bwMode="auto">
              <a:prstGeom prst="rect">
                <a:avLst/>
              </a:prstGeom>
              <a:solidFill>
                <a:schemeClr val="accent6">
                  <a:lumMod val="60000"/>
                </a:schemeClr>
              </a:solidFill>
              <a:ln w="19050">
                <a:solidFill>
                  <a:schemeClr val="lt1"/>
                </a:solidFill>
                <a:round/>
              </a:ln>
              <a:effectLst/>
            </c:spPr>
          </c:dPt>
          <c:dPt>
            <c:idx val="12"/>
            <c:bubble3D val="0"/>
            <c:spPr bwMode="auto">
              <a:prstGeom prst="rect">
                <a:avLst/>
              </a:prstGeom>
              <a:solidFill>
                <a:schemeClr val="accent1">
                  <a:lumMod val="80000"/>
                  <a:lumOff val="20000"/>
                </a:schemeClr>
              </a:solidFill>
              <a:ln w="19050">
                <a:solidFill>
                  <a:schemeClr val="lt1"/>
                </a:solidFill>
                <a:miter/>
              </a:ln>
              <a:effectLst/>
            </c:spPr>
          </c:dPt>
          <c:dPt>
            <c:idx val="13"/>
            <c:bubble3D val="0"/>
            <c:spPr bwMode="auto">
              <a:prstGeom prst="rect">
                <a:avLst/>
              </a:prstGeom>
              <a:solidFill>
                <a:schemeClr val="accent2">
                  <a:lumMod val="80000"/>
                  <a:lumOff val="20000"/>
                </a:schemeClr>
              </a:solidFill>
              <a:ln w="19050">
                <a:solidFill>
                  <a:schemeClr val="lt1"/>
                </a:solidFill>
              </a:ln>
              <a:effectLst/>
            </c:spPr>
          </c:dPt>
          <c:dPt>
            <c:idx val="14"/>
            <c:bubble3D val="0"/>
            <c:spPr bwMode="auto">
              <a:prstGeom prst="rect">
                <a:avLst/>
              </a:prstGeom>
              <a:solidFill>
                <a:schemeClr val="accent3">
                  <a:lumMod val="80000"/>
                  <a:lumOff val="20000"/>
                </a:schemeClr>
              </a:solidFill>
              <a:ln w="19050">
                <a:solidFill>
                  <a:schemeClr val="lt1"/>
                </a:solidFill>
                <a:round/>
              </a:ln>
              <a:effectLst/>
            </c:spPr>
          </c:dPt>
          <c:cat>
            <c:strRef>
              <c:f>Июнь!$B$1:$P$1</c:f>
              <c:strCache>
                <c:ptCount val="15"/>
                <c:pt idx="0">
                  <c:v>транспорт</c:v>
                </c:pt>
                <c:pt idx="1">
                  <c:v>еда</c:v>
                </c:pt>
                <c:pt idx="2">
                  <c:v>кафе</c:v>
                </c:pt>
                <c:pt idx="3">
                  <c:v xml:space="preserve">в займы</c:v>
                </c:pt>
                <c:pt idx="4">
                  <c:v>кредиты</c:v>
                </c:pt>
                <c:pt idx="5">
                  <c:v>косметика</c:v>
                </c:pt>
                <c:pt idx="6">
                  <c:v>одежда</c:v>
                </c:pt>
                <c:pt idx="7">
                  <c:v xml:space="preserve">предметы обихода</c:v>
                </c:pt>
                <c:pt idx="8">
                  <c:v>лекарства</c:v>
                </c:pt>
                <c:pt idx="9">
                  <c:v>жилье</c:v>
                </c:pt>
                <c:pt idx="10">
                  <c:v>подарки</c:v>
                </c:pt>
                <c:pt idx="11">
                  <c:v>связь</c:v>
                </c:pt>
                <c:pt idx="12">
                  <c:v>долги</c:v>
                </c:pt>
                <c:pt idx="13">
                  <c:v>парикмахерская</c:v>
                </c:pt>
                <c:pt idx="14">
                  <c:v>развлечения</c:v>
                </c:pt>
              </c:strCache>
            </c:strRef>
          </c:cat>
          <c:val>
            <c:numRef>
              <c:f>Июнь!$B$32:$P$32</c:f>
              <c:numCache>
                <c:formatCode>General</c:formatCode>
                <c:ptCount val="15"/>
                <c:pt idx="0">
                  <c:v>8666</c:v>
                </c:pt>
                <c:pt idx="1">
                  <c:v>5568.849999999999</c:v>
                </c:pt>
                <c:pt idx="2">
                  <c:v>2068.7799999999997</c:v>
                </c:pt>
                <c:pt idx="3">
                  <c:v>0</c:v>
                </c:pt>
                <c:pt idx="4">
                  <c:v>2180</c:v>
                </c:pt>
                <c:pt idx="5">
                  <c:v>0</c:v>
                </c:pt>
                <c:pt idx="6">
                  <c:v>8790</c:v>
                </c:pt>
                <c:pt idx="7">
                  <c:v>2499</c:v>
                </c:pt>
                <c:pt idx="8">
                  <c:v>0</c:v>
                </c:pt>
                <c:pt idx="9">
                  <c:v>4800</c:v>
                </c:pt>
                <c:pt idx="10">
                  <c:v>0</c:v>
                </c:pt>
                <c:pt idx="11">
                  <c:v>250</c:v>
                </c:pt>
                <c:pt idx="12">
                  <c:v>200</c:v>
                </c:pt>
                <c:pt idx="13">
                  <c:v>700</c:v>
                </c:pt>
                <c:pt idx="14">
                  <c:v>163</c:v>
                </c:pt>
              </c:numCache>
            </c:numRef>
          </c:val>
        </c:ser>
        <c:dLbls>
          <c:showBubbleSize val="0"/>
          <c:showCatName val="0"/>
          <c:showLeaderLines val="1"/>
          <c:showLegendKey val="0"/>
          <c:showPercent val="0"/>
          <c:showSerName val="0"/>
          <c:showVal val="0"/>
        </c:dLbls>
        <c:firstSliceAng val="0"/>
      </c:pieChart>
      <c:spPr bwMode="auto">
        <a:prstGeom prst="rect">
          <a:avLst/>
        </a:prstGeom>
        <a:noFill/>
        <a:ln>
          <a:noFill/>
        </a:ln>
        <a:effectLst/>
      </c:spPr>
    </c:plotArea>
    <c:legend>
      <c:legendPos val="b"/>
      <c:layout/>
      <c:overlay val="0"/>
      <c:spPr bwMode="auto">
        <a:prstGeom prst="rect">
          <a:avLst/>
        </a:prstGeom>
        <a:noFill/>
        <a:ln>
          <a:noFill/>
          <a:beve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title>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bwMode="auto">
              <a:prstGeom prst="rect">
                <a:avLst/>
              </a:prstGeom>
              <a:solidFill>
                <a:schemeClr val="accent1"/>
              </a:solidFill>
              <a:ln w="19050">
                <a:solidFill>
                  <a:schemeClr val="lt1"/>
                </a:solidFill>
              </a:ln>
              <a:effectLst/>
            </c:spPr>
          </c:dPt>
          <c:dPt>
            <c:idx val="1"/>
            <c:bubble3D val="0"/>
            <c:spPr bwMode="auto">
              <a:prstGeom prst="rect">
                <a:avLst/>
              </a:prstGeom>
              <a:solidFill>
                <a:schemeClr val="accent2"/>
              </a:solidFill>
              <a:ln w="19050">
                <a:solidFill>
                  <a:schemeClr val="lt1"/>
                </a:solidFill>
              </a:ln>
              <a:effectLst/>
            </c:spPr>
          </c:dPt>
          <c:dPt>
            <c:idx val="2"/>
            <c:bubble3D val="0"/>
            <c:spPr bwMode="auto">
              <a:prstGeom prst="rect">
                <a:avLst/>
              </a:prstGeom>
              <a:solidFill>
                <a:schemeClr val="accent3"/>
              </a:solidFill>
              <a:ln w="19050">
                <a:solidFill>
                  <a:schemeClr val="lt1"/>
                </a:solidFill>
                <a:miter/>
              </a:ln>
              <a:effectLst/>
            </c:spPr>
          </c:dPt>
          <c:dPt>
            <c:idx val="3"/>
            <c:bubble3D val="0"/>
            <c:spPr bwMode="auto">
              <a:prstGeom prst="rect">
                <a:avLst/>
              </a:prstGeom>
              <a:solidFill>
                <a:schemeClr val="accent4"/>
              </a:solidFill>
              <a:ln w="19050">
                <a:solidFill>
                  <a:schemeClr val="lt1"/>
                </a:solidFill>
              </a:ln>
              <a:effectLst/>
            </c:spPr>
          </c:dPt>
          <c:dPt>
            <c:idx val="4"/>
            <c:bubble3D val="0"/>
            <c:spPr bwMode="auto">
              <a:prstGeom prst="rect">
                <a:avLst/>
              </a:prstGeom>
              <a:solidFill>
                <a:schemeClr val="accent5"/>
              </a:solidFill>
              <a:ln w="19050">
                <a:solidFill>
                  <a:schemeClr val="lt1"/>
                </a:solidFill>
              </a:ln>
              <a:effectLst/>
            </c:spPr>
          </c:dPt>
          <c:dPt>
            <c:idx val="5"/>
            <c:bubble3D val="0"/>
            <c:spPr bwMode="auto">
              <a:prstGeom prst="rect">
                <a:avLst/>
              </a:prstGeom>
              <a:solidFill>
                <a:schemeClr val="accent6"/>
              </a:solidFill>
              <a:ln w="19050">
                <a:solidFill>
                  <a:schemeClr val="lt1"/>
                </a:solidFill>
                <a:bevel/>
              </a:ln>
              <a:effectLst/>
            </c:spPr>
          </c:dPt>
          <c:dPt>
            <c:idx val="6"/>
            <c:bubble3D val="0"/>
            <c:spPr bwMode="auto">
              <a:prstGeom prst="rect">
                <a:avLst/>
              </a:prstGeom>
              <a:solidFill>
                <a:schemeClr val="accent1">
                  <a:lumMod val="60000"/>
                </a:schemeClr>
              </a:solidFill>
              <a:ln w="19050">
                <a:solidFill>
                  <a:schemeClr val="lt1"/>
                </a:solidFill>
                <a:miter/>
              </a:ln>
              <a:effectLst/>
            </c:spPr>
          </c:dPt>
          <c:dPt>
            <c:idx val="7"/>
            <c:bubble3D val="0"/>
            <c:spPr bwMode="auto">
              <a:prstGeom prst="rect">
                <a:avLst/>
              </a:prstGeom>
              <a:solidFill>
                <a:schemeClr val="accent2">
                  <a:lumMod val="60000"/>
                </a:schemeClr>
              </a:solidFill>
              <a:ln w="19050">
                <a:solidFill>
                  <a:schemeClr val="lt1"/>
                </a:solidFill>
                <a:bevel/>
              </a:ln>
              <a:effectLst/>
            </c:spPr>
          </c:dPt>
          <c:dPt>
            <c:idx val="8"/>
            <c:bubble3D val="0"/>
            <c:spPr bwMode="auto">
              <a:prstGeom prst="rect">
                <a:avLst/>
              </a:prstGeom>
              <a:solidFill>
                <a:schemeClr val="accent3">
                  <a:lumMod val="60000"/>
                </a:schemeClr>
              </a:solidFill>
              <a:ln w="19050">
                <a:solidFill>
                  <a:schemeClr val="lt1"/>
                </a:solidFill>
              </a:ln>
              <a:effectLst/>
            </c:spPr>
          </c:dPt>
          <c:dPt>
            <c:idx val="9"/>
            <c:bubble3D val="0"/>
            <c:spPr bwMode="auto">
              <a:prstGeom prst="rect">
                <a:avLst/>
              </a:prstGeom>
              <a:solidFill>
                <a:schemeClr val="accent4">
                  <a:lumMod val="60000"/>
                </a:schemeClr>
              </a:solidFill>
              <a:ln w="19050">
                <a:solidFill>
                  <a:schemeClr val="lt1"/>
                </a:solidFill>
              </a:ln>
              <a:effectLst/>
            </c:spPr>
          </c:dPt>
          <c:dPt>
            <c:idx val="10"/>
            <c:bubble3D val="0"/>
            <c:spPr bwMode="auto">
              <a:prstGeom prst="rect">
                <a:avLst/>
              </a:prstGeom>
              <a:solidFill>
                <a:schemeClr val="accent5">
                  <a:lumMod val="60000"/>
                </a:schemeClr>
              </a:solidFill>
              <a:ln w="19050">
                <a:solidFill>
                  <a:schemeClr val="lt1"/>
                </a:solidFill>
                <a:round/>
              </a:ln>
              <a:effectLst/>
            </c:spPr>
          </c:dPt>
          <c:dPt>
            <c:idx val="11"/>
            <c:bubble3D val="0"/>
            <c:spPr bwMode="auto">
              <a:prstGeom prst="rect">
                <a:avLst/>
              </a:prstGeom>
              <a:solidFill>
                <a:schemeClr val="accent6">
                  <a:lumMod val="60000"/>
                </a:schemeClr>
              </a:solidFill>
              <a:ln w="19050">
                <a:solidFill>
                  <a:schemeClr val="lt1"/>
                </a:solidFill>
              </a:ln>
              <a:effectLst/>
            </c:spPr>
          </c:dPt>
          <c:dPt>
            <c:idx val="12"/>
            <c:bubble3D val="0"/>
            <c:spPr bwMode="auto">
              <a:prstGeom prst="rect">
                <a:avLst/>
              </a:prstGeom>
              <a:solidFill>
                <a:schemeClr val="accent1">
                  <a:lumMod val="80000"/>
                  <a:lumOff val="20000"/>
                </a:schemeClr>
              </a:solidFill>
              <a:ln w="19050">
                <a:solidFill>
                  <a:schemeClr val="lt1"/>
                </a:solidFill>
              </a:ln>
              <a:effectLst/>
            </c:spPr>
          </c:dPt>
          <c:dPt>
            <c:idx val="13"/>
            <c:bubble3D val="0"/>
            <c:spPr bwMode="auto">
              <a:prstGeom prst="rect">
                <a:avLst/>
              </a:prstGeom>
              <a:solidFill>
                <a:schemeClr val="accent2">
                  <a:lumMod val="80000"/>
                  <a:lumOff val="20000"/>
                </a:schemeClr>
              </a:solidFill>
              <a:ln w="19050">
                <a:solidFill>
                  <a:schemeClr val="lt1"/>
                </a:solidFill>
              </a:ln>
              <a:effectLst/>
            </c:spPr>
          </c:dPt>
          <c:dPt>
            <c:idx val="14"/>
            <c:bubble3D val="0"/>
            <c:spPr bwMode="auto">
              <a:prstGeom prst="rect">
                <a:avLst/>
              </a:prstGeom>
              <a:solidFill>
                <a:schemeClr val="accent3">
                  <a:lumMod val="80000"/>
                  <a:lumOff val="20000"/>
                </a:schemeClr>
              </a:solidFill>
              <a:ln w="19050">
                <a:solidFill>
                  <a:schemeClr val="lt1"/>
                </a:solidFill>
              </a:ln>
              <a:effectLst/>
            </c:spPr>
          </c:dPt>
          <c:dPt>
            <c:idx val="15"/>
            <c:bubble3D val="0"/>
            <c:spPr bwMode="auto">
              <a:prstGeom prst="rect">
                <a:avLst/>
              </a:prstGeom>
              <a:solidFill>
                <a:schemeClr val="accent4">
                  <a:lumMod val="80000"/>
                  <a:lumOff val="20000"/>
                </a:schemeClr>
              </a:solidFill>
              <a:ln w="19050">
                <a:solidFill>
                  <a:schemeClr val="lt1"/>
                </a:solidFill>
              </a:ln>
              <a:effectLst/>
            </c:spPr>
          </c:dPt>
          <c:cat>
            <c:strRef>
              <c:f>Июль!$B$1:$P$1</c:f>
              <c:strCache>
                <c:ptCount val="15"/>
                <c:pt idx="0">
                  <c:v>транспорт</c:v>
                </c:pt>
                <c:pt idx="1">
                  <c:v>еда</c:v>
                </c:pt>
                <c:pt idx="2">
                  <c:v>кафе</c:v>
                </c:pt>
                <c:pt idx="3">
                  <c:v xml:space="preserve">в займы</c:v>
                </c:pt>
                <c:pt idx="4">
                  <c:v>кредиты</c:v>
                </c:pt>
                <c:pt idx="5">
                  <c:v>косметика</c:v>
                </c:pt>
                <c:pt idx="6">
                  <c:v>одежда</c:v>
                </c:pt>
                <c:pt idx="7">
                  <c:v xml:space="preserve">предметы обихода</c:v>
                </c:pt>
                <c:pt idx="8">
                  <c:v>лекарства</c:v>
                </c:pt>
                <c:pt idx="9">
                  <c:v>жилье</c:v>
                </c:pt>
                <c:pt idx="10">
                  <c:v>подарки</c:v>
                </c:pt>
                <c:pt idx="11">
                  <c:v>связь</c:v>
                </c:pt>
                <c:pt idx="12">
                  <c:v>долги</c:v>
                </c:pt>
                <c:pt idx="13">
                  <c:v>парикмахерская</c:v>
                </c:pt>
                <c:pt idx="14">
                  <c:v>развлечения</c:v>
                </c:pt>
              </c:strCache>
            </c:strRef>
          </c:cat>
          <c:val>
            <c:numRef>
              <c:f>Июль!$B$33:$Q$33</c:f>
              <c:numCache>
                <c:formatCode>General</c:formatCode>
                <c:ptCount val="16"/>
                <c:pt idx="0">
                  <c:v>7525.4</c:v>
                </c:pt>
                <c:pt idx="1">
                  <c:v>3878.87</c:v>
                </c:pt>
                <c:pt idx="2">
                  <c:v>3548</c:v>
                </c:pt>
                <c:pt idx="3">
                  <c:v>500</c:v>
                </c:pt>
                <c:pt idx="4">
                  <c:v>3156.79</c:v>
                </c:pt>
                <c:pt idx="5">
                  <c:v>0</c:v>
                </c:pt>
                <c:pt idx="6">
                  <c:v>0</c:v>
                </c:pt>
                <c:pt idx="7">
                  <c:v>1120</c:v>
                </c:pt>
                <c:pt idx="8">
                  <c:v>0</c:v>
                </c:pt>
                <c:pt idx="9">
                  <c:v>9855.51</c:v>
                </c:pt>
                <c:pt idx="10">
                  <c:v>0</c:v>
                </c:pt>
                <c:pt idx="11">
                  <c:v>550</c:v>
                </c:pt>
                <c:pt idx="12">
                  <c:v>898</c:v>
                </c:pt>
                <c:pt idx="13">
                  <c:v>0</c:v>
                </c:pt>
                <c:pt idx="14">
                  <c:v>420</c:v>
                </c:pt>
                <c:pt idx="15">
                  <c:v>0</c:v>
                </c:pt>
              </c:numCache>
            </c:numRef>
          </c:val>
        </c:ser>
        <c:dLbls>
          <c:showBubbleSize val="0"/>
          <c:showCatName val="0"/>
          <c:showLeaderLines val="1"/>
          <c:showLegendKey val="0"/>
          <c:showPercent val="0"/>
          <c:showSerName val="0"/>
          <c:showVal val="0"/>
        </c:dLbls>
        <c:firstSliceAng val="0"/>
      </c:pieChart>
      <c:spPr bwMode="auto">
        <a:prstGeom prst="rect">
          <a:avLst/>
        </a:prstGeom>
        <a:noFill/>
        <a:ln>
          <a:noFill/>
        </a:ln>
        <a:effectLst/>
      </c:spPr>
    </c:plotArea>
    <c:legend>
      <c:legendPos val="b"/>
      <c:layout/>
      <c:overlay val="0"/>
      <c:spPr bwMode="auto">
        <a:prstGeom prst="rect">
          <a:avLst/>
        </a:prstGeom>
        <a:noFill/>
        <a:ln>
          <a:noFill/>
          <a:beve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title>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bwMode="auto">
              <a:prstGeom prst="rect">
                <a:avLst/>
              </a:prstGeom>
              <a:solidFill>
                <a:schemeClr val="accent1"/>
              </a:solidFill>
              <a:ln w="19050">
                <a:solidFill>
                  <a:schemeClr val="lt1"/>
                </a:solidFill>
              </a:ln>
              <a:effectLst/>
            </c:spPr>
          </c:dPt>
          <c:dPt>
            <c:idx val="1"/>
            <c:bubble3D val="0"/>
            <c:spPr bwMode="auto">
              <a:prstGeom prst="rect">
                <a:avLst/>
              </a:prstGeom>
              <a:solidFill>
                <a:schemeClr val="accent2"/>
              </a:solidFill>
              <a:ln w="19050">
                <a:solidFill>
                  <a:schemeClr val="lt1"/>
                </a:solidFill>
              </a:ln>
              <a:effectLst/>
            </c:spPr>
          </c:dPt>
          <c:dPt>
            <c:idx val="2"/>
            <c:bubble3D val="0"/>
            <c:spPr bwMode="auto">
              <a:prstGeom prst="rect">
                <a:avLst/>
              </a:prstGeom>
              <a:solidFill>
                <a:schemeClr val="accent3"/>
              </a:solidFill>
              <a:ln w="19050">
                <a:solidFill>
                  <a:schemeClr val="lt1"/>
                </a:solidFill>
              </a:ln>
              <a:effectLst/>
            </c:spPr>
          </c:dPt>
          <c:dPt>
            <c:idx val="3"/>
            <c:bubble3D val="0"/>
            <c:spPr bwMode="auto">
              <a:prstGeom prst="rect">
                <a:avLst/>
              </a:prstGeom>
              <a:solidFill>
                <a:schemeClr val="accent4"/>
              </a:solidFill>
              <a:ln w="19050">
                <a:solidFill>
                  <a:schemeClr val="lt1"/>
                </a:solidFill>
              </a:ln>
              <a:effectLst/>
            </c:spPr>
          </c:dPt>
          <c:dPt>
            <c:idx val="4"/>
            <c:bubble3D val="0"/>
            <c:spPr bwMode="auto">
              <a:prstGeom prst="rect">
                <a:avLst/>
              </a:prstGeom>
              <a:solidFill>
                <a:schemeClr val="accent5"/>
              </a:solidFill>
              <a:ln w="19050">
                <a:solidFill>
                  <a:schemeClr val="lt1"/>
                </a:solidFill>
              </a:ln>
              <a:effectLst/>
            </c:spPr>
          </c:dPt>
          <c:dPt>
            <c:idx val="5"/>
            <c:bubble3D val="0"/>
            <c:spPr bwMode="auto">
              <a:prstGeom prst="rect">
                <a:avLst/>
              </a:prstGeom>
              <a:solidFill>
                <a:schemeClr val="accent6"/>
              </a:solidFill>
              <a:ln w="19050">
                <a:solidFill>
                  <a:schemeClr val="lt1"/>
                </a:solidFill>
              </a:ln>
              <a:effectLst/>
            </c:spPr>
          </c:dPt>
          <c:dPt>
            <c:idx val="6"/>
            <c:bubble3D val="0"/>
            <c:spPr bwMode="auto">
              <a:prstGeom prst="rect">
                <a:avLst/>
              </a:prstGeom>
              <a:solidFill>
                <a:schemeClr val="accent1">
                  <a:lumMod val="60000"/>
                </a:schemeClr>
              </a:solidFill>
              <a:ln w="19050">
                <a:solidFill>
                  <a:schemeClr val="lt1"/>
                </a:solidFill>
              </a:ln>
              <a:effectLst/>
            </c:spPr>
          </c:dPt>
          <c:dPt>
            <c:idx val="7"/>
            <c:bubble3D val="0"/>
            <c:spPr bwMode="auto">
              <a:prstGeom prst="rect">
                <a:avLst/>
              </a:prstGeom>
              <a:solidFill>
                <a:schemeClr val="accent2">
                  <a:lumMod val="60000"/>
                </a:schemeClr>
              </a:solidFill>
              <a:ln w="19050">
                <a:solidFill>
                  <a:schemeClr val="lt1"/>
                </a:solidFill>
              </a:ln>
              <a:effectLst/>
            </c:spPr>
          </c:dPt>
          <c:dPt>
            <c:idx val="8"/>
            <c:bubble3D val="0"/>
            <c:spPr bwMode="auto">
              <a:prstGeom prst="rect">
                <a:avLst/>
              </a:prstGeom>
              <a:solidFill>
                <a:schemeClr val="accent3">
                  <a:lumMod val="60000"/>
                </a:schemeClr>
              </a:solidFill>
              <a:ln w="19050">
                <a:solidFill>
                  <a:schemeClr val="lt1"/>
                </a:solidFill>
              </a:ln>
              <a:effectLst/>
            </c:spPr>
          </c:dPt>
          <c:dPt>
            <c:idx val="9"/>
            <c:bubble3D val="0"/>
            <c:spPr bwMode="auto">
              <a:prstGeom prst="rect">
                <a:avLst/>
              </a:prstGeom>
              <a:solidFill>
                <a:schemeClr val="accent4">
                  <a:lumMod val="60000"/>
                </a:schemeClr>
              </a:solidFill>
              <a:ln w="19050">
                <a:solidFill>
                  <a:schemeClr val="lt1"/>
                </a:solidFill>
              </a:ln>
              <a:effectLst/>
            </c:spPr>
          </c:dPt>
          <c:dPt>
            <c:idx val="10"/>
            <c:bubble3D val="0"/>
            <c:spPr bwMode="auto">
              <a:prstGeom prst="rect">
                <a:avLst/>
              </a:prstGeom>
              <a:solidFill>
                <a:schemeClr val="accent5">
                  <a:lumMod val="60000"/>
                </a:schemeClr>
              </a:solidFill>
              <a:ln w="19050">
                <a:solidFill>
                  <a:schemeClr val="lt1"/>
                </a:solidFill>
                <a:bevel/>
              </a:ln>
              <a:effectLst/>
            </c:spPr>
          </c:dPt>
          <c:dPt>
            <c:idx val="11"/>
            <c:bubble3D val="0"/>
            <c:spPr bwMode="auto">
              <a:prstGeom prst="rect">
                <a:avLst/>
              </a:prstGeom>
              <a:solidFill>
                <a:schemeClr val="accent6">
                  <a:lumMod val="60000"/>
                </a:schemeClr>
              </a:solidFill>
              <a:ln w="19050">
                <a:solidFill>
                  <a:schemeClr val="lt1"/>
                </a:solidFill>
              </a:ln>
              <a:effectLst/>
            </c:spPr>
          </c:dPt>
          <c:dPt>
            <c:idx val="12"/>
            <c:bubble3D val="0"/>
            <c:spPr bwMode="auto">
              <a:prstGeom prst="rect">
                <a:avLst/>
              </a:prstGeom>
              <a:solidFill>
                <a:schemeClr val="accent1">
                  <a:lumMod val="80000"/>
                  <a:lumOff val="20000"/>
                </a:schemeClr>
              </a:solidFill>
              <a:ln w="19050">
                <a:solidFill>
                  <a:schemeClr val="lt1"/>
                </a:solidFill>
              </a:ln>
              <a:effectLst/>
            </c:spPr>
          </c:dPt>
          <c:dPt>
            <c:idx val="13"/>
            <c:bubble3D val="0"/>
            <c:spPr bwMode="auto">
              <a:prstGeom prst="rect">
                <a:avLst/>
              </a:prstGeom>
              <a:solidFill>
                <a:schemeClr val="accent2">
                  <a:lumMod val="80000"/>
                  <a:lumOff val="20000"/>
                </a:schemeClr>
              </a:solidFill>
              <a:ln w="19050">
                <a:solidFill>
                  <a:schemeClr val="lt1"/>
                </a:solidFill>
                <a:round/>
              </a:ln>
              <a:effectLst/>
            </c:spPr>
          </c:dPt>
          <c:dPt>
            <c:idx val="14"/>
            <c:bubble3D val="0"/>
            <c:spPr bwMode="auto">
              <a:prstGeom prst="rect">
                <a:avLst/>
              </a:prstGeom>
              <a:solidFill>
                <a:schemeClr val="accent3">
                  <a:lumMod val="80000"/>
                  <a:lumOff val="20000"/>
                </a:schemeClr>
              </a:solidFill>
              <a:ln w="19050">
                <a:solidFill>
                  <a:schemeClr val="lt1"/>
                </a:solidFill>
              </a:ln>
              <a:effectLst/>
            </c:spPr>
          </c:dPt>
          <c:dPt>
            <c:idx val="15"/>
            <c:bubble3D val="0"/>
            <c:spPr bwMode="auto">
              <a:prstGeom prst="rect">
                <a:avLst/>
              </a:prstGeom>
              <a:solidFill>
                <a:schemeClr val="accent4">
                  <a:lumMod val="80000"/>
                  <a:lumOff val="20000"/>
                </a:schemeClr>
              </a:solidFill>
              <a:ln w="19050">
                <a:solidFill>
                  <a:schemeClr val="lt1"/>
                </a:solidFill>
              </a:ln>
              <a:effectLst/>
            </c:spPr>
          </c:dPt>
          <c:cat>
            <c:strRef>
              <c:f>Август!$B$1:$P$1</c:f>
              <c:strCache>
                <c:ptCount val="15"/>
                <c:pt idx="0">
                  <c:v>транспорт</c:v>
                </c:pt>
                <c:pt idx="1">
                  <c:v>еда</c:v>
                </c:pt>
                <c:pt idx="2">
                  <c:v>кафе</c:v>
                </c:pt>
                <c:pt idx="3">
                  <c:v xml:space="preserve">в займы</c:v>
                </c:pt>
                <c:pt idx="4">
                  <c:v>кредиты</c:v>
                </c:pt>
                <c:pt idx="5">
                  <c:v>косметика</c:v>
                </c:pt>
                <c:pt idx="6">
                  <c:v>одежда</c:v>
                </c:pt>
                <c:pt idx="7">
                  <c:v xml:space="preserve">предметы обихода</c:v>
                </c:pt>
                <c:pt idx="8">
                  <c:v>лекарства</c:v>
                </c:pt>
                <c:pt idx="9">
                  <c:v>жилье</c:v>
                </c:pt>
                <c:pt idx="10">
                  <c:v>подарки</c:v>
                </c:pt>
                <c:pt idx="11">
                  <c:v>связь</c:v>
                </c:pt>
                <c:pt idx="12">
                  <c:v>долги</c:v>
                </c:pt>
                <c:pt idx="13">
                  <c:v>парикмахерская</c:v>
                </c:pt>
                <c:pt idx="14">
                  <c:v>развлечения</c:v>
                </c:pt>
              </c:strCache>
            </c:strRef>
          </c:cat>
          <c:val>
            <c:numRef>
              <c:f>Август!$B$33:$Q$33</c:f>
              <c:numCache>
                <c:formatCode>General</c:formatCode>
                <c:ptCount val="16"/>
                <c:pt idx="0">
                  <c:v>9143.269999999999</c:v>
                </c:pt>
                <c:pt idx="1">
                  <c:v>5915.570000000001</c:v>
                </c:pt>
                <c:pt idx="2">
                  <c:v>2057.99</c:v>
                </c:pt>
                <c:pt idx="3">
                  <c:v>1000</c:v>
                </c:pt>
                <c:pt idx="4">
                  <c:v>0</c:v>
                </c:pt>
                <c:pt idx="5">
                  <c:v>0</c:v>
                </c:pt>
                <c:pt idx="6">
                  <c:v>400</c:v>
                </c:pt>
                <c:pt idx="7">
                  <c:v>180</c:v>
                </c:pt>
                <c:pt idx="8">
                  <c:v>336</c:v>
                </c:pt>
                <c:pt idx="9">
                  <c:v>11055.51</c:v>
                </c:pt>
                <c:pt idx="10">
                  <c:v>63</c:v>
                </c:pt>
                <c:pt idx="11">
                  <c:v>550</c:v>
                </c:pt>
                <c:pt idx="12">
                  <c:v>2850</c:v>
                </c:pt>
                <c:pt idx="13">
                  <c:v>800</c:v>
                </c:pt>
                <c:pt idx="14">
                  <c:v>660</c:v>
                </c:pt>
                <c:pt idx="15">
                  <c:v>0</c:v>
                </c:pt>
              </c:numCache>
            </c:numRef>
          </c:val>
        </c:ser>
        <c:dLbls>
          <c:showBubbleSize val="0"/>
          <c:showCatName val="0"/>
          <c:showLeaderLines val="1"/>
          <c:showLegendKey val="0"/>
          <c:showPercent val="0"/>
          <c:showSerName val="0"/>
          <c:showVal val="0"/>
        </c:dLbls>
        <c:firstSliceAng val="0"/>
      </c:pieChart>
      <c:spPr bwMode="auto">
        <a:prstGeom prst="rect">
          <a:avLst/>
        </a:prstGeom>
        <a:noFill/>
        <a:ln>
          <a:noFill/>
        </a:ln>
        <a:effectLst/>
      </c:spPr>
    </c:plotArea>
    <c:legend>
      <c:legendPos val="b"/>
      <c:layout/>
      <c:overlay val="0"/>
      <c:spPr bwMode="auto">
        <a:prstGeom prst="rect">
          <a:avLst/>
        </a:prstGeom>
        <a:noFill/>
        <a:ln>
          <a:noFill/>
          <a:beve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autoTitleDeleted val="0"/>
    <c:plotArea>
      <c:layout/>
      <c:pieChart>
        <c:varyColors val="1"/>
        <c:ser>
          <c:idx val="0"/>
          <c:order val="0"/>
          <c:dPt>
            <c:idx val="0"/>
            <c:bubble3D val="0"/>
            <c:spPr bwMode="auto">
              <a:prstGeom prst="rect">
                <a:avLst/>
              </a:prstGeom>
              <a:solidFill>
                <a:schemeClr val="accent1"/>
              </a:solidFill>
              <a:ln w="19050">
                <a:solidFill>
                  <a:schemeClr val="lt1"/>
                </a:solidFill>
              </a:ln>
              <a:effectLst/>
            </c:spPr>
          </c:dPt>
          <c:dPt>
            <c:idx val="1"/>
            <c:bubble3D val="0"/>
            <c:spPr bwMode="auto">
              <a:prstGeom prst="rect">
                <a:avLst/>
              </a:prstGeom>
              <a:solidFill>
                <a:schemeClr val="accent2"/>
              </a:solidFill>
              <a:ln w="19050">
                <a:solidFill>
                  <a:schemeClr val="lt1"/>
                </a:solidFill>
              </a:ln>
              <a:effectLst/>
            </c:spPr>
          </c:dPt>
          <c:dPt>
            <c:idx val="2"/>
            <c:bubble3D val="0"/>
            <c:spPr bwMode="auto">
              <a:prstGeom prst="rect">
                <a:avLst/>
              </a:prstGeom>
              <a:solidFill>
                <a:schemeClr val="accent3"/>
              </a:solidFill>
              <a:ln w="19050">
                <a:solidFill>
                  <a:schemeClr val="lt1"/>
                </a:solidFill>
              </a:ln>
              <a:effectLst/>
            </c:spPr>
          </c:dPt>
          <c:dPt>
            <c:idx val="3"/>
            <c:bubble3D val="0"/>
            <c:spPr bwMode="auto">
              <a:prstGeom prst="rect">
                <a:avLst/>
              </a:prstGeom>
              <a:solidFill>
                <a:schemeClr val="accent4"/>
              </a:solidFill>
              <a:ln w="19050">
                <a:solidFill>
                  <a:schemeClr val="lt1"/>
                </a:solidFill>
              </a:ln>
              <a:effectLst/>
            </c:spPr>
          </c:dPt>
          <c:dPt>
            <c:idx val="4"/>
            <c:bubble3D val="0"/>
            <c:spPr bwMode="auto">
              <a:prstGeom prst="rect">
                <a:avLst/>
              </a:prstGeom>
              <a:solidFill>
                <a:schemeClr val="accent5"/>
              </a:solidFill>
              <a:ln w="19050">
                <a:solidFill>
                  <a:schemeClr val="lt1"/>
                </a:solidFill>
              </a:ln>
              <a:effectLst/>
            </c:spPr>
          </c:dPt>
          <c:dPt>
            <c:idx val="5"/>
            <c:bubble3D val="0"/>
            <c:spPr bwMode="auto">
              <a:prstGeom prst="rect">
                <a:avLst/>
              </a:prstGeom>
              <a:solidFill>
                <a:schemeClr val="accent6"/>
              </a:solidFill>
              <a:ln w="19050">
                <a:solidFill>
                  <a:schemeClr val="lt1"/>
                </a:solidFill>
              </a:ln>
              <a:effectLst/>
            </c:spPr>
          </c:dPt>
          <c:dPt>
            <c:idx val="6"/>
            <c:bubble3D val="0"/>
            <c:spPr bwMode="auto">
              <a:prstGeom prst="rect">
                <a:avLst/>
              </a:prstGeom>
              <a:solidFill>
                <a:schemeClr val="accent1">
                  <a:lumMod val="60000"/>
                </a:schemeClr>
              </a:solidFill>
              <a:ln w="19050">
                <a:solidFill>
                  <a:schemeClr val="lt1"/>
                </a:solidFill>
                <a:round/>
              </a:ln>
              <a:effectLst/>
            </c:spPr>
          </c:dPt>
          <c:dPt>
            <c:idx val="7"/>
            <c:bubble3D val="0"/>
            <c:spPr bwMode="auto">
              <a:prstGeom prst="rect">
                <a:avLst/>
              </a:prstGeom>
              <a:solidFill>
                <a:schemeClr val="accent2">
                  <a:lumMod val="60000"/>
                </a:schemeClr>
              </a:solidFill>
              <a:ln w="19050">
                <a:solidFill>
                  <a:schemeClr val="lt1"/>
                </a:solidFill>
                <a:miter/>
              </a:ln>
              <a:effectLst/>
            </c:spPr>
          </c:dPt>
          <c:dPt>
            <c:idx val="8"/>
            <c:bubble3D val="0"/>
            <c:spPr bwMode="auto">
              <a:prstGeom prst="rect">
                <a:avLst/>
              </a:prstGeom>
              <a:solidFill>
                <a:schemeClr val="accent3">
                  <a:lumMod val="60000"/>
                </a:schemeClr>
              </a:solidFill>
              <a:ln w="19050">
                <a:solidFill>
                  <a:schemeClr val="lt1"/>
                </a:solidFill>
              </a:ln>
              <a:effectLst/>
            </c:spPr>
          </c:dPt>
          <c:dPt>
            <c:idx val="9"/>
            <c:bubble3D val="0"/>
            <c:spPr bwMode="auto">
              <a:prstGeom prst="rect">
                <a:avLst/>
              </a:prstGeom>
              <a:solidFill>
                <a:schemeClr val="accent4">
                  <a:lumMod val="60000"/>
                </a:schemeClr>
              </a:solidFill>
              <a:ln w="19050">
                <a:solidFill>
                  <a:schemeClr val="lt1"/>
                </a:solidFill>
              </a:ln>
              <a:effectLst/>
            </c:spPr>
          </c:dPt>
          <c:dPt>
            <c:idx val="10"/>
            <c:bubble3D val="0"/>
            <c:spPr bwMode="auto">
              <a:prstGeom prst="rect">
                <a:avLst/>
              </a:prstGeom>
              <a:solidFill>
                <a:schemeClr val="accent5">
                  <a:lumMod val="60000"/>
                </a:schemeClr>
              </a:solidFill>
              <a:ln w="19050">
                <a:solidFill>
                  <a:schemeClr val="lt1"/>
                </a:solidFill>
              </a:ln>
              <a:effectLst/>
            </c:spPr>
          </c:dPt>
          <c:dPt>
            <c:idx val="11"/>
            <c:bubble3D val="0"/>
            <c:spPr bwMode="auto">
              <a:prstGeom prst="rect">
                <a:avLst/>
              </a:prstGeom>
              <a:solidFill>
                <a:schemeClr val="accent6">
                  <a:lumMod val="60000"/>
                </a:schemeClr>
              </a:solidFill>
              <a:ln w="19050">
                <a:solidFill>
                  <a:schemeClr val="lt1"/>
                </a:solidFill>
              </a:ln>
              <a:effectLst/>
            </c:spPr>
          </c:dPt>
          <c:dPt>
            <c:idx val="12"/>
            <c:bubble3D val="0"/>
            <c:spPr bwMode="auto">
              <a:prstGeom prst="rect">
                <a:avLst/>
              </a:prstGeom>
              <a:solidFill>
                <a:schemeClr val="accent1">
                  <a:lumMod val="80000"/>
                  <a:lumOff val="20000"/>
                </a:schemeClr>
              </a:solidFill>
              <a:ln w="19050">
                <a:solidFill>
                  <a:schemeClr val="lt1"/>
                </a:solidFill>
              </a:ln>
              <a:effectLst/>
            </c:spPr>
          </c:dPt>
          <c:dPt>
            <c:idx val="13"/>
            <c:bubble3D val="0"/>
            <c:spPr bwMode="auto">
              <a:prstGeom prst="rect">
                <a:avLst/>
              </a:prstGeom>
              <a:solidFill>
                <a:schemeClr val="accent2">
                  <a:lumMod val="80000"/>
                  <a:lumOff val="20000"/>
                </a:schemeClr>
              </a:solidFill>
              <a:ln w="19050">
                <a:solidFill>
                  <a:schemeClr val="lt1"/>
                </a:solidFill>
                <a:bevel/>
              </a:ln>
              <a:effectLst/>
            </c:spPr>
          </c:dPt>
          <c:dPt>
            <c:idx val="14"/>
            <c:bubble3D val="0"/>
            <c:spPr bwMode="auto">
              <a:prstGeom prst="rect">
                <a:avLst/>
              </a:prstGeom>
              <a:solidFill>
                <a:schemeClr val="accent3">
                  <a:lumMod val="80000"/>
                  <a:lumOff val="20000"/>
                </a:schemeClr>
              </a:solidFill>
              <a:ln w="19050">
                <a:solidFill>
                  <a:schemeClr val="lt1"/>
                </a:solidFill>
              </a:ln>
              <a:effectLst/>
            </c:spPr>
          </c:dPt>
          <c:dPt>
            <c:idx val="15"/>
            <c:bubble3D val="0"/>
            <c:spPr bwMode="auto">
              <a:prstGeom prst="rect">
                <a:avLst/>
              </a:prstGeom>
              <a:solidFill>
                <a:schemeClr val="accent4">
                  <a:lumMod val="80000"/>
                  <a:lumOff val="20000"/>
                </a:schemeClr>
              </a:solidFill>
              <a:ln w="19050">
                <a:solidFill>
                  <a:schemeClr val="lt1"/>
                </a:solidFill>
              </a:ln>
              <a:effectLst/>
            </c:spPr>
          </c:dPt>
          <c:cat>
            <c:strRef>
              <c:f>Сентябрь!$B$1:$P$1</c:f>
              <c:strCache>
                <c:ptCount val="15"/>
                <c:pt idx="0">
                  <c:v>транспорт</c:v>
                </c:pt>
                <c:pt idx="1">
                  <c:v>еда</c:v>
                </c:pt>
                <c:pt idx="2">
                  <c:v>кафе</c:v>
                </c:pt>
                <c:pt idx="3">
                  <c:v xml:space="preserve">в займы</c:v>
                </c:pt>
                <c:pt idx="4">
                  <c:v>кредиты</c:v>
                </c:pt>
                <c:pt idx="5">
                  <c:v>косметика</c:v>
                </c:pt>
                <c:pt idx="6">
                  <c:v>одежда</c:v>
                </c:pt>
                <c:pt idx="7">
                  <c:v xml:space="preserve">предметы обихода</c:v>
                </c:pt>
                <c:pt idx="8">
                  <c:v>лекарства</c:v>
                </c:pt>
                <c:pt idx="9">
                  <c:v>жилье</c:v>
                </c:pt>
                <c:pt idx="10">
                  <c:v>подарки</c:v>
                </c:pt>
                <c:pt idx="11">
                  <c:v>связь</c:v>
                </c:pt>
                <c:pt idx="12">
                  <c:v>долги</c:v>
                </c:pt>
                <c:pt idx="13">
                  <c:v>парикмахерская</c:v>
                </c:pt>
                <c:pt idx="14">
                  <c:v>развлечения</c:v>
                </c:pt>
              </c:strCache>
            </c:strRef>
          </c:cat>
          <c:val>
            <c:numRef>
              <c:f>Сентябрь!$B$32:$Q$32</c:f>
              <c:numCache>
                <c:formatCode>General</c:formatCode>
                <c:ptCount val="16"/>
                <c:pt idx="0">
                  <c:v>9113.9</c:v>
                </c:pt>
                <c:pt idx="1">
                  <c:v>3795.7100000000005</c:v>
                </c:pt>
                <c:pt idx="2">
                  <c:v>2609.98</c:v>
                </c:pt>
                <c:pt idx="3">
                  <c:v>796</c:v>
                </c:pt>
                <c:pt idx="4">
                  <c:v>0</c:v>
                </c:pt>
                <c:pt idx="5">
                  <c:v>210</c:v>
                </c:pt>
                <c:pt idx="6">
                  <c:v>500</c:v>
                </c:pt>
                <c:pt idx="7">
                  <c:v>1444.68</c:v>
                </c:pt>
                <c:pt idx="8">
                  <c:v>0</c:v>
                </c:pt>
                <c:pt idx="9">
                  <c:v>11305.74</c:v>
                </c:pt>
                <c:pt idx="10">
                  <c:v>318</c:v>
                </c:pt>
                <c:pt idx="11">
                  <c:v>300</c:v>
                </c:pt>
                <c:pt idx="12">
                  <c:v>475</c:v>
                </c:pt>
                <c:pt idx="13">
                  <c:v>0</c:v>
                </c:pt>
                <c:pt idx="14">
                  <c:v>0</c:v>
                </c:pt>
                <c:pt idx="15">
                  <c:v>0</c:v>
                </c:pt>
              </c:numCache>
            </c:numRef>
          </c:val>
        </c:ser>
        <c:dLbls>
          <c:showBubbleSize val="0"/>
          <c:showCatName val="0"/>
          <c:showLeaderLines val="1"/>
          <c:showLegendKey val="0"/>
          <c:showPercent val="0"/>
          <c:showSerName val="0"/>
          <c:showVal val="0"/>
        </c:dLbls>
        <c:firstSliceAng val="0"/>
      </c:pieChart>
      <c:spPr bwMode="auto">
        <a:prstGeom prst="rect">
          <a:avLst/>
        </a:prstGeom>
        <a:noFill/>
        <a:ln>
          <a:noFill/>
          <a:miter/>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autoTitleDeleted val="0"/>
    <c:plotArea>
      <c:layout/>
      <c:pieChart>
        <c:varyColors val="1"/>
        <c:ser>
          <c:idx val="0"/>
          <c:order val="0"/>
          <c:dPt>
            <c:idx val="0"/>
            <c:bubble3D val="0"/>
            <c:spPr bwMode="auto">
              <a:prstGeom prst="rect">
                <a:avLst/>
              </a:prstGeom>
              <a:solidFill>
                <a:schemeClr val="accent1"/>
              </a:solidFill>
              <a:ln w="19050">
                <a:solidFill>
                  <a:schemeClr val="lt1"/>
                </a:solidFill>
              </a:ln>
              <a:effectLst/>
            </c:spPr>
          </c:dPt>
          <c:dPt>
            <c:idx val="1"/>
            <c:bubble3D val="0"/>
            <c:spPr bwMode="auto">
              <a:prstGeom prst="rect">
                <a:avLst/>
              </a:prstGeom>
              <a:solidFill>
                <a:schemeClr val="accent2"/>
              </a:solidFill>
              <a:ln w="19050">
                <a:solidFill>
                  <a:schemeClr val="lt1"/>
                </a:solidFill>
                <a:miter/>
              </a:ln>
              <a:effectLst/>
            </c:spPr>
          </c:dPt>
          <c:dPt>
            <c:idx val="2"/>
            <c:bubble3D val="0"/>
            <c:spPr bwMode="auto">
              <a:prstGeom prst="rect">
                <a:avLst/>
              </a:prstGeom>
              <a:solidFill>
                <a:schemeClr val="accent3"/>
              </a:solidFill>
              <a:ln w="19050">
                <a:solidFill>
                  <a:schemeClr val="lt1"/>
                </a:solidFill>
                <a:miter/>
              </a:ln>
              <a:effectLst/>
            </c:spPr>
          </c:dPt>
          <c:dPt>
            <c:idx val="3"/>
            <c:bubble3D val="0"/>
            <c:spPr bwMode="auto">
              <a:prstGeom prst="rect">
                <a:avLst/>
              </a:prstGeom>
              <a:solidFill>
                <a:schemeClr val="accent4"/>
              </a:solidFill>
              <a:ln w="19050">
                <a:solidFill>
                  <a:schemeClr val="lt1"/>
                </a:solidFill>
              </a:ln>
              <a:effectLst/>
            </c:spPr>
          </c:dPt>
          <c:dPt>
            <c:idx val="4"/>
            <c:bubble3D val="0"/>
            <c:spPr bwMode="auto">
              <a:prstGeom prst="rect">
                <a:avLst/>
              </a:prstGeom>
              <a:solidFill>
                <a:schemeClr val="accent5"/>
              </a:solidFill>
              <a:ln w="19050">
                <a:solidFill>
                  <a:schemeClr val="lt1"/>
                </a:solidFill>
                <a:miter/>
              </a:ln>
              <a:effectLst/>
            </c:spPr>
          </c:dPt>
          <c:dPt>
            <c:idx val="5"/>
            <c:bubble3D val="0"/>
            <c:spPr bwMode="auto">
              <a:prstGeom prst="rect">
                <a:avLst/>
              </a:prstGeom>
              <a:solidFill>
                <a:schemeClr val="accent6"/>
              </a:solidFill>
              <a:ln w="19050">
                <a:solidFill>
                  <a:schemeClr val="lt1"/>
                </a:solidFill>
              </a:ln>
              <a:effectLst/>
            </c:spPr>
          </c:dPt>
          <c:dPt>
            <c:idx val="6"/>
            <c:bubble3D val="0"/>
            <c:spPr bwMode="auto">
              <a:prstGeom prst="rect">
                <a:avLst/>
              </a:prstGeom>
              <a:solidFill>
                <a:schemeClr val="accent1">
                  <a:lumMod val="60000"/>
                </a:schemeClr>
              </a:solidFill>
              <a:ln w="19050">
                <a:solidFill>
                  <a:schemeClr val="lt1"/>
                </a:solidFill>
                <a:miter/>
              </a:ln>
              <a:effectLst/>
            </c:spPr>
          </c:dPt>
          <c:dPt>
            <c:idx val="7"/>
            <c:bubble3D val="0"/>
            <c:spPr bwMode="auto">
              <a:prstGeom prst="rect">
                <a:avLst/>
              </a:prstGeom>
              <a:solidFill>
                <a:schemeClr val="accent2">
                  <a:lumMod val="60000"/>
                </a:schemeClr>
              </a:solidFill>
              <a:ln w="19050">
                <a:solidFill>
                  <a:schemeClr val="lt1"/>
                </a:solidFill>
              </a:ln>
              <a:effectLst/>
            </c:spPr>
          </c:dPt>
          <c:dPt>
            <c:idx val="8"/>
            <c:bubble3D val="0"/>
            <c:spPr bwMode="auto">
              <a:prstGeom prst="rect">
                <a:avLst/>
              </a:prstGeom>
              <a:solidFill>
                <a:schemeClr val="accent3">
                  <a:lumMod val="60000"/>
                </a:schemeClr>
              </a:solidFill>
              <a:ln w="19050">
                <a:solidFill>
                  <a:schemeClr val="lt1"/>
                </a:solidFill>
              </a:ln>
              <a:effectLst/>
            </c:spPr>
          </c:dPt>
          <c:dPt>
            <c:idx val="9"/>
            <c:bubble3D val="0"/>
            <c:spPr bwMode="auto">
              <a:prstGeom prst="rect">
                <a:avLst/>
              </a:prstGeom>
              <a:solidFill>
                <a:schemeClr val="accent4">
                  <a:lumMod val="60000"/>
                </a:schemeClr>
              </a:solidFill>
              <a:ln w="19050">
                <a:solidFill>
                  <a:schemeClr val="lt1"/>
                </a:solidFill>
                <a:miter/>
              </a:ln>
              <a:effectLst/>
            </c:spPr>
          </c:dPt>
          <c:dPt>
            <c:idx val="10"/>
            <c:bubble3D val="0"/>
            <c:spPr bwMode="auto">
              <a:prstGeom prst="rect">
                <a:avLst/>
              </a:prstGeom>
              <a:solidFill>
                <a:schemeClr val="accent5">
                  <a:lumMod val="60000"/>
                </a:schemeClr>
              </a:solidFill>
              <a:ln w="19050">
                <a:solidFill>
                  <a:schemeClr val="lt1"/>
                </a:solidFill>
                <a:round/>
              </a:ln>
              <a:effectLst/>
            </c:spPr>
          </c:dPt>
          <c:dPt>
            <c:idx val="11"/>
            <c:bubble3D val="0"/>
            <c:spPr bwMode="auto">
              <a:prstGeom prst="rect">
                <a:avLst/>
              </a:prstGeom>
              <a:solidFill>
                <a:schemeClr val="accent6">
                  <a:lumMod val="60000"/>
                </a:schemeClr>
              </a:solidFill>
              <a:ln w="19050">
                <a:solidFill>
                  <a:schemeClr val="lt1"/>
                </a:solidFill>
              </a:ln>
              <a:effectLst/>
            </c:spPr>
          </c:dPt>
          <c:dPt>
            <c:idx val="12"/>
            <c:bubble3D val="0"/>
            <c:spPr bwMode="auto">
              <a:prstGeom prst="rect">
                <a:avLst/>
              </a:prstGeom>
              <a:solidFill>
                <a:schemeClr val="accent1">
                  <a:lumMod val="80000"/>
                  <a:lumOff val="20000"/>
                </a:schemeClr>
              </a:solidFill>
              <a:ln w="19050">
                <a:solidFill>
                  <a:schemeClr val="lt1"/>
                </a:solidFill>
              </a:ln>
              <a:effectLst/>
            </c:spPr>
          </c:dPt>
          <c:dPt>
            <c:idx val="13"/>
            <c:bubble3D val="0"/>
            <c:spPr bwMode="auto">
              <a:prstGeom prst="rect">
                <a:avLst/>
              </a:prstGeom>
              <a:solidFill>
                <a:schemeClr val="accent2">
                  <a:lumMod val="80000"/>
                  <a:lumOff val="20000"/>
                </a:schemeClr>
              </a:solidFill>
              <a:ln w="19050">
                <a:solidFill>
                  <a:schemeClr val="lt1"/>
                </a:solidFill>
                <a:miter/>
              </a:ln>
              <a:effectLst/>
            </c:spPr>
          </c:dPt>
          <c:dPt>
            <c:idx val="14"/>
            <c:bubble3D val="0"/>
            <c:spPr bwMode="auto">
              <a:prstGeom prst="rect">
                <a:avLst/>
              </a:prstGeom>
              <a:solidFill>
                <a:schemeClr val="accent3">
                  <a:lumMod val="80000"/>
                  <a:lumOff val="20000"/>
                </a:schemeClr>
              </a:solidFill>
              <a:ln w="19050">
                <a:solidFill>
                  <a:schemeClr val="lt1"/>
                </a:solidFill>
              </a:ln>
              <a:effectLst/>
            </c:spPr>
          </c:dPt>
          <c:dPt>
            <c:idx val="15"/>
            <c:bubble3D val="0"/>
            <c:spPr bwMode="auto">
              <a:prstGeom prst="rect">
                <a:avLst/>
              </a:prstGeom>
              <a:solidFill>
                <a:schemeClr val="accent4">
                  <a:lumMod val="80000"/>
                  <a:lumOff val="20000"/>
                </a:schemeClr>
              </a:solidFill>
              <a:ln w="19050">
                <a:solidFill>
                  <a:schemeClr val="lt1"/>
                </a:solidFill>
              </a:ln>
              <a:effectLst/>
            </c:spPr>
          </c:dPt>
          <c:cat>
            <c:strRef>
              <c:f>Октябрь!$B$1:$P$1</c:f>
              <c:strCache>
                <c:ptCount val="15"/>
                <c:pt idx="0">
                  <c:v>транспорт</c:v>
                </c:pt>
                <c:pt idx="1">
                  <c:v>еда</c:v>
                </c:pt>
                <c:pt idx="2">
                  <c:v>кафе</c:v>
                </c:pt>
                <c:pt idx="3">
                  <c:v xml:space="preserve">в займы</c:v>
                </c:pt>
                <c:pt idx="4">
                  <c:v xml:space="preserve">кредиты и обслуживание карт</c:v>
                </c:pt>
                <c:pt idx="5">
                  <c:v>косметика</c:v>
                </c:pt>
                <c:pt idx="6">
                  <c:v>одежда</c:v>
                </c:pt>
                <c:pt idx="7">
                  <c:v xml:space="preserve">предметы обихода</c:v>
                </c:pt>
                <c:pt idx="8">
                  <c:v>лекарства</c:v>
                </c:pt>
                <c:pt idx="9">
                  <c:v>жилье</c:v>
                </c:pt>
                <c:pt idx="10">
                  <c:v>подарки</c:v>
                </c:pt>
                <c:pt idx="11">
                  <c:v>связь</c:v>
                </c:pt>
                <c:pt idx="12">
                  <c:v>долги</c:v>
                </c:pt>
                <c:pt idx="13">
                  <c:v>парикмахерская</c:v>
                </c:pt>
                <c:pt idx="14">
                  <c:v>развлечения</c:v>
                </c:pt>
              </c:strCache>
            </c:strRef>
          </c:cat>
          <c:val>
            <c:numRef>
              <c:f>Октябрь!$B$33:$P$33</c:f>
              <c:numCache>
                <c:formatCode>General</c:formatCode>
                <c:ptCount val="15"/>
                <c:pt idx="0">
                  <c:v>8671.5</c:v>
                </c:pt>
                <c:pt idx="1">
                  <c:v>4431.490000000001</c:v>
                </c:pt>
                <c:pt idx="2">
                  <c:v>3416.98</c:v>
                </c:pt>
                <c:pt idx="3">
                  <c:v>22139</c:v>
                </c:pt>
                <c:pt idx="4">
                  <c:v>450</c:v>
                </c:pt>
                <c:pt idx="5">
                  <c:v>0</c:v>
                </c:pt>
                <c:pt idx="6">
                  <c:v>2519</c:v>
                </c:pt>
                <c:pt idx="7">
                  <c:v>72</c:v>
                </c:pt>
                <c:pt idx="8">
                  <c:v>0</c:v>
                </c:pt>
                <c:pt idx="9">
                  <c:v>13061.52</c:v>
                </c:pt>
                <c:pt idx="10">
                  <c:v>4813</c:v>
                </c:pt>
                <c:pt idx="11">
                  <c:v>330</c:v>
                </c:pt>
                <c:pt idx="12">
                  <c:v>304</c:v>
                </c:pt>
                <c:pt idx="13">
                  <c:v>800</c:v>
                </c:pt>
                <c:pt idx="14">
                  <c:v>340</c:v>
                </c:pt>
              </c:numCache>
            </c:numRef>
          </c:val>
        </c:ser>
        <c:dLbls>
          <c:showBubbleSize val="0"/>
          <c:showCatName val="0"/>
          <c:showLeaderLines val="1"/>
          <c:showLegendKey val="0"/>
          <c:showPercent val="0"/>
          <c:showSerName val="0"/>
          <c:showVal val="0"/>
        </c:dLbls>
        <c:firstSliceAng val="0"/>
      </c:pieChart>
      <c:spPr bwMode="auto">
        <a:prstGeom prst="rect">
          <a:avLst/>
        </a:prstGeom>
        <a:noFill/>
        <a:ln>
          <a:noFill/>
          <a:round/>
        </a:ln>
        <a:effectLst/>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ru-RU"/>
              <a:t>Доходы и траты</a:t>
            </a:r>
            <a:endParaRPr/>
          </a:p>
        </c:rich>
      </c:tx>
      <c:layout/>
      <c:overlay val="0"/>
      <c:spPr bwMode="auto">
        <a:prstGeom prst="rect">
          <a:avLst/>
        </a:prstGeom>
        <a:noFill/>
        <a:ln>
          <a:noFill/>
        </a:ln>
        <a:effectLst/>
      </c:spPr>
    </c:title>
    <c:autoTitleDeleted val="0"/>
    <c:plotArea>
      <c:layout/>
      <c:lineChart>
        <c:grouping val="standard"/>
        <c:varyColors val="0"/>
        <c:ser>
          <c:idx val="0"/>
          <c:order val="0"/>
          <c:tx>
            <c:v>Доходы</c:v>
          </c:tx>
          <c:spPr bwMode="auto">
            <a:prstGeom prst="rect">
              <a:avLst/>
            </a:prstGeom>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cat>
            <c:strRef>
              <c:f xml:space="preserve">'Сводная таблица Лера'!$A$2:$A$13</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 xml:space="preserve">'Сводная таблица Лера'!$C$2:$C$13</c:f>
              <c:numCache>
                <c:formatCode>General</c:formatCode>
                <c:ptCount val="12"/>
                <c:pt idx="0">
                  <c:v>20058.54</c:v>
                </c:pt>
                <c:pt idx="1">
                  <c:v>40451.380000000005</c:v>
                </c:pt>
                <c:pt idx="2">
                  <c:v>24200.88</c:v>
                </c:pt>
                <c:pt idx="3">
                  <c:v>26224.63</c:v>
                </c:pt>
                <c:pt idx="4">
                  <c:v>41001.51</c:v>
                </c:pt>
                <c:pt idx="5">
                  <c:v>23612.03</c:v>
                </c:pt>
                <c:pt idx="6">
                  <c:v>22800.92</c:v>
                </c:pt>
                <c:pt idx="7">
                  <c:v>24015.08</c:v>
                </c:pt>
                <c:pt idx="8">
                  <c:v>32736.329999999998</c:v>
                </c:pt>
                <c:pt idx="9">
                  <c:v>30822.25</c:v>
                </c:pt>
                <c:pt idx="10">
                  <c:v>39762.13</c:v>
                </c:pt>
                <c:pt idx="11">
                  <c:v>64966.7</c:v>
                </c:pt>
              </c:numCache>
            </c:numRef>
          </c:val>
          <c:smooth val="0"/>
        </c:ser>
        <c:ser>
          <c:idx val="1"/>
          <c:order val="1"/>
          <c:tx>
            <c:v>Траты</c:v>
          </c:tx>
          <c:spPr bwMode="auto">
            <a:prstGeom prst="rect">
              <a:avLst/>
            </a:prstGeom>
            <a:ln w="28575" cap="rnd">
              <a:solidFill>
                <a:schemeClr val="accent2"/>
              </a:solidFill>
              <a:round/>
            </a:ln>
            <a:effectLst/>
          </c:spPr>
          <c:marker>
            <c:symbol val="circle"/>
            <c:size val="5"/>
            <c:spPr bwMode="auto">
              <a:prstGeom prst="rect">
                <a:avLst/>
              </a:prstGeom>
              <a:solidFill>
                <a:schemeClr val="accent2"/>
              </a:solidFill>
              <a:ln w="9525">
                <a:solidFill>
                  <a:schemeClr val="accent2"/>
                </a:solidFill>
                <a:miter/>
              </a:ln>
              <a:effectLst/>
            </c:spPr>
          </c:marker>
          <c:val>
            <c:numRef>
              <c:f xml:space="preserve">'Сводная таблица Лера'!$B$2:$B$13</c:f>
              <c:numCache>
                <c:formatCode>General</c:formatCode>
                <c:ptCount val="12"/>
                <c:pt idx="1">
                  <c:v>20427.930000000004</c:v>
                </c:pt>
              </c:numCache>
            </c:numRef>
          </c:val>
          <c:smooth val="0"/>
        </c:ser>
        <c:dLbls>
          <c:showBubbleSize val="0"/>
          <c:showCatName val="0"/>
          <c:showLeaderLines val="0"/>
          <c:showLegendKey val="0"/>
          <c:showPercent val="0"/>
          <c:showSerName val="0"/>
          <c:showVal val="0"/>
        </c:dLbls>
        <c:marker val="1"/>
        <c:smooth val="0"/>
        <c:axId val="462270824"/>
        <c:axId val="462266120"/>
      </c:lineChart>
      <c:catAx>
        <c:axId val="462270824"/>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462266120"/>
        <c:crosses val="autoZero"/>
        <c:auto val="1"/>
        <c:lblAlgn val="ctr"/>
        <c:lblOffset val="100"/>
        <c:noMultiLvlLbl val="0"/>
      </c:catAx>
      <c:valAx>
        <c:axId val="462266120"/>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numFmt formatCode="General" sourceLinked="1"/>
        <c:majorTickMark val="none"/>
        <c:minorTickMark val="none"/>
        <c:tickLblPos val="nextTo"/>
        <c:spPr bwMode="auto">
          <a:prstGeom prst="rect">
            <a:avLst/>
          </a:prstGeom>
          <a:noFill/>
          <a:ln>
            <a:no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462270824"/>
        <c:crosses val="autoZero"/>
        <c:crossBetween val="between"/>
      </c:valAx>
      <c:spPr bwMode="auto">
        <a:prstGeom prst="rect">
          <a:avLst/>
        </a:prstGeom>
        <a:noFill/>
        <a:ln>
          <a:noFill/>
        </a:ln>
        <a:effectLst/>
      </c:spPr>
    </c:plotArea>
    <c:legend>
      <c:legendPos val="r"/>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ru-RU"/>
              <a:t>Свободный остаток</a:t>
            </a:r>
            <a:endParaRPr/>
          </a:p>
        </c:rich>
      </c:tx>
      <c:layout/>
      <c:overlay val="0"/>
      <c:spPr bwMode="auto">
        <a:prstGeom prst="rect">
          <a:avLst/>
        </a:prstGeom>
        <a:noFill/>
        <a:ln>
          <a:noFill/>
          <a:miter/>
        </a:ln>
        <a:effectLst/>
      </c:spPr>
    </c:title>
    <c:autoTitleDeleted val="0"/>
    <c:plotArea>
      <c:layout/>
      <c:barChart>
        <c:barDir val="col"/>
        <c:grouping val="stacked"/>
        <c:varyColors val="0"/>
        <c:ser>
          <c:idx val="0"/>
          <c:order val="0"/>
          <c:tx>
            <c:strRef>
              <c:f xml:space="preserve">'Сводная таблица Лера'!$A$2:$A$13</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tx>
          <c:spPr bwMode="auto">
            <a:prstGeom prst="rect">
              <a:avLst/>
            </a:prstGeom>
            <a:solidFill>
              <a:schemeClr val="accent1"/>
            </a:solidFill>
            <a:ln>
              <a:noFill/>
            </a:ln>
            <a:effectLst/>
          </c:spPr>
          <c:invertIfNegative val="0"/>
          <c:cat>
            <c:strRef>
              <c:f xml:space="preserve">'Сводная таблица Лера'!$A$2:$A$13</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 xml:space="preserve">'Сводная таблица Лера'!$D$2:$D$13</c:f>
              <c:numCache>
                <c:formatCode>General</c:formatCode>
                <c:ptCount val="12"/>
                <c:pt idx="0">
                  <c:v>20058.54</c:v>
                </c:pt>
                <c:pt idx="1">
                  <c:v>20023.45</c:v>
                </c:pt>
                <c:pt idx="2">
                  <c:v>24200.88</c:v>
                </c:pt>
                <c:pt idx="3">
                  <c:v>26224.63</c:v>
                </c:pt>
                <c:pt idx="4">
                  <c:v>41001.51</c:v>
                </c:pt>
                <c:pt idx="5">
                  <c:v>23612.03</c:v>
                </c:pt>
                <c:pt idx="6">
                  <c:v>22800.92</c:v>
                </c:pt>
                <c:pt idx="7">
                  <c:v>24015.08</c:v>
                </c:pt>
                <c:pt idx="8">
                  <c:v>32736.329999999998</c:v>
                </c:pt>
                <c:pt idx="9">
                  <c:v>30822.25</c:v>
                </c:pt>
                <c:pt idx="10">
                  <c:v>39762.13</c:v>
                </c:pt>
                <c:pt idx="11">
                  <c:v>64966.7</c:v>
                </c:pt>
              </c:numCache>
            </c:numRef>
          </c:val>
        </c:ser>
        <c:dLbls>
          <c:showBubbleSize val="0"/>
          <c:showCatName val="0"/>
          <c:showLeaderLines val="0"/>
          <c:showLegendKey val="0"/>
          <c:showPercent val="0"/>
          <c:showSerName val="0"/>
          <c:showVal val="0"/>
        </c:dLbls>
        <c:gapWidth val="150"/>
        <c:overlap val="100"/>
        <c:axId val="462268080"/>
        <c:axId val="462272392"/>
      </c:barChart>
      <c:catAx>
        <c:axId val="462268080"/>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462272392"/>
        <c:crosses val="autoZero"/>
        <c:auto val="1"/>
        <c:lblAlgn val="ctr"/>
        <c:lblOffset val="100"/>
        <c:noMultiLvlLbl val="0"/>
      </c:catAx>
      <c:valAx>
        <c:axId val="462272392"/>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numFmt formatCode="General"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462268080"/>
        <c:crosses val="autoZero"/>
        <c:crossBetween val="between"/>
      </c:valAx>
      <c:spPr bwMode="auto">
        <a:prstGeom prst="rect">
          <a:avLst/>
        </a:prstGeom>
        <a:noFill/>
        <a:ln>
          <a:noFill/>
        </a:ln>
        <a:effectLst/>
      </c:spPr>
    </c:plotArea>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ru-RU"/>
              <a:t>Реальная ЗП</a:t>
            </a:r>
            <a:endParaRPr/>
          </a:p>
        </c:rich>
      </c:tx>
      <c:layout/>
      <c:overlay val="0"/>
      <c:spPr bwMode="auto">
        <a:prstGeom prst="rect">
          <a:avLst/>
        </a:prstGeom>
        <a:noFill/>
        <a:ln>
          <a:noFill/>
        </a:ln>
        <a:effectLst/>
      </c:spPr>
    </c:title>
    <c:autoTitleDeleted val="0"/>
    <c:plotArea>
      <c:layout/>
      <c:barChart>
        <c:barDir val="col"/>
        <c:grouping val="stacked"/>
        <c:varyColors val="0"/>
        <c:ser>
          <c:idx val="0"/>
          <c:order val="0"/>
          <c:invertIfNegative val="0"/>
          <c:cat>
            <c:strRef>
              <c:f xml:space="preserve">'Сводная таблица Лера'!$A$2:$A$13</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 xml:space="preserve">'Сводная таблица Лера'!$E$2:$E$13</c:f>
              <c:numCache>
                <c:formatCode>General</c:formatCode>
                <c:ptCount val="12"/>
                <c:pt idx="0">
                  <c:v>23555.38</c:v>
                </c:pt>
                <c:pt idx="1">
                  <c:v>25017.88</c:v>
                </c:pt>
                <c:pt idx="2">
                  <c:v>25666.63</c:v>
                </c:pt>
                <c:pt idx="3">
                  <c:v>25114.2</c:v>
                </c:pt>
                <c:pt idx="4">
                  <c:v>27341.03</c:v>
                </c:pt>
                <c:pt idx="5">
                  <c:v>33207.39</c:v>
                </c:pt>
                <c:pt idx="6">
                  <c:v>24372.63</c:v>
                </c:pt>
                <c:pt idx="7">
                  <c:v>24872.39</c:v>
                </c:pt>
                <c:pt idx="8">
                  <c:v>31941.23</c:v>
                </c:pt>
                <c:pt idx="9">
                  <c:v>40712.27</c:v>
                </c:pt>
                <c:pt idx="10">
                  <c:v>37984.35</c:v>
                </c:pt>
                <c:pt idx="11">
                  <c:v>37980.06</c:v>
                </c:pt>
              </c:numCache>
            </c:numRef>
          </c:val>
        </c:ser>
        <c:dLbls>
          <c:showBubbleSize val="0"/>
          <c:showCatName val="0"/>
          <c:showLeaderLines val="0"/>
          <c:showLegendKey val="0"/>
          <c:showPercent val="0"/>
          <c:showSerName val="0"/>
          <c:showVal val="0"/>
        </c:dLbls>
        <c:gapWidth val="150"/>
        <c:overlap val="100"/>
        <c:axId val="520435368"/>
        <c:axId val="520430664"/>
      </c:barChart>
      <c:catAx>
        <c:axId val="520435368"/>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520430664"/>
        <c:crosses val="autoZero"/>
        <c:auto val="1"/>
        <c:lblAlgn val="ctr"/>
        <c:lblOffset val="100"/>
        <c:noMultiLvlLbl val="0"/>
      </c:catAx>
      <c:valAx>
        <c:axId val="520430664"/>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numFmt formatCode="General"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520435368"/>
        <c:crosses val="autoZero"/>
        <c:crossBetween val="between"/>
      </c:valAx>
      <c:spPr bwMode="auto">
        <a:prstGeom prst="rect">
          <a:avLst/>
        </a:prstGeom>
        <a:noFill/>
        <a:ln>
          <a:noFill/>
        </a:ln>
        <a:effectLst/>
      </c:spPr>
    </c:plotArea>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spPr bwMode="auto">
      <a:prstGeom prst="rect">
        <a:avLst/>
      </a:prstGeom>
      <a:ln w="19050">
        <a:solidFill>
          <a:schemeClr val="lt1"/>
        </a:solidFill>
      </a:ln>
    </cs:spPr>
  </cs:dataPoint>
  <cs:dataPoint3D>
    <cs:lnRef idx="0"/>
    <cs:fillRef idx="1">
      <cs:styleClr val="auto"/>
    </cs:fillRef>
    <cs:effectRef idx="0"/>
    <cs:fontRef idx="minor">
      <a:schemeClr val="tx1"/>
    </cs:fontRef>
    <cs:spPr bwMode="auto">
      <a:prstGeom prst="rect">
        <a:avLst/>
      </a:prstGeom>
      <a:ln w="25400">
        <a:solidFill>
          <a:schemeClr val="lt1"/>
        </a:solidFill>
        <a:round/>
      </a:ln>
    </cs:spPr>
  </cs:dataPoint3D>
  <cs:dataPointLine>
    <cs:lnRef idx="0">
      <cs:styleClr val="auto"/>
    </cs:lnRef>
    <cs:fillRef idx="0"/>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round/>
      </a:ln>
    </cs:spPr>
  </cs:dataPointMarker>
  <cs:dataPointWireframe>
    <cs:lnRef idx="0">
      <cs:styleClr val="auto"/>
    </cs:lnRef>
    <cs:fillRef idx="0"/>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spPr bwMode="auto">
      <a:prstGeom prst="rect">
        <a:avLst/>
      </a:prstGeom>
      <a:ln w="19050">
        <a:solidFill>
          <a:schemeClr val="lt1"/>
        </a:solidFill>
        <a:miter/>
      </a:ln>
    </cs:spPr>
  </cs:dataPoint>
  <cs:dataPoint3D>
    <cs:lnRef idx="0"/>
    <cs:fillRef idx="1">
      <cs:styleClr val="auto"/>
    </cs:fillRef>
    <cs:effectRef idx="0"/>
    <cs:fontRef idx="minor">
      <a:schemeClr val="tx1"/>
    </cs:fontRef>
    <cs:spPr bwMode="auto">
      <a:prstGeom prst="rect">
        <a:avLst/>
      </a:prstGeom>
      <a:ln w="25400">
        <a:solidFill>
          <a:schemeClr val="lt1"/>
        </a:solidFill>
        <a:round/>
      </a:ln>
    </cs:spPr>
  </cs:dataPoint3D>
  <cs:dataPointLine>
    <cs:lnRef idx="0">
      <cs:styleClr val="auto"/>
    </cs:lnRef>
    <cs:fillRef idx="0"/>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0"/>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Relationships xmlns="http://schemas.openxmlformats.org/package/2006/relationships"><Relationship Id="rId1" Type="http://schemas.openxmlformats.org/officeDocument/2006/relationships/chart" Target="../charts/chart2.xml" /></Relationships>
</file>

<file path=xl/drawings/_rels/drawing3.xml.rels><?xml version="1.0" encoding="UTF-8" standalone="yes"?><Relationships xmlns="http://schemas.openxmlformats.org/package/2006/relationships"><Relationship Id="rId1" Type="http://schemas.openxmlformats.org/officeDocument/2006/relationships/chart" Target="../charts/chart3.xml" /></Relationships>
</file>

<file path=xl/drawings/_rels/drawing4.xml.rels><?xml version="1.0" encoding="UTF-8" standalone="yes"?><Relationships xmlns="http://schemas.openxmlformats.org/package/2006/relationships"><Relationship Id="rId1" Type="http://schemas.openxmlformats.org/officeDocument/2006/relationships/chart" Target="../charts/chart4.xml" /></Relationships>
</file>

<file path=xl/drawings/_rels/drawing5.xml.rels><?xml version="1.0" encoding="UTF-8" standalone="yes"?><Relationships xmlns="http://schemas.openxmlformats.org/package/2006/relationships"><Relationship Id="rId1" Type="http://schemas.openxmlformats.org/officeDocument/2006/relationships/chart" Target="../charts/chart5.xml" /></Relationships>
</file>

<file path=xl/drawings/_rels/drawing6.xml.rels><?xml version="1.0" encoding="UTF-8" standalone="yes"?><Relationships xmlns="http://schemas.openxmlformats.org/package/2006/relationships"><Relationship Id="rId1" Type="http://schemas.openxmlformats.org/officeDocument/2006/relationships/chart" Target="../charts/chart6.xml" /></Relationships>
</file>

<file path=xl/drawings/_rels/drawing7.xml.rels><?xml version="1.0" encoding="UTF-8" standalone="yes"?><Relationships xmlns="http://schemas.openxmlformats.org/package/2006/relationships"><Relationship Id="rId1" Type="http://schemas.openxmlformats.org/officeDocument/2006/relationships/chart" Target="../charts/chart7.xml" /><Relationship Id="rId2" Type="http://schemas.openxmlformats.org/officeDocument/2006/relationships/chart" Target="../charts/chart8.xml" /><Relationship Id="rId3" Type="http://schemas.openxmlformats.org/officeDocument/2006/relationships/chart" Target="../charts/chart9.xml" /><Relationship Id="rId4" Type="http://schemas.openxmlformats.org/officeDocument/2006/relationships/chart" Target="../charts/chart10.xml" /></Relationships>
</file>

<file path=xl/drawings/_rels/drawing8.xml.rels><?xml version="1.0" encoding="UTF-8" standalone="yes"?><Relationships xmlns="http://schemas.openxmlformats.org/package/2006/relationships"><Relationship Id="rId1" Type="http://schemas.openxmlformats.org/officeDocument/2006/relationships/chart" Target="../charts/chart11.xml" /><Relationship Id="rId2"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19</xdr:col>
      <xdr:colOff>19050</xdr:colOff>
      <xdr:row>0</xdr:row>
      <xdr:rowOff>4762</xdr:rowOff>
    </xdr:from>
    <xdr:to>
      <xdr:col>28</xdr:col>
      <xdr:colOff>590549</xdr:colOff>
      <xdr:row>31</xdr:row>
      <xdr:rowOff>171450</xdr:rowOff>
    </xdr:to>
    <xdr:graphicFrame>
      <xdr:nvGraphicFramePr>
        <xdr:cNvPr id="4" name="Диаграмма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19</xdr:col>
      <xdr:colOff>19049</xdr:colOff>
      <xdr:row>0</xdr:row>
      <xdr:rowOff>0</xdr:rowOff>
    </xdr:from>
    <xdr:to>
      <xdr:col>28</xdr:col>
      <xdr:colOff>600074</xdr:colOff>
      <xdr:row>31</xdr:row>
      <xdr:rowOff>180974</xdr:rowOff>
    </xdr:to>
    <xdr:graphicFrame>
      <xdr:nvGraphicFramePr>
        <xdr:cNvPr id="4" name="Диаграмма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19</xdr:col>
      <xdr:colOff>28575</xdr:colOff>
      <xdr:row>0</xdr:row>
      <xdr:rowOff>23811</xdr:rowOff>
    </xdr:from>
    <xdr:to>
      <xdr:col>28</xdr:col>
      <xdr:colOff>561975</xdr:colOff>
      <xdr:row>32</xdr:row>
      <xdr:rowOff>171450</xdr:rowOff>
    </xdr:to>
    <xdr:graphicFrame>
      <xdr:nvGraphicFramePr>
        <xdr:cNvPr id="4" name="Диаграмма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19</xdr:col>
      <xdr:colOff>9525</xdr:colOff>
      <xdr:row>0</xdr:row>
      <xdr:rowOff>23811</xdr:rowOff>
    </xdr:from>
    <xdr:to>
      <xdr:col>28</xdr:col>
      <xdr:colOff>600075</xdr:colOff>
      <xdr:row>34</xdr:row>
      <xdr:rowOff>19050</xdr:rowOff>
    </xdr:to>
    <xdr:graphicFrame>
      <xdr:nvGraphicFramePr>
        <xdr:cNvPr id="4" name="Диаграмма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19</xdr:col>
      <xdr:colOff>114300</xdr:colOff>
      <xdr:row>1</xdr:row>
      <xdr:rowOff>33336</xdr:rowOff>
    </xdr:from>
    <xdr:to>
      <xdr:col>28</xdr:col>
      <xdr:colOff>600075</xdr:colOff>
      <xdr:row>32</xdr:row>
      <xdr:rowOff>0</xdr:rowOff>
    </xdr:to>
    <xdr:graphicFrame>
      <xdr:nvGraphicFramePr>
        <xdr:cNvPr id="4" name="Диаграмма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20</xdr:col>
      <xdr:colOff>0</xdr:colOff>
      <xdr:row>1</xdr:row>
      <xdr:rowOff>0</xdr:rowOff>
    </xdr:from>
    <xdr:to>
      <xdr:col>29</xdr:col>
      <xdr:colOff>485775</xdr:colOff>
      <xdr:row>32</xdr:row>
      <xdr:rowOff>157163</xdr:rowOff>
    </xdr:to>
    <xdr:graphicFrame>
      <xdr:nvGraphicFramePr>
        <xdr:cNvPr id="4" name="Диаграмма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5</xdr:col>
      <xdr:colOff>0</xdr:colOff>
      <xdr:row>0</xdr:row>
      <xdr:rowOff>0</xdr:rowOff>
    </xdr:from>
    <xdr:to>
      <xdr:col>12</xdr:col>
      <xdr:colOff>533400</xdr:colOff>
      <xdr:row>15</xdr:row>
      <xdr:rowOff>161924</xdr:rowOff>
    </xdr:to>
    <xdr:graphicFrame>
      <xdr:nvGraphicFramePr>
        <xdr:cNvPr id="4" name="Диаграмма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12</xdr:col>
      <xdr:colOff>561975</xdr:colOff>
      <xdr:row>0</xdr:row>
      <xdr:rowOff>0</xdr:rowOff>
    </xdr:from>
    <xdr:to>
      <xdr:col>19</xdr:col>
      <xdr:colOff>595313</xdr:colOff>
      <xdr:row>15</xdr:row>
      <xdr:rowOff>161924</xdr:rowOff>
    </xdr:to>
    <xdr:graphicFrame>
      <xdr:nvGraphicFramePr>
        <xdr:cNvPr id="5" name="Диаграмма 2"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20</xdr:col>
      <xdr:colOff>0</xdr:colOff>
      <xdr:row>0</xdr:row>
      <xdr:rowOff>0</xdr:rowOff>
    </xdr:from>
    <xdr:to>
      <xdr:col>27</xdr:col>
      <xdr:colOff>438150</xdr:colOff>
      <xdr:row>15</xdr:row>
      <xdr:rowOff>180975</xdr:rowOff>
    </xdr:to>
    <xdr:graphicFrame>
      <xdr:nvGraphicFramePr>
        <xdr:cNvPr id="6" name="Диаграмма 3"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twoCell">
    <xdr:from>
      <xdr:col>20</xdr:col>
      <xdr:colOff>11207</xdr:colOff>
      <xdr:row>15</xdr:row>
      <xdr:rowOff>179294</xdr:rowOff>
    </xdr:from>
    <xdr:to>
      <xdr:col>27</xdr:col>
      <xdr:colOff>449357</xdr:colOff>
      <xdr:row>31</xdr:row>
      <xdr:rowOff>169769</xdr:rowOff>
    </xdr:to>
    <xdr:graphicFrame>
      <xdr:nvGraphicFramePr>
        <xdr:cNvPr id="7" name="Диаграмма 3"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4</xdr:col>
      <xdr:colOff>4762</xdr:colOff>
      <xdr:row>87</xdr:row>
      <xdr:rowOff>123824</xdr:rowOff>
    </xdr:from>
    <xdr:to>
      <xdr:col>6</xdr:col>
      <xdr:colOff>2224087</xdr:colOff>
      <xdr:row>102</xdr:row>
      <xdr:rowOff>133349</xdr:rowOff>
    </xdr:to>
    <xdr:graphicFrame>
      <xdr:nvGraphicFramePr>
        <xdr:cNvPr id="278146878" name=""/>
        <xdr:cNvGraphicFramePr>
          <a:graphicFrameLocks xmlns:a="http://schemas.openxmlformats.org/drawingml/2006/main"/>
        </xdr:cNvGraphicFramePr>
      </xdr:nvGraphicFramePr>
      <xdr:xfrm>
        <a:off x="3738562" y="15868649"/>
        <a:ext cx="4552949" cy="2724149"/>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7</xdr:col>
      <xdr:colOff>42861</xdr:colOff>
      <xdr:row>87</xdr:row>
      <xdr:rowOff>123824</xdr:rowOff>
    </xdr:from>
    <xdr:to>
      <xdr:col>12</xdr:col>
      <xdr:colOff>347662</xdr:colOff>
      <xdr:row>102</xdr:row>
      <xdr:rowOff>133349</xdr:rowOff>
    </xdr:to>
    <xdr:graphicFrame>
      <xdr:nvGraphicFramePr>
        <xdr:cNvPr id="1496737533" name=""/>
        <xdr:cNvGraphicFramePr>
          <a:graphicFrameLocks xmlns:a="http://schemas.openxmlformats.org/drawingml/2006/main"/>
        </xdr:cNvGraphicFramePr>
      </xdr:nvGraphicFramePr>
      <xdr:xfrm>
        <a:off x="8367712" y="15868649"/>
        <a:ext cx="4552949" cy="2724149"/>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Автор" id="{3E33E0F1-D7CB-2DBE-FE30-8D46FE97F60E}"/>
  <person displayName="RePack by Diakov" id="{E66B80C0-180D-1132-C008-EF1DF1C9CC4E}"/>
  <person displayName="Дмитрий Артемьев" id="{177261CE-E9CC-6118-1949-F65139FCB9D8}" userId="171300068"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F35" personId="{3E33E0F1-D7CB-2DBE-FE30-8D46FE97F60E}" id="{00750055-0096-4552-93F7-001E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10.xml><?xml version="1.0" encoding="utf-8"?>
<ThreadedComments xmlns="http://schemas.microsoft.com/office/spreadsheetml/2018/threadedcomments" xmlns:x="http://schemas.openxmlformats.org/spreadsheetml/2006/main">
  <threadedComment ref="E2" personId="{3E33E0F1-D7CB-2DBE-FE30-8D46FE97F60E}" id="{00CC00DE-007F-4285-8B71-00BB0049009A}" done="0">
    <text xml:space="preserve">мама
</text>
  </threadedComment>
  <threadedComment ref="F35" personId="{3E33E0F1-D7CB-2DBE-FE30-8D46FE97F60E}" id="{00E7008B-00D1-4D05-8F5E-00F7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11.xml><?xml version="1.0" encoding="utf-8"?>
<ThreadedComments xmlns="http://schemas.microsoft.com/office/spreadsheetml/2018/threadedcomments" xmlns:x="http://schemas.openxmlformats.org/spreadsheetml/2006/main">
  <threadedComment ref="E2" personId="{3E33E0F1-D7CB-2DBE-FE30-8D46FE97F60E}" id="{003A000B-006C-4029-A6BE-00E6007500D6}" done="0">
    <text xml:space="preserve">мама
</text>
  </threadedComment>
  <threadedComment ref="F34" personId="{3E33E0F1-D7CB-2DBE-FE30-8D46FE97F60E}" id="{008600EE-0061-49EB-A963-009C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12.xml><?xml version="1.0" encoding="utf-8"?>
<ThreadedComments xmlns="http://schemas.microsoft.com/office/spreadsheetml/2018/threadedcomments" xmlns:x="http://schemas.openxmlformats.org/spreadsheetml/2006/main">
  <threadedComment ref="E2" personId="{3E33E0F1-D7CB-2DBE-FE30-8D46FE97F60E}" id="{0038008D-00FD-473A-945B-001E00BB003C}" done="0">
    <text xml:space="preserve">мама
</text>
  </threadedComment>
  <threadedComment ref="F35" personId="{3E33E0F1-D7CB-2DBE-FE30-8D46FE97F60E}" id="{006E00FF-00F3-4FD4-B427-0067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13.xml><?xml version="1.0" encoding="utf-8"?>
<ThreadedComments xmlns="http://schemas.microsoft.com/office/spreadsheetml/2018/threadedcomments" xmlns:x="http://schemas.openxmlformats.org/spreadsheetml/2006/main">
  <threadedComment ref="E2" personId="{3E33E0F1-D7CB-2DBE-FE30-8D46FE97F60E}" id="{000600BB-0062-42F3-A45B-005700870058}" done="0">
    <text xml:space="preserve">мама
</text>
  </threadedComment>
  <threadedComment ref="F35" personId="{3E33E0F1-D7CB-2DBE-FE30-8D46FE97F60E}" id="{006100A0-00E3-4E8A-9838-00F4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14.xml><?xml version="1.0" encoding="utf-8"?>
<ThreadedComments xmlns="http://schemas.microsoft.com/office/spreadsheetml/2018/threadedcomments" xmlns:x="http://schemas.openxmlformats.org/spreadsheetml/2006/main">
  <threadedComment ref="E2" personId="{3E33E0F1-D7CB-2DBE-FE30-8D46FE97F60E}" id="{00F1004C-00A0-4EC2-971F-001300C500D9}" done="0">
    <text xml:space="preserve">мама
</text>
  </threadedComment>
  <threadedComment ref="F34" personId="{3E33E0F1-D7CB-2DBE-FE30-8D46FE97F60E}" id="{005200A7-001E-4216-8FD4-001E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15.xml><?xml version="1.0" encoding="utf-8"?>
<ThreadedComments xmlns="http://schemas.microsoft.com/office/spreadsheetml/2018/threadedcomments" xmlns:x="http://schemas.openxmlformats.org/spreadsheetml/2006/main">
  <threadedComment ref="E2" personId="{3E33E0F1-D7CB-2DBE-FE30-8D46FE97F60E}" id="{00D3002B-00B9-4E6E-B434-00FD000B0032}" done="0">
    <text xml:space="preserve">мама
</text>
  </threadedComment>
  <threadedComment ref="F35" personId="{3E33E0F1-D7CB-2DBE-FE30-8D46FE97F60E}" id="{007C00B4-00AB-4123-9357-000B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16.xml><?xml version="1.0" encoding="utf-8"?>
<ThreadedComments xmlns="http://schemas.microsoft.com/office/spreadsheetml/2018/threadedcomments" xmlns:x="http://schemas.openxmlformats.org/spreadsheetml/2006/main">
  <threadedComment ref="E2" personId="{3E33E0F1-D7CB-2DBE-FE30-8D46FE97F60E}" id="{00C0002C-00A0-40F7-9166-005400570078}" done="0">
    <text xml:space="preserve">мама
</text>
  </threadedComment>
  <threadedComment ref="F34" personId="{3E33E0F1-D7CB-2DBE-FE30-8D46FE97F60E}" id="{00410044-00B3-4868-A1CF-000C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17.xml><?xml version="1.0" encoding="utf-8"?>
<ThreadedComments xmlns="http://schemas.microsoft.com/office/spreadsheetml/2018/threadedcomments" xmlns:x="http://schemas.openxmlformats.org/spreadsheetml/2006/main">
  <threadedComment ref="E2" personId="{3E33E0F1-D7CB-2DBE-FE30-8D46FE97F60E}" id="{00130014-0066-4037-942D-003A007E00D3}" done="0">
    <text xml:space="preserve">мама
</text>
  </threadedComment>
  <threadedComment ref="F35" personId="{3E33E0F1-D7CB-2DBE-FE30-8D46FE97F60E}" id="{00150080-00C8-4AE2-816C-0013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18.xml><?xml version="1.0" encoding="utf-8"?>
<ThreadedComments xmlns="http://schemas.microsoft.com/office/spreadsheetml/2018/threadedcomments" xmlns:x="http://schemas.openxmlformats.org/spreadsheetml/2006/main">
  <threadedComment ref="AA2" personId="{3E33E0F1-D7CB-2DBE-FE30-8D46FE97F60E}" id="{366E7377-2C17-CBDD-7EB4-A9986B6E3B55}" done="0">
    <text xml:space="preserve">мама
</text>
  </threadedComment>
  <threadedComment ref="E2" personId="{3E33E0F1-D7CB-2DBE-FE30-8D46FE97F60E}" id="{002F0057-00B3-4D4E-B26D-008700AD00A0}" done="0">
    <text xml:space="preserve">мама
</text>
  </threadedComment>
  <threadedComment ref="AB35" personId="{3E33E0F1-D7CB-2DBE-FE30-8D46FE97F60E}" id="{00BC00FC-00E5-48FA-A30E-009B00AD003E}"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004C0059-0049-4ED3-A9F7-0005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19.xml><?xml version="1.0" encoding="utf-8"?>
<ThreadedComments xmlns="http://schemas.microsoft.com/office/spreadsheetml/2018/threadedcomments" xmlns:x="http://schemas.openxmlformats.org/spreadsheetml/2006/main">
  <threadedComment ref="X2" personId="{3E33E0F1-D7CB-2DBE-FE30-8D46FE97F60E}" id="{006A009C-00A3-4DCA-8C03-004A0081007C}" done="0">
    <text xml:space="preserve">мама
</text>
  </threadedComment>
  <threadedComment ref="E2" personId="{3E33E0F1-D7CB-2DBE-FE30-8D46FE97F60E}" id="{00C000CD-0058-48D6-A62A-000100230050}" done="0">
    <text xml:space="preserve">мама
</text>
  </threadedComment>
  <threadedComment ref="Z32" personId="{3E33E0F1-D7CB-2DBE-FE30-8D46FE97F60E}" id="{000600E1-00B4-4632-8B84-0033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2" personId="{3E33E0F1-D7CB-2DBE-FE30-8D46FE97F60E}" id="{0032007C-005C-4E82-8662-0047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2.xml><?xml version="1.0" encoding="utf-8"?>
<ThreadedComments xmlns="http://schemas.microsoft.com/office/spreadsheetml/2018/threadedcomments" xmlns:x="http://schemas.openxmlformats.org/spreadsheetml/2006/main">
  <threadedComment ref="F34" personId="{3E33E0F1-D7CB-2DBE-FE30-8D46FE97F60E}" id="{007E005F-002B-4FBA-98F1-00FE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20.xml><?xml version="1.0" encoding="utf-8"?>
<ThreadedComments xmlns="http://schemas.microsoft.com/office/spreadsheetml/2018/threadedcomments" xmlns:x="http://schemas.openxmlformats.org/spreadsheetml/2006/main">
  <threadedComment ref="X2" personId="{3E33E0F1-D7CB-2DBE-FE30-8D46FE97F60E}" id="{007B0081-0007-462B-B1DB-006B0088004D}" done="0">
    <text xml:space="preserve">мама
</text>
  </threadedComment>
  <threadedComment ref="E2" personId="{3E33E0F1-D7CB-2DBE-FE30-8D46FE97F60E}" id="{009C00C0-00E7-44DA-8F11-001A0082002A}" done="0">
    <text xml:space="preserve">мама
</text>
  </threadedComment>
  <threadedComment ref="Z35" personId="{3E33E0F1-D7CB-2DBE-FE30-8D46FE97F60E}" id="{00E700FB-006E-49B5-BC32-008C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001B003E-00CC-449E-A9D3-0050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21.xml><?xml version="1.0" encoding="utf-8"?>
<ThreadedComments xmlns="http://schemas.microsoft.com/office/spreadsheetml/2018/threadedcomments" xmlns:x="http://schemas.openxmlformats.org/spreadsheetml/2006/main">
  <threadedComment ref="X2" personId="{3E33E0F1-D7CB-2DBE-FE30-8D46FE97F60E}" id="{002400BD-0085-47FA-A999-000400F30016}" done="0">
    <text xml:space="preserve">мама
</text>
  </threadedComment>
  <threadedComment ref="E2" personId="{3E33E0F1-D7CB-2DBE-FE30-8D46FE97F60E}" id="{00A7007E-00E4-47BE-AB7D-002400D70007}" done="0">
    <text xml:space="preserve">мама
</text>
  </threadedComment>
  <threadedComment ref="Z35" personId="{3E33E0F1-D7CB-2DBE-FE30-8D46FE97F60E}" id="{00440084-008C-46BA-830C-0091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00ED0088-008E-48A0-9286-0050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22.xml><?xml version="1.0" encoding="utf-8"?>
<ThreadedComments xmlns="http://schemas.microsoft.com/office/spreadsheetml/2018/threadedcomments" xmlns:x="http://schemas.openxmlformats.org/spreadsheetml/2006/main">
  <threadedComment ref="X2" personId="{3E33E0F1-D7CB-2DBE-FE30-8D46FE97F60E}" id="{00AD0060-001C-457C-A653-009E009800FB}" done="0">
    <text xml:space="preserve">мама
</text>
  </threadedComment>
  <threadedComment ref="F2" personId="{3E33E0F1-D7CB-2DBE-FE30-8D46FE97F60E}" id="{000B0033-00C9-4F6E-A030-009900A5002C}" done="0">
    <text xml:space="preserve">мама
</text>
  </threadedComment>
  <threadedComment ref="M14" personId="{3E33E0F1-D7CB-2DBE-FE30-8D46FE97F60E}" id="{00BD0073-0024-4FB5-B425-006700300000}" done="0">
    <text xml:space="preserve">осьминожка
</text>
  </threadedComment>
  <threadedComment ref="Z35" personId="{3E33E0F1-D7CB-2DBE-FE30-8D46FE97F60E}" id="{006B0030-00C9-499C-86F6-0044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0025002B-0061-410F-A274-00D8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23.xml><?xml version="1.0" encoding="utf-8"?>
<ThreadedComments xmlns="http://schemas.microsoft.com/office/spreadsheetml/2018/threadedcomments" xmlns:x="http://schemas.openxmlformats.org/spreadsheetml/2006/main">
  <threadedComment ref="X2" personId="{3E33E0F1-D7CB-2DBE-FE30-8D46FE97F60E}" id="{00F1003C-00F9-47A7-8E5B-00C600DE00C3}" done="0">
    <text xml:space="preserve">мама
</text>
  </threadedComment>
  <threadedComment ref="F2" personId="{3E33E0F1-D7CB-2DBE-FE30-8D46FE97F60E}" id="{00A00032-00C7-4DFB-BF95-004900860005}" done="0">
    <text xml:space="preserve">мама
</text>
  </threadedComment>
  <threadedComment ref="M14" personId="{3E33E0F1-D7CB-2DBE-FE30-8D46FE97F60E}" id="{00FE0045-001E-4ED2-8A20-00BD00B6001B}" done="0">
    <text xml:space="preserve">брош
</text>
  </threadedComment>
  <threadedComment ref="Z35" personId="{3E33E0F1-D7CB-2DBE-FE30-8D46FE97F60E}" id="{00C1007E-0075-496C-A649-0049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00040017-0083-4109-AFCD-0010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24.xml><?xml version="1.0" encoding="utf-8"?>
<ThreadedComments xmlns="http://schemas.microsoft.com/office/spreadsheetml/2018/threadedcomments" xmlns:x="http://schemas.openxmlformats.org/spreadsheetml/2006/main">
  <threadedComment ref="AB2" personId="{3E33E0F1-D7CB-2DBE-FE30-8D46FE97F60E}" id="{936AD18B-9224-BF4B-F632-743261D6DB4F}" done="0">
    <text xml:space="preserve">мама
</text>
  </threadedComment>
  <threadedComment ref="F2" personId="{3E33E0F1-D7CB-2DBE-FE30-8D46FE97F60E}" id="{005E0036-00C5-4559-9807-0089005F009D}" done="0">
    <text xml:space="preserve">мама
</text>
  </threadedComment>
  <threadedComment ref="M14" personId="{3E33E0F1-D7CB-2DBE-FE30-8D46FE97F60E}" id="{00580099-00BF-4A95-9383-0079007700C8}" done="0">
    <text xml:space="preserve">брош
</text>
  </threadedComment>
  <threadedComment ref="AI14" personId="{3E33E0F1-D7CB-2DBE-FE30-8D46FE97F60E}" id="{E3DB5BE0-66E4-B7D7-C42F-E934B907149B}" done="0">
    <text xml:space="preserve">брош
</text>
  </threadedComment>
  <threadedComment ref="AB35" personId="{3E33E0F1-D7CB-2DBE-FE30-8D46FE97F60E}" id="{D2705E39-AB22-F6BF-0C25-9FE8344EEDD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00E100B9-0012-42C6-9746-00FA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25.xml><?xml version="1.0" encoding="utf-8"?>
<ThreadedComments xmlns="http://schemas.microsoft.com/office/spreadsheetml/2018/threadedcomments" xmlns:x="http://schemas.openxmlformats.org/spreadsheetml/2006/main">
  <threadedComment ref="AB2" personId="{3E33E0F1-D7CB-2DBE-FE30-8D46FE97F60E}" id="{2D39D2A4-4B66-F0E1-7DE0-2BBE3C810369}" done="0">
    <text xml:space="preserve">мама
</text>
  </threadedComment>
  <threadedComment ref="F2" personId="{3E33E0F1-D7CB-2DBE-FE30-8D46FE97F60E}" id="{00C200C6-00EE-4924-8DA3-0055006500D9}" done="0">
    <text xml:space="preserve">мама
</text>
  </threadedComment>
  <threadedComment ref="M14" personId="{3E33E0F1-D7CB-2DBE-FE30-8D46FE97F60E}" id="{00BB00EC-0062-47F3-811E-00A900E10044}" done="0">
    <text xml:space="preserve">брош
</text>
  </threadedComment>
  <threadedComment ref="AI14" personId="{3E33E0F1-D7CB-2DBE-FE30-8D46FE97F60E}" id="{57518CF8-8AC7-9EA1-4B45-F8668E5902D1}" done="0">
    <text xml:space="preserve">брош
</text>
  </threadedComment>
  <threadedComment ref="AB35" personId="{3E33E0F1-D7CB-2DBE-FE30-8D46FE97F60E}" id="{75A6A55D-A1F8-9B4E-D352-8D7C86D0E979}"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00F300E6-0002-4947-9EB6-00CF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26.xml><?xml version="1.0" encoding="utf-8"?>
<ThreadedComments xmlns="http://schemas.microsoft.com/office/spreadsheetml/2018/threadedcomments" xmlns:x="http://schemas.openxmlformats.org/spreadsheetml/2006/main">
  <threadedComment ref="AB2" personId="{3E33E0F1-D7CB-2DBE-FE30-8D46FE97F60E}" id="{071DB9B3-E482-18D0-763F-FD2E4DE93092}" done="0">
    <text xml:space="preserve">мама
</text>
  </threadedComment>
  <threadedComment ref="F2" personId="{3E33E0F1-D7CB-2DBE-FE30-8D46FE97F60E}" id="{00DC001C-0011-4802-81BA-002500A0006E}" done="0">
    <text xml:space="preserve">мама
</text>
  </threadedComment>
  <threadedComment ref="M14" personId="{3E33E0F1-D7CB-2DBE-FE30-8D46FE97F60E}" id="{001B00F7-008D-48D6-B7A1-00A700D400BC}" done="0">
    <text xml:space="preserve">брош
</text>
  </threadedComment>
  <threadedComment ref="AI14" personId="{3E33E0F1-D7CB-2DBE-FE30-8D46FE97F60E}" id="{569D6F55-7A9C-97C4-BFBA-116659F21481}" done="0">
    <text xml:space="preserve">брош
</text>
  </threadedComment>
  <threadedComment ref="AB35" personId="{3E33E0F1-D7CB-2DBE-FE30-8D46FE97F60E}" id="{357A8B52-71EF-9BB9-1D75-E978F121EA6A}"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00600005-003D-4D15-A50F-0007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27.xml><?xml version="1.0" encoding="utf-8"?>
<ThreadedComments xmlns="http://schemas.microsoft.com/office/spreadsheetml/2018/threadedcomments" xmlns:x="http://schemas.openxmlformats.org/spreadsheetml/2006/main">
  <threadedComment ref="AB2" personId="{3E33E0F1-D7CB-2DBE-FE30-8D46FE97F60E}" id="{72A31C67-96B9-3B45-56C2-1F86D0A0CEC7}" done="0">
    <text xml:space="preserve">мама
</text>
  </threadedComment>
  <threadedComment ref="F2" personId="{3E33E0F1-D7CB-2DBE-FE30-8D46FE97F60E}" id="{005E00D6-005A-48A1-9AA6-005500640060}" done="0">
    <text xml:space="preserve">мама
</text>
  </threadedComment>
  <threadedComment ref="AB35" personId="{3E33E0F1-D7CB-2DBE-FE30-8D46FE97F60E}" id="{AE23ECFA-98C8-9979-29EB-3E2538616ED6}"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00AE005D-0011-4C60-889D-004A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28.xml><?xml version="1.0" encoding="utf-8"?>
<ThreadedComments xmlns="http://schemas.microsoft.com/office/spreadsheetml/2018/threadedcomments" xmlns:x="http://schemas.openxmlformats.org/spreadsheetml/2006/main">
  <threadedComment ref="AB2" personId="{3E33E0F1-D7CB-2DBE-FE30-8D46FE97F60E}" id="{90DF5068-07AF-69E5-2158-54D872E7C193}" done="0">
    <text xml:space="preserve">мама
</text>
  </threadedComment>
  <threadedComment ref="F2" personId="{3E33E0F1-D7CB-2DBE-FE30-8D46FE97F60E}" id="{C5596B53-32C6-435E-C29E-1C521D10AAE1}" done="0">
    <text xml:space="preserve">мама
</text>
  </threadedComment>
  <threadedComment ref="AB35" personId="{3E33E0F1-D7CB-2DBE-FE30-8D46FE97F60E}" id="{532BFA54-3DD2-5FDE-A369-9C4FC2BA872E}"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469B2C50-B6DA-40AC-0DF2-04372B2E57DC}"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29.xml><?xml version="1.0" encoding="utf-8"?>
<ThreadedComments xmlns="http://schemas.microsoft.com/office/spreadsheetml/2018/threadedcomments" xmlns:x="http://schemas.openxmlformats.org/spreadsheetml/2006/main">
  <threadedComment ref="AB2" personId="{3E33E0F1-D7CB-2DBE-FE30-8D46FE97F60E}" id="{2AE90EDF-4CDD-C55D-FFD5-9C21786E55E4}" done="0">
    <text xml:space="preserve">мама
</text>
  </threadedComment>
  <threadedComment ref="F2" personId="{3E33E0F1-D7CB-2DBE-FE30-8D46FE97F60E}" id="{0FE694FE-FEE5-1462-B385-39C936C5FDE9}" done="0">
    <text xml:space="preserve">мама
</text>
  </threadedComment>
  <threadedComment ref="AB35" personId="{3E33E0F1-D7CB-2DBE-FE30-8D46FE97F60E}" id="{089C0AF6-3E4A-6CA7-6313-69209D16878B}"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A21CD001-98F1-0897-5EF3-D3496E9A09B6}"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3.xml><?xml version="1.0" encoding="utf-8"?>
<ThreadedComments xmlns="http://schemas.microsoft.com/office/spreadsheetml/2018/threadedcomments" xmlns:x="http://schemas.openxmlformats.org/spreadsheetml/2006/main">
  <threadedComment ref="F35" personId="{3E33E0F1-D7CB-2DBE-FE30-8D46FE97F60E}" id="{00A20048-0071-4878-8A4F-00AD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30.xml><?xml version="1.0" encoding="utf-8"?>
<ThreadedComments xmlns="http://schemas.microsoft.com/office/spreadsheetml/2018/threadedcomments" xmlns:x="http://schemas.openxmlformats.org/spreadsheetml/2006/main">
  <threadedComment ref="AB2" personId="{3E33E0F1-D7CB-2DBE-FE30-8D46FE97F60E}" id="{FC60605A-0114-0C5C-536D-D607B39B1072}" done="0">
    <text xml:space="preserve">мама
</text>
  </threadedComment>
  <threadedComment ref="F2" personId="{3E33E0F1-D7CB-2DBE-FE30-8D46FE97F60E}" id="{CF8F0806-432B-0EB5-B206-8C70E1E34E6A}" done="0">
    <text xml:space="preserve">мама
</text>
  </threadedComment>
  <threadedComment ref="AB35" personId="{3E33E0F1-D7CB-2DBE-FE30-8D46FE97F60E}" id="{BC568DE6-1B3D-6559-8168-5922466F34FF}"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409F36C1-597F-0949-25CF-630EFFD350F7}"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31.xml><?xml version="1.0" encoding="utf-8"?>
<ThreadedComments xmlns="http://schemas.microsoft.com/office/spreadsheetml/2018/threadedcomments" xmlns:x="http://schemas.openxmlformats.org/spreadsheetml/2006/main">
  <threadedComment ref="AB2" personId="{3E33E0F1-D7CB-2DBE-FE30-8D46FE97F60E}" id="{D3F3D3E2-62D3-D20C-D5CC-46DCA80B3C0E}" done="0">
    <text xml:space="preserve">мама
</text>
  </threadedComment>
  <threadedComment ref="F2" personId="{3E33E0F1-D7CB-2DBE-FE30-8D46FE97F60E}" id="{2D91EE71-FE57-CDBD-93DE-8C3917DA9225}" done="0">
    <text xml:space="preserve">мама
</text>
  </threadedComment>
  <threadedComment ref="AB35" personId="{3E33E0F1-D7CB-2DBE-FE30-8D46FE97F60E}" id="{7D98CAE7-34E1-E43F-6849-55FDA292D8A5}"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DB3B1B6C-6515-F071-118A-744510C95623}"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32.xml><?xml version="1.0" encoding="utf-8"?>
<ThreadedComments xmlns="http://schemas.microsoft.com/office/spreadsheetml/2018/threadedcomments" xmlns:x="http://schemas.openxmlformats.org/spreadsheetml/2006/main">
  <threadedComment ref="AB2" personId="{3E33E0F1-D7CB-2DBE-FE30-8D46FE97F60E}" id="{78455078-123A-AFFB-82A1-E93126722CCD}" done="0">
    <text xml:space="preserve">мама
</text>
  </threadedComment>
  <threadedComment ref="F2" personId="{3E33E0F1-D7CB-2DBE-FE30-8D46FE97F60E}" id="{403E6011-F4ED-DDD4-9AFE-92A3E36C074A}" done="0">
    <text xml:space="preserve">мама
</text>
  </threadedComment>
  <threadedComment ref="AB35" personId="{3E33E0F1-D7CB-2DBE-FE30-8D46FE97F60E}" id="{016FA900-3111-1AF7-6360-CE2CEB17132B}"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EE61EB1A-F548-4798-1A6F-331D01C7695C}"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33.xml><?xml version="1.0" encoding="utf-8"?>
<ThreadedComments xmlns="http://schemas.microsoft.com/office/spreadsheetml/2018/threadedcomments" xmlns:x="http://schemas.openxmlformats.org/spreadsheetml/2006/main">
  <threadedComment ref="AB2" personId="{3E33E0F1-D7CB-2DBE-FE30-8D46FE97F60E}" id="{9E1D2D0C-B744-6FE3-FA81-EB159C6BAB01}" done="0">
    <text xml:space="preserve">мама
</text>
  </threadedComment>
  <threadedComment ref="F2" personId="{3E33E0F1-D7CB-2DBE-FE30-8D46FE97F60E}" id="{DF3C5886-2870-EC48-5EB9-071B2C8144EF}" done="0">
    <text xml:space="preserve">мама
</text>
  </threadedComment>
  <threadedComment ref="AB35" personId="{3E33E0F1-D7CB-2DBE-FE30-8D46FE97F60E}" id="{016FA900-3111-1AF7-6360-CE2C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EE61EB1A-F548-4798-1A6F-331D0E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34.xml><?xml version="1.0" encoding="utf-8"?>
<ThreadedComments xmlns="http://schemas.microsoft.com/office/spreadsheetml/2018/threadedcomments" xmlns:x="http://schemas.openxmlformats.org/spreadsheetml/2006/main">
  <threadedComment ref="AB2" personId="{3E33E0F1-D7CB-2DBE-FE30-8D46FE97F60E}" id="{32265D78-A2C3-D1AF-31ED-48222027DD77}" done="0">
    <text xml:space="preserve">мама
</text>
  </threadedComment>
  <threadedComment ref="F2" personId="{3E33E0F1-D7CB-2DBE-FE30-8D46FE97F60E}" id="{CFBBF0B5-81EF-74AB-C946-0CF8A13DA42E}" done="0">
    <text xml:space="preserve">мама
</text>
  </threadedComment>
  <threadedComment ref="AB35" personId="{3E33E0F1-D7CB-2DBE-FE30-8D46FE97F60E}" id="{D49888CB-8109-9ADE-A3CE-DA2FB890074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E5AACAA7-5D4F-AB31-620C-60180F71955F}"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35.xml><?xml version="1.0" encoding="utf-8"?>
<ThreadedComments xmlns="http://schemas.microsoft.com/office/spreadsheetml/2018/threadedcomments" xmlns:x="http://schemas.openxmlformats.org/spreadsheetml/2006/main">
  <threadedComment ref="AB2" personId="{3E33E0F1-D7CB-2DBE-FE30-8D46FE97F60E}" id="{E65C55B4-A5E6-9143-0A9D-7B5B0E935828}" done="0">
    <text xml:space="preserve">мама
</text>
  </threadedComment>
  <threadedComment ref="F2" personId="{3E33E0F1-D7CB-2DBE-FE30-8D46FE97F60E}" id="{9BF203EB-EB56-C593-74AA-030663963EA8}" done="0">
    <text xml:space="preserve">мама
</text>
  </threadedComment>
  <threadedComment ref="AB35" personId="{3E33E0F1-D7CB-2DBE-FE30-8D46FE97F60E}" id="{D49888CB-8109-9ADE-A3CE-DA2F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E5AACAA7-5D4F-AB31-620C-60180B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36.xml><?xml version="1.0" encoding="utf-8"?>
<ThreadedComments xmlns="http://schemas.microsoft.com/office/spreadsheetml/2018/threadedcomments" xmlns:x="http://schemas.openxmlformats.org/spreadsheetml/2006/main">
  <threadedComment ref="AB2" personId="{3E33E0F1-D7CB-2DBE-FE30-8D46FE97F60E}" id="{B10A8123-6F2F-1CEA-4156-70EED6B02DF4}" done="0">
    <text xml:space="preserve">мама
</text>
  </threadedComment>
  <threadedComment ref="F2" personId="{3E33E0F1-D7CB-2DBE-FE30-8D46FE97F60E}" id="{DAD87822-2396-7BEB-BBAE-569259C872EE}" done="0">
    <text xml:space="preserve">мама
</text>
  </threadedComment>
  <threadedComment ref="AB35" personId="{3E33E0F1-D7CB-2DBE-FE30-8D46FE97F60E}" id="{011C8329-F813-A417-3844-21E2E3E3C365}"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F47852B9-CEEE-7D95-3A04-6D49801120A1}"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37.xml><?xml version="1.0" encoding="utf-8"?>
<ThreadedComments xmlns="http://schemas.microsoft.com/office/spreadsheetml/2018/threadedcomments" xmlns:x="http://schemas.openxmlformats.org/spreadsheetml/2006/main">
  <threadedComment ref="AB2" personId="{3E33E0F1-D7CB-2DBE-FE30-8D46FE97F60E}" id="{6453C2DD-03E9-B1FF-3D24-A8F891A66C8F}" done="0">
    <text xml:space="preserve">мама
</text>
  </threadedComment>
  <threadedComment ref="F2" personId="{3E33E0F1-D7CB-2DBE-FE30-8D46FE97F60E}" id="{4B841E4B-768C-BAEA-03CA-E0CB19820E7C}" done="0">
    <text xml:space="preserve">мама
</text>
  </threadedComment>
  <threadedComment ref="AB35" personId="{3E33E0F1-D7CB-2DBE-FE30-8D46FE97F60E}" id="{96E820DF-0941-0E31-1AF8-2FD28C09009C}"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1A5BCAA1-102D-B656-01A9-19A9B35DF96A}"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38.xml><?xml version="1.0" encoding="utf-8"?>
<ThreadedComments xmlns="http://schemas.microsoft.com/office/spreadsheetml/2018/threadedcomments" xmlns:x="http://schemas.openxmlformats.org/spreadsheetml/2006/main">
  <threadedComment ref="AB2" personId="{3E33E0F1-D7CB-2DBE-FE30-8D46FE97F60E}" id="{BA42C96A-D4E6-D14B-B04F-36642DCBF1DF}" done="0">
    <text xml:space="preserve">мама
</text>
  </threadedComment>
  <threadedComment ref="F2" personId="{3E33E0F1-D7CB-2DBE-FE30-8D46FE97F60E}" id="{75EF2D10-B857-8FF5-8BDD-F2759CC60D67}" done="0">
    <text xml:space="preserve">мама
</text>
  </threadedComment>
  <threadedComment ref="AB35" personId="{3E33E0F1-D7CB-2DBE-FE30-8D46FE97F60E}" id="{96E820DF-0941-0E31-1AF8-2FD2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1A5BCAA1-102D-B656-01A9-19A9B8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AL5" personId="{E66B80C0-180D-1132-C008-EF1DF1C9CC4E}" id="{00D600DC-0028-4E6C-BCC4-00CF00DC00D9}" done="0">
    <text xml:space="preserve">люстра
</text>
  </threadedComment>
</ThreadedComments>
</file>

<file path=xl/threadedComments/threadedComment39.xml><?xml version="1.0" encoding="utf-8"?>
<ThreadedComments xmlns="http://schemas.microsoft.com/office/spreadsheetml/2018/threadedcomments" xmlns:x="http://schemas.openxmlformats.org/spreadsheetml/2006/main">
  <threadedComment ref="F2" personId="{3E33E0F1-D7CB-2DBE-FE30-8D46FE97F60E}" id="{522BC3D8-E8C0-38FD-EEE6-985C0845CAED}" done="0">
    <text xml:space="preserve">мама
</text>
  </threadedComment>
  <threadedComment ref="F35" personId="{3E33E0F1-D7CB-2DBE-FE30-8D46FE97F60E}" id="{654D74EE-BA6C-B32C-016D-112B1E098907}"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4.xml><?xml version="1.0" encoding="utf-8"?>
<ThreadedComments xmlns="http://schemas.microsoft.com/office/spreadsheetml/2018/threadedcomments" xmlns:x="http://schemas.openxmlformats.org/spreadsheetml/2006/main">
  <threadedComment ref="F34" personId="{3E33E0F1-D7CB-2DBE-FE30-8D46FE97F60E}" id="{00E900FD-0061-4761-AB88-00CA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40.xml><?xml version="1.0" encoding="utf-8"?>
<ThreadedComments xmlns="http://schemas.microsoft.com/office/spreadsheetml/2018/threadedcomments" xmlns:x="http://schemas.openxmlformats.org/spreadsheetml/2006/main">
  <threadedComment ref="F2" personId="{3E33E0F1-D7CB-2DBE-FE30-8D46FE97F60E}" id="{68B0840C-25FF-3FF7-F3A5-CC117496B2A9}" done="0">
    <text xml:space="preserve">мама
</text>
  </threadedComment>
  <threadedComment ref="F35" personId="{3E33E0F1-D7CB-2DBE-FE30-8D46FE97F60E}" id="{1576768E-8DDF-F0EC-1889-6661477E072E}"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41.xml><?xml version="1.0" encoding="utf-8"?>
<ThreadedComments xmlns="http://schemas.microsoft.com/office/spreadsheetml/2018/threadedcomments" xmlns:x="http://schemas.openxmlformats.org/spreadsheetml/2006/main">
  <threadedComment ref="F2" personId="{3E33E0F1-D7CB-2DBE-FE30-8D46FE97F60E}" id="{5A7D870D-B9B1-6459-E38F-53E024803E4E}" done="0">
    <text xml:space="preserve">мама
</text>
  </threadedComment>
  <threadedComment ref="F35" personId="{3E33E0F1-D7CB-2DBE-FE30-8D46FE97F60E}" id="{6F5426D5-77AC-8993-2B8B-CF857DD1A0D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42.xml><?xml version="1.0" encoding="utf-8"?>
<ThreadedComments xmlns="http://schemas.microsoft.com/office/spreadsheetml/2018/threadedcomments" xmlns:x="http://schemas.openxmlformats.org/spreadsheetml/2006/main">
  <threadedComment ref="F2" personId="{3E33E0F1-D7CB-2DBE-FE30-8D46FE97F60E}" id="{2FAE474E-03FF-ADA1-7C6F-CB84E47AB5C8}" done="0">
    <text xml:space="preserve">мама
</text>
  </threadedComment>
  <threadedComment ref="F35" personId="{3E33E0F1-D7CB-2DBE-FE30-8D46FE97F60E}" id="{8A840779-0B60-62C0-AA86-1E27D2529BD6}"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43.xml><?xml version="1.0" encoding="utf-8"?>
<ThreadedComments xmlns="http://schemas.microsoft.com/office/spreadsheetml/2018/threadedcomments" xmlns:x="http://schemas.openxmlformats.org/spreadsheetml/2006/main">
  <threadedComment ref="F2" personId="{3E33E0F1-D7CB-2DBE-FE30-8D46FE97F60E}" id="{9A5C01D1-DABC-D4CB-0D96-17ACAFE3599F}" done="0">
    <text xml:space="preserve">мама
</text>
  </threadedComment>
  <threadedComment ref="F35" personId="{3E33E0F1-D7CB-2DBE-FE30-8D46FE97F60E}" id="{0CAE5AE8-D228-95C6-19D9-0A5737C82AED}"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44.xml><?xml version="1.0" encoding="utf-8"?>
<ThreadedComments xmlns="http://schemas.microsoft.com/office/spreadsheetml/2018/threadedcomments" xmlns:x="http://schemas.openxmlformats.org/spreadsheetml/2006/main">
  <threadedComment ref="F2" personId="{3E33E0F1-D7CB-2DBE-FE30-8D46FE97F60E}" id="{3D0C49E6-11C6-9DD8-8CA2-41E97DEB8B4D}" done="0">
    <text xml:space="preserve">мама
</text>
  </threadedComment>
  <threadedComment ref="F35" personId="{3E33E0F1-D7CB-2DBE-FE30-8D46FE97F60E}" id="{702E7D4B-947C-AF86-3A5B-57B5E984E0E5}"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45.xml><?xml version="1.0" encoding="utf-8"?>
<ThreadedComments xmlns="http://schemas.microsoft.com/office/spreadsheetml/2018/threadedcomments" xmlns:x="http://schemas.openxmlformats.org/spreadsheetml/2006/main">
  <threadedComment ref="F2" personId="{3E33E0F1-D7CB-2DBE-FE30-8D46FE97F60E}" id="{75BFC01C-5F80-C95C-45AB-1117A25108E9}" done="0">
    <text xml:space="preserve">мама
</text>
  </threadedComment>
  <threadedComment ref="F35" personId="{3E33E0F1-D7CB-2DBE-FE30-8D46FE97F60E}" id="{A88FEA3C-5A90-F48C-C083-05A9B786C1D1}"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46.xml><?xml version="1.0" encoding="utf-8"?>
<ThreadedComments xmlns="http://schemas.microsoft.com/office/spreadsheetml/2018/threadedcomments" xmlns:x="http://schemas.openxmlformats.org/spreadsheetml/2006/main">
  <threadedComment ref="F2" personId="{3E33E0F1-D7CB-2DBE-FE30-8D46FE97F60E}" id="{58176525-036C-29F7-3AFE-E6E80329B8A5}" done="0">
    <text xml:space="preserve">мама
</text>
  </threadedComment>
  <threadedComment ref="F35" personId="{3E33E0F1-D7CB-2DBE-FE30-8D46FE97F60E}" id="{577F6A2E-E1E1-86E5-166C-B372A2729241}"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47.xml><?xml version="1.0" encoding="utf-8"?>
<ThreadedComments xmlns="http://schemas.microsoft.com/office/spreadsheetml/2018/threadedcomments" xmlns:x="http://schemas.openxmlformats.org/spreadsheetml/2006/main">
  <threadedComment ref="F2" personId="{3E33E0F1-D7CB-2DBE-FE30-8D46FE97F60E}" id="{99F32D17-43FE-9100-0EFD-13BD8511060E}" done="0">
    <text xml:space="preserve">мама
</text>
  </threadedComment>
  <threadedComment ref="F35" personId="{3E33E0F1-D7CB-2DBE-FE30-8D46FE97F60E}" id="{99A01480-C844-3BD0-63AE-6080FF1CDC03}"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48.xml><?xml version="1.0" encoding="utf-8"?>
<ThreadedComments xmlns="http://schemas.microsoft.com/office/spreadsheetml/2018/threadedcomments" xmlns:x="http://schemas.openxmlformats.org/spreadsheetml/2006/main">
  <threadedComment ref="F35" personId="{3E33E0F1-D7CB-2DBE-FE30-8D46FE97F60E}" id="{BA34C5A6-7AD2-38DC-51E6-99EE77F463A1}"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49.xml><?xml version="1.0" encoding="utf-8"?>
<ThreadedComments xmlns="http://schemas.microsoft.com/office/spreadsheetml/2018/threadedcomments" xmlns:x="http://schemas.openxmlformats.org/spreadsheetml/2006/main">
  <threadedComment ref="F35" personId="{3E33E0F1-D7CB-2DBE-FE30-8D46FE97F60E}" id="{21ED0B5B-8B1A-6037-A9C4-666F46E9D122}"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5.xml><?xml version="1.0" encoding="utf-8"?>
<ThreadedComments xmlns="http://schemas.microsoft.com/office/spreadsheetml/2018/threadedcomments" xmlns:x="http://schemas.openxmlformats.org/spreadsheetml/2006/main">
  <threadedComment ref="E2" personId="{3E33E0F1-D7CB-2DBE-FE30-8D46FE97F60E}" id="{00050062-0013-4E0A-A983-001600A90017}" done="0">
    <text xml:space="preserve">артур
</text>
  </threadedComment>
  <threadedComment ref="I11" personId="{3E33E0F1-D7CB-2DBE-FE30-8D46FE97F60E}" id="{003000A2-00BB-4B7F-8F4C-0039006F0008}" done="0">
    <text xml:space="preserve">корпус ПК
</text>
  </threadedComment>
  <threadedComment ref="F35" personId="{3E33E0F1-D7CB-2DBE-FE30-8D46FE97F60E}" id="{002C00C2-0087-43B2-9B7B-0032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B5" personId="{3E33E0F1-D7CB-2DBE-FE30-8D46FE97F60E}" id="{00DC00DF-0007-437B-A467-00BE000900C5}" done="0">
    <text xml:space="preserve">Штраф
</text>
  </threadedComment>
</ThreadedComments>
</file>

<file path=xl/threadedComments/threadedComment50.xml><?xml version="1.0" encoding="utf-8"?>
<ThreadedComments xmlns="http://schemas.microsoft.com/office/spreadsheetml/2018/threadedcomments" xmlns:x="http://schemas.openxmlformats.org/spreadsheetml/2006/main">
  <threadedComment ref="F35" personId="{3E33E0F1-D7CB-2DBE-FE30-8D46FE97F60E}" id="{BD20B3F7-F530-F066-6AC6-9EDDA0B568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E10" dT="2023-09-10T20:35:06.27Z" personId="{177261CE-E9CC-6118-1949-F65139FCB9D8}" id="{E2271030-59CC-5538-E8B8-2A203B095D60}" done="0">
    <text xml:space="preserve">отдать
</text>
  </threadedComment>
</ThreadedComments>
</file>

<file path=xl/threadedComments/threadedComment51.xml><?xml version="1.0" encoding="utf-8"?>
<ThreadedComments xmlns="http://schemas.microsoft.com/office/spreadsheetml/2018/threadedcomments" xmlns:x="http://schemas.openxmlformats.org/spreadsheetml/2006/main">
  <threadedComment ref="F35" personId="{3E33E0F1-D7CB-2DBE-FE30-8D46FE97F60E}" id="{A34BB8C5-E033-DFC6-5271-0274CF6A39ED}"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52.xml><?xml version="1.0" encoding="utf-8"?>
<ThreadedComments xmlns="http://schemas.microsoft.com/office/spreadsheetml/2018/threadedcomments" xmlns:x="http://schemas.openxmlformats.org/spreadsheetml/2006/main">
  <threadedComment ref="AC35" personId="{3E33E0F1-D7CB-2DBE-FE30-8D46FE97F60E}" id="{2903343A-6930-799D-2440-EA7B08FF93C9}"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AE87B624-E41A-9BE0-830B-425494753422}"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53.xml><?xml version="1.0" encoding="utf-8"?>
<ThreadedComments xmlns="http://schemas.microsoft.com/office/spreadsheetml/2018/threadedcomments" xmlns:x="http://schemas.openxmlformats.org/spreadsheetml/2006/main">
  <threadedComment ref="AC35" personId="{3E33E0F1-D7CB-2DBE-FE30-8D46FE97F60E}" id="{667DAC43-5451-35C3-EA49-D1063A205D9A}"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F35" personId="{3E33E0F1-D7CB-2DBE-FE30-8D46FE97F60E}" id="{6AD4F9A2-A873-CDB4-0285-D160BA8D6C88}"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54.xml><?xml version="1.0" encoding="utf-8"?>
<ThreadedComments xmlns="http://schemas.microsoft.com/office/spreadsheetml/2018/threadedcomments" xmlns:x="http://schemas.openxmlformats.org/spreadsheetml/2006/main">
  <threadedComment ref="AB18" personId="{3E33E0F1-D7CB-2DBE-FE30-8D46FE97F60E}" id="{1B8DFE55-ADC6-7388-0A6F-4711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AB35" personId="{3E33E0F1-D7CB-2DBE-FE30-8D46FE97F60E}" id="{E5784DCC-C806-B1D4-B05D-D7CB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AB52" personId="{3E33E0F1-D7CB-2DBE-FE30-8D46FE97F60E}" id="{00C2003F-00CD-45A6-B55D-00A3003600A5}"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AB69" personId="{3E33E0F1-D7CB-2DBE-FE30-8D46FE97F60E}" id="{5B07A70C-2E4B-EA4B-3F7F-491B535200DB}"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threadedComments/threadedComment6.xml><?xml version="1.0" encoding="utf-8"?>
<ThreadedComments xmlns="http://schemas.microsoft.com/office/spreadsheetml/2018/threadedcomments" xmlns:x="http://schemas.openxmlformats.org/spreadsheetml/2006/main">
  <threadedComment ref="E2" personId="{3E33E0F1-D7CB-2DBE-FE30-8D46FE97F60E}" id="{00BA00F1-0044-42CE-81BB-0069008C0001}" done="0">
    <text xml:space="preserve">артур
</text>
  </threadedComment>
  <threadedComment ref="E11" personId="{3E33E0F1-D7CB-2DBE-FE30-8D46FE97F60E}" id="{006B002A-009B-48E7-9F46-00F4006D00A5}" done="0">
    <text xml:space="preserve">дэну
</text>
  </threadedComment>
  <threadedComment ref="I11" personId="{3E33E0F1-D7CB-2DBE-FE30-8D46FE97F60E}" id="{008400DA-0042-476C-89D0-006200650083}" done="0">
    <text xml:space="preserve">чехол
</text>
  </threadedComment>
  <threadedComment ref="E31" personId="{3E33E0F1-D7CB-2DBE-FE30-8D46FE97F60E}" id="{002500A7-007A-475F-94B8-001E008600D4}" done="0">
    <text xml:space="preserve">юра
</text>
  </threadedComment>
  <threadedComment ref="K32" personId="{3E33E0F1-D7CB-2DBE-FE30-8D46FE97F60E}" id="{003200FB-005F-4403-93E4-00FD00F00000}" done="0">
    <text xml:space="preserve">свет оскол
</text>
  </threadedComment>
  <threadedComment ref="F35" personId="{3E33E0F1-D7CB-2DBE-FE30-8D46FE97F60E}" id="{0040000C-0014-411C-A734-0052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B5" personId="{3E33E0F1-D7CB-2DBE-FE30-8D46FE97F60E}" id="{0035004F-001F-4361-88A1-0012004D00F3}" done="0">
    <text xml:space="preserve">Штраф
</text>
  </threadedComment>
</ThreadedComments>
</file>

<file path=xl/threadedComments/threadedComment7.xml><?xml version="1.0" encoding="utf-8"?>
<ThreadedComments xmlns="http://schemas.microsoft.com/office/spreadsheetml/2018/threadedcomments" xmlns:x="http://schemas.openxmlformats.org/spreadsheetml/2006/main">
  <threadedComment ref="E2" personId="{3E33E0F1-D7CB-2DBE-FE30-8D46FE97F60E}" id="{00F9003D-00BF-4EEB-B72B-0031004B0060}" done="0">
    <text xml:space="preserve">артур
</text>
  </threadedComment>
  <threadedComment ref="E11" personId="{3E33E0F1-D7CB-2DBE-FE30-8D46FE97F60E}" id="{00D800FB-00E4-44E0-AF0C-007A0035006C}" done="0">
    <text xml:space="preserve">дэну
</text>
  </threadedComment>
  <threadedComment ref="I11" personId="{3E33E0F1-D7CB-2DBE-FE30-8D46FE97F60E}" id="{001F0060-0070-4A1E-987B-00460082000D}" done="0">
    <text xml:space="preserve">чехол
</text>
  </threadedComment>
  <threadedComment ref="E3" personId="{3E33E0F1-D7CB-2DBE-FE30-8D46FE97F60E}" id="{00420085-007E-450D-B12F-008C00C900FC}" done="0">
    <text xml:space="preserve">мама
</text>
  </threadedComment>
  <threadedComment ref="F33" personId="{3E33E0F1-D7CB-2DBE-FE30-8D46FE97F60E}" id="{0041006A-00AB-414D-81CD-00B0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B5" personId="{3E33E0F1-D7CB-2DBE-FE30-8D46FE97F60E}" id="{0041008E-00A0-4B9B-8F57-0050007C00F8}" done="0">
    <text xml:space="preserve">Штраф
</text>
  </threadedComment>
</ThreadedComments>
</file>

<file path=xl/threadedComments/threadedComment8.xml><?xml version="1.0" encoding="utf-8"?>
<ThreadedComments xmlns="http://schemas.microsoft.com/office/spreadsheetml/2018/threadedcomments" xmlns:x="http://schemas.openxmlformats.org/spreadsheetml/2006/main">
  <threadedComment ref="E2" personId="{3E33E0F1-D7CB-2DBE-FE30-8D46FE97F60E}" id="{002E00C4-003C-4916-81CA-00BD00C800E1}" done="0">
    <text xml:space="preserve">артур
</text>
  </threadedComment>
  <threadedComment ref="I11" personId="{3E33E0F1-D7CB-2DBE-FE30-8D46FE97F60E}" id="{0025002C-00AA-4EC5-9F31-00AF00E10070}" done="0">
    <text xml:space="preserve">корпус ПК
</text>
  </threadedComment>
  <threadedComment ref="E32" personId="{3E33E0F1-D7CB-2DBE-FE30-8D46FE97F60E}" id="{00F50067-003F-4389-8727-00BA000B0000}" done="0">
    <text xml:space="preserve">RePack by Diakov:мама
</text>
  </threadedComment>
  <threadedComment ref="F35" personId="{3E33E0F1-D7CB-2DBE-FE30-8D46FE97F60E}" id="{00EF007E-004E-43F3-B32F-00EE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 ref="B5" personId="{3E33E0F1-D7CB-2DBE-FE30-8D46FE97F60E}" id="{005E00DA-005E-421C-8E87-0021005D00F6}" done="0">
    <text xml:space="preserve">Штраф
</text>
  </threadedComment>
</ThreadedComments>
</file>

<file path=xl/threadedComments/threadedComment9.xml><?xml version="1.0" encoding="utf-8"?>
<ThreadedComments xmlns="http://schemas.microsoft.com/office/spreadsheetml/2018/threadedcomments" xmlns:x="http://schemas.openxmlformats.org/spreadsheetml/2006/main">
  <threadedComment ref="E2" personId="{3E33E0F1-D7CB-2DBE-FE30-8D46FE97F60E}" id="{00150085-00B3-441F-88B1-00870075009B}" done="0">
    <text xml:space="preserve">мама
</text>
  </threadedComment>
  <threadedComment ref="F34" personId="{3E33E0F1-D7CB-2DBE-FE30-8D46FE97F60E}" id="{003200C5-00BA-49BE-A67D-005300000000}" done="0">
    <text xml:space="preserve">[Threaded comment]
Your version of Excel allows you to read this threaded comment; however, any edits to it will get removed if the file is opened in a newer version of Excel. Learn more: https://go.microsoft.com/fwlink/?linkid=870924
Comment:
    Продажа
</text>
  </threadedComment>
</ThreadedComments>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3" Type="http://schemas.openxmlformats.org/officeDocument/2006/relationships/vmlDrawing" Target="../drawings/vmlDrawing7.vml"/><Relationship  Id="rId2" Type="http://schemas.openxmlformats.org/officeDocument/2006/relationships/comments" Target="../comments7.xml"/><Relationship  Id="rId1" Type="http://schemas.microsoft.com/office/2017/10/relationships/threadedComment" Target="../threadedComments/threadedComment7.xml"/></Relationships>
</file>

<file path=xl/worksheets/_rels/sheet11.xml.rels><?xml version="1.0" encoding="UTF-8" standalone="yes"?><Relationships xmlns="http://schemas.openxmlformats.org/package/2006/relationships"><Relationship  Id="rId3" Type="http://schemas.openxmlformats.org/officeDocument/2006/relationships/vmlDrawing" Target="../drawings/vmlDrawing8.vml"/><Relationship  Id="rId2" Type="http://schemas.openxmlformats.org/officeDocument/2006/relationships/comments" Target="../comments8.xml"/><Relationship  Id="rId1" Type="http://schemas.microsoft.com/office/2017/10/relationships/threadedComment" Target="../threadedComments/threadedComment8.xml"/></Relationships>
</file>

<file path=xl/worksheets/_rels/sheet12.xml.rels><?xml version="1.0" encoding="UTF-8" standalone="yes"?><Relationships xmlns="http://schemas.openxmlformats.org/package/2006/relationships"><Relationship  Id="rId3" Type="http://schemas.openxmlformats.org/officeDocument/2006/relationships/vmlDrawing" Target="../drawings/vmlDrawing9.vml"/><Relationship  Id="rId2" Type="http://schemas.openxmlformats.org/officeDocument/2006/relationships/comments" Target="../comments9.xml"/><Relationship  Id="rId1" Type="http://schemas.microsoft.com/office/2017/10/relationships/threadedComment" Target="../threadedComments/threadedComment9.x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0.vml"/><Relationship  Id="rId2" Type="http://schemas.openxmlformats.org/officeDocument/2006/relationships/comments" Target="../comments10.xml"/><Relationship  Id="rId1" Type="http://schemas.microsoft.com/office/2017/10/relationships/threadedComment" Target="../threadedComments/threadedComment10.xml"/></Relationships>
</file>

<file path=xl/worksheets/_rels/sheet14.xml.rels><?xml version="1.0" encoding="UTF-8" standalone="yes"?><Relationships xmlns="http://schemas.openxmlformats.org/package/2006/relationships"><Relationship  Id="rId3" Type="http://schemas.openxmlformats.org/officeDocument/2006/relationships/vmlDrawing" Target="../drawings/vmlDrawing11.vml"/><Relationship  Id="rId2" Type="http://schemas.openxmlformats.org/officeDocument/2006/relationships/comments" Target="../comments11.xml"/><Relationship  Id="rId1" Type="http://schemas.microsoft.com/office/2017/10/relationships/threadedComment" Target="../threadedComments/threadedComment11.xml"/></Relationships>
</file>

<file path=xl/worksheets/_rels/sheet15.xml.rels><?xml version="1.0" encoding="UTF-8" standalone="yes"?><Relationships xmlns="http://schemas.openxmlformats.org/package/2006/relationships"><Relationship  Id="rId3" Type="http://schemas.openxmlformats.org/officeDocument/2006/relationships/vmlDrawing" Target="../drawings/vmlDrawing12.vml"/><Relationship  Id="rId2" Type="http://schemas.openxmlformats.org/officeDocument/2006/relationships/comments" Target="../comments12.xml"/><Relationship  Id="rId1" Type="http://schemas.microsoft.com/office/2017/10/relationships/threadedComment" Target="../threadedComments/threadedComment12.xml"/></Relationships>
</file>

<file path=xl/worksheets/_rels/sheet16.xml.rels><?xml version="1.0" encoding="UTF-8" standalone="yes"?><Relationships xmlns="http://schemas.openxmlformats.org/package/2006/relationships"><Relationship  Id="rId3" Type="http://schemas.openxmlformats.org/officeDocument/2006/relationships/vmlDrawing" Target="../drawings/vmlDrawing13.vml"/><Relationship  Id="rId2" Type="http://schemas.openxmlformats.org/officeDocument/2006/relationships/comments" Target="../comments13.xml"/><Relationship  Id="rId1" Type="http://schemas.microsoft.com/office/2017/10/relationships/threadedComment" Target="../threadedComments/threadedComment13.xml"/></Relationships>
</file>

<file path=xl/worksheets/_rels/sheet17.xml.rels><?xml version="1.0" encoding="UTF-8" standalone="yes"?><Relationships xmlns="http://schemas.openxmlformats.org/package/2006/relationships"><Relationship  Id="rId3" Type="http://schemas.openxmlformats.org/officeDocument/2006/relationships/vmlDrawing" Target="../drawings/vmlDrawing14.vml"/><Relationship  Id="rId2" Type="http://schemas.openxmlformats.org/officeDocument/2006/relationships/comments" Target="../comments14.xml"/><Relationship  Id="rId1" Type="http://schemas.microsoft.com/office/2017/10/relationships/threadedComment" Target="../threadedComments/threadedComment14.xml"/></Relationships>
</file>

<file path=xl/worksheets/_rels/sheet18.xml.rels><?xml version="1.0" encoding="UTF-8" standalone="yes"?><Relationships xmlns="http://schemas.openxmlformats.org/package/2006/relationships"><Relationship  Id="rId3" Type="http://schemas.openxmlformats.org/officeDocument/2006/relationships/vmlDrawing" Target="../drawings/vmlDrawing15.vml"/><Relationship  Id="rId2" Type="http://schemas.openxmlformats.org/officeDocument/2006/relationships/comments" Target="../comments15.xml"/><Relationship  Id="rId1" Type="http://schemas.microsoft.com/office/2017/10/relationships/threadedComment" Target="../threadedComments/threadedComment15.xml"/></Relationships>
</file>

<file path=xl/worksheets/_rels/sheet19.xml.rels><?xml version="1.0" encoding="UTF-8" standalone="yes"?><Relationships xmlns="http://schemas.openxmlformats.org/package/2006/relationships"><Relationship  Id="rId3" Type="http://schemas.openxmlformats.org/officeDocument/2006/relationships/vmlDrawing" Target="../drawings/vmlDrawing16.vml"/><Relationship  Id="rId2" Type="http://schemas.openxmlformats.org/officeDocument/2006/relationships/comments" Target="../comments16.xml"/><Relationship  Id="rId1" Type="http://schemas.microsoft.com/office/2017/10/relationships/threadedComment" Target="../threadedComments/threadedComment16.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Relationships xmlns="http://schemas.openxmlformats.org/package/2006/relationships"><Relationship  Id="rId3" Type="http://schemas.openxmlformats.org/officeDocument/2006/relationships/vmlDrawing" Target="../drawings/vmlDrawing17.vml"/><Relationship  Id="rId2" Type="http://schemas.openxmlformats.org/officeDocument/2006/relationships/comments" Target="../comments17.xml"/><Relationship  Id="rId1" Type="http://schemas.microsoft.com/office/2017/10/relationships/threadedComment" Target="../threadedComments/threadedComment17.xml"/></Relationships>
</file>

<file path=xl/worksheets/_rels/sheet21.xml.rels><?xml version="1.0" encoding="UTF-8" standalone="yes"?><Relationships xmlns="http://schemas.openxmlformats.org/package/2006/relationships"><Relationship  Id="rId3" Type="http://schemas.openxmlformats.org/officeDocument/2006/relationships/vmlDrawing" Target="../drawings/vmlDrawing18.vml"/><Relationship  Id="rId2" Type="http://schemas.openxmlformats.org/officeDocument/2006/relationships/comments" Target="../comments18.xml"/><Relationship  Id="rId1" Type="http://schemas.microsoft.com/office/2017/10/relationships/threadedComment" Target="../threadedComments/threadedComment18.xml"/></Relationships>
</file>

<file path=xl/worksheets/_rels/sheet22.xml.rels><?xml version="1.0" encoding="UTF-8" standalone="yes"?><Relationships xmlns="http://schemas.openxmlformats.org/package/2006/relationships"><Relationship  Id="rId3" Type="http://schemas.openxmlformats.org/officeDocument/2006/relationships/vmlDrawing" Target="../drawings/vmlDrawing19.vml"/><Relationship  Id="rId2" Type="http://schemas.openxmlformats.org/officeDocument/2006/relationships/comments" Target="../comments19.xml"/><Relationship  Id="rId1" Type="http://schemas.microsoft.com/office/2017/10/relationships/threadedComment" Target="../threadedComments/threadedComment19.xml"/></Relationships>
</file>

<file path=xl/worksheets/_rels/sheet23.xml.rels><?xml version="1.0" encoding="UTF-8" standalone="yes"?><Relationships xmlns="http://schemas.openxmlformats.org/package/2006/relationships"><Relationship  Id="rId3" Type="http://schemas.openxmlformats.org/officeDocument/2006/relationships/vmlDrawing" Target="../drawings/vmlDrawing20.vml"/><Relationship  Id="rId2" Type="http://schemas.openxmlformats.org/officeDocument/2006/relationships/comments" Target="../comments20.xml"/><Relationship  Id="rId1" Type="http://schemas.microsoft.com/office/2017/10/relationships/threadedComment" Target="../threadedComments/threadedComment20.xml"/></Relationships>
</file>

<file path=xl/worksheets/_rels/sheet24.xml.rels><?xml version="1.0" encoding="UTF-8" standalone="yes"?><Relationships xmlns="http://schemas.openxmlformats.org/package/2006/relationships"><Relationship  Id="rId3" Type="http://schemas.openxmlformats.org/officeDocument/2006/relationships/vmlDrawing" Target="../drawings/vmlDrawing21.vml"/><Relationship  Id="rId2" Type="http://schemas.openxmlformats.org/officeDocument/2006/relationships/comments" Target="../comments21.xml"/><Relationship  Id="rId1" Type="http://schemas.microsoft.com/office/2017/10/relationships/threadedComment" Target="../threadedComments/threadedComment21.xml"/></Relationships>
</file>

<file path=xl/worksheets/_rels/sheet25.xml.rels><?xml version="1.0" encoding="UTF-8" standalone="yes"?><Relationships xmlns="http://schemas.openxmlformats.org/package/2006/relationships"><Relationship  Id="rId3" Type="http://schemas.openxmlformats.org/officeDocument/2006/relationships/vmlDrawing" Target="../drawings/vmlDrawing22.vml"/><Relationship  Id="rId2" Type="http://schemas.openxmlformats.org/officeDocument/2006/relationships/comments" Target="../comments22.xml"/><Relationship  Id="rId1" Type="http://schemas.microsoft.com/office/2017/10/relationships/threadedComment" Target="../threadedComments/threadedComment22.xml"/></Relationships>
</file>

<file path=xl/worksheets/_rels/sheet26.xml.rels><?xml version="1.0" encoding="UTF-8" standalone="yes"?><Relationships xmlns="http://schemas.openxmlformats.org/package/2006/relationships"><Relationship  Id="rId3" Type="http://schemas.openxmlformats.org/officeDocument/2006/relationships/vmlDrawing" Target="../drawings/vmlDrawing23.vml"/><Relationship  Id="rId2" Type="http://schemas.openxmlformats.org/officeDocument/2006/relationships/comments" Target="../comments23.xml"/><Relationship  Id="rId1" Type="http://schemas.microsoft.com/office/2017/10/relationships/threadedComment" Target="../threadedComments/threadedComment23.xml"/></Relationships>
</file>

<file path=xl/worksheets/_rels/sheet27.xml.rels><?xml version="1.0" encoding="UTF-8" standalone="yes"?><Relationships xmlns="http://schemas.openxmlformats.org/package/2006/relationships"><Relationship  Id="rId3" Type="http://schemas.openxmlformats.org/officeDocument/2006/relationships/vmlDrawing" Target="../drawings/vmlDrawing24.vml"/><Relationship  Id="rId2" Type="http://schemas.openxmlformats.org/officeDocument/2006/relationships/comments" Target="../comments24.xml"/><Relationship  Id="rId1" Type="http://schemas.microsoft.com/office/2017/10/relationships/threadedComment" Target="../threadedComments/threadedComment24.xml"/></Relationships>
</file>

<file path=xl/worksheets/_rels/sheet28.xml.rels><?xml version="1.0" encoding="UTF-8" standalone="yes"?><Relationships xmlns="http://schemas.openxmlformats.org/package/2006/relationships"><Relationship  Id="rId3" Type="http://schemas.openxmlformats.org/officeDocument/2006/relationships/vmlDrawing" Target="../drawings/vmlDrawing25.vml"/><Relationship  Id="rId2" Type="http://schemas.openxmlformats.org/officeDocument/2006/relationships/comments" Target="../comments25.xml"/><Relationship  Id="rId1" Type="http://schemas.microsoft.com/office/2017/10/relationships/threadedComment" Target="../threadedComments/threadedComment25.xml"/></Relationships>
</file>

<file path=xl/worksheets/_rels/sheet29.xml.rels><?xml version="1.0" encoding="UTF-8" standalone="yes"?><Relationships xmlns="http://schemas.openxmlformats.org/package/2006/relationships"><Relationship  Id="rId3" Type="http://schemas.openxmlformats.org/officeDocument/2006/relationships/vmlDrawing" Target="../drawings/vmlDrawing26.vml"/><Relationship  Id="rId2" Type="http://schemas.openxmlformats.org/officeDocument/2006/relationships/comments" Target="../comments26.xml"/><Relationship  Id="rId1" Type="http://schemas.microsoft.com/office/2017/10/relationships/threadedComment" Target="../threadedComments/threadedComment26.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Relationships xmlns="http://schemas.openxmlformats.org/package/2006/relationships"><Relationship  Id="rId3" Type="http://schemas.openxmlformats.org/officeDocument/2006/relationships/vmlDrawing" Target="../drawings/vmlDrawing27.vml"/><Relationship  Id="rId2" Type="http://schemas.openxmlformats.org/officeDocument/2006/relationships/comments" Target="../comments27.xml"/><Relationship  Id="rId1" Type="http://schemas.microsoft.com/office/2017/10/relationships/threadedComment" Target="../threadedComments/threadedComment27.xml"/></Relationships>
</file>

<file path=xl/worksheets/_rels/sheet31.xml.rels><?xml version="1.0" encoding="UTF-8" standalone="yes"?><Relationships xmlns="http://schemas.openxmlformats.org/package/2006/relationships"><Relationship  Id="rId3" Type="http://schemas.openxmlformats.org/officeDocument/2006/relationships/vmlDrawing" Target="../drawings/vmlDrawing28.vml"/><Relationship  Id="rId2" Type="http://schemas.openxmlformats.org/officeDocument/2006/relationships/comments" Target="../comments28.xml"/><Relationship  Id="rId1" Type="http://schemas.microsoft.com/office/2017/10/relationships/threadedComment" Target="../threadedComments/threadedComment28.xml"/></Relationships>
</file>

<file path=xl/worksheets/_rels/sheet32.xml.rels><?xml version="1.0" encoding="UTF-8" standalone="yes"?><Relationships xmlns="http://schemas.openxmlformats.org/package/2006/relationships"><Relationship  Id="rId3" Type="http://schemas.openxmlformats.org/officeDocument/2006/relationships/vmlDrawing" Target="../drawings/vmlDrawing29.vml"/><Relationship  Id="rId2" Type="http://schemas.openxmlformats.org/officeDocument/2006/relationships/comments" Target="../comments29.xml"/><Relationship  Id="rId1" Type="http://schemas.microsoft.com/office/2017/10/relationships/threadedComment" Target="../threadedComments/threadedComment29.xml"/></Relationships>
</file>

<file path=xl/worksheets/_rels/sheet33.xml.rels><?xml version="1.0" encoding="UTF-8" standalone="yes"?><Relationships xmlns="http://schemas.openxmlformats.org/package/2006/relationships"><Relationship  Id="rId3" Type="http://schemas.openxmlformats.org/officeDocument/2006/relationships/vmlDrawing" Target="../drawings/vmlDrawing30.vml"/><Relationship  Id="rId2" Type="http://schemas.openxmlformats.org/officeDocument/2006/relationships/comments" Target="../comments30.xml"/><Relationship  Id="rId1" Type="http://schemas.microsoft.com/office/2017/10/relationships/threadedComment" Target="../threadedComments/threadedComment30.xml"/></Relationships>
</file>

<file path=xl/worksheets/_rels/sheet34.xml.rels><?xml version="1.0" encoding="UTF-8" standalone="yes"?><Relationships xmlns="http://schemas.openxmlformats.org/package/2006/relationships"><Relationship  Id="rId3" Type="http://schemas.openxmlformats.org/officeDocument/2006/relationships/vmlDrawing" Target="../drawings/vmlDrawing31.vml"/><Relationship  Id="rId2" Type="http://schemas.openxmlformats.org/officeDocument/2006/relationships/comments" Target="../comments31.xml"/><Relationship  Id="rId1" Type="http://schemas.microsoft.com/office/2017/10/relationships/threadedComment" Target="../threadedComments/threadedComment31.xml"/></Relationships>
</file>

<file path=xl/worksheets/_rels/sheet35.xml.rels><?xml version="1.0" encoding="UTF-8" standalone="yes"?><Relationships xmlns="http://schemas.openxmlformats.org/package/2006/relationships"><Relationship  Id="rId3" Type="http://schemas.openxmlformats.org/officeDocument/2006/relationships/vmlDrawing" Target="../drawings/vmlDrawing32.vml"/><Relationship  Id="rId2" Type="http://schemas.openxmlformats.org/officeDocument/2006/relationships/comments" Target="../comments32.xml"/><Relationship  Id="rId1" Type="http://schemas.microsoft.com/office/2017/10/relationships/threadedComment" Target="../threadedComments/threadedComment32.xml"/></Relationships>
</file>

<file path=xl/worksheets/_rels/sheet36.xml.rels><?xml version="1.0" encoding="UTF-8" standalone="yes"?><Relationships xmlns="http://schemas.openxmlformats.org/package/2006/relationships"><Relationship  Id="rId3" Type="http://schemas.openxmlformats.org/officeDocument/2006/relationships/vmlDrawing" Target="../drawings/vmlDrawing33.vml"/><Relationship  Id="rId2" Type="http://schemas.openxmlformats.org/officeDocument/2006/relationships/comments" Target="../comments33.xml"/><Relationship  Id="rId1" Type="http://schemas.microsoft.com/office/2017/10/relationships/threadedComment" Target="../threadedComments/threadedComment33.xml"/></Relationships>
</file>

<file path=xl/worksheets/_rels/sheet37.xml.rels><?xml version="1.0" encoding="UTF-8" standalone="yes"?><Relationships xmlns="http://schemas.openxmlformats.org/package/2006/relationships"><Relationship  Id="rId3" Type="http://schemas.openxmlformats.org/officeDocument/2006/relationships/vmlDrawing" Target="../drawings/vmlDrawing34.vml"/><Relationship  Id="rId2" Type="http://schemas.openxmlformats.org/officeDocument/2006/relationships/comments" Target="../comments34.xml"/><Relationship  Id="rId1" Type="http://schemas.microsoft.com/office/2017/10/relationships/threadedComment" Target="../threadedComments/threadedComment34.xml"/></Relationships>
</file>

<file path=xl/worksheets/_rels/sheet38.xml.rels><?xml version="1.0" encoding="UTF-8" standalone="yes"?><Relationships xmlns="http://schemas.openxmlformats.org/package/2006/relationships"><Relationship  Id="rId3" Type="http://schemas.openxmlformats.org/officeDocument/2006/relationships/vmlDrawing" Target="../drawings/vmlDrawing35.vml"/><Relationship  Id="rId2" Type="http://schemas.openxmlformats.org/officeDocument/2006/relationships/comments" Target="../comments35.xml"/><Relationship  Id="rId1" Type="http://schemas.microsoft.com/office/2017/10/relationships/threadedComment" Target="../threadedComments/threadedComment35.xml"/></Relationships>
</file>

<file path=xl/worksheets/_rels/sheet39.xml.rels><?xml version="1.0" encoding="UTF-8" standalone="yes"?><Relationships xmlns="http://schemas.openxmlformats.org/package/2006/relationships"><Relationship  Id="rId3" Type="http://schemas.openxmlformats.org/officeDocument/2006/relationships/vmlDrawing" Target="../drawings/vmlDrawing36.vml"/><Relationship  Id="rId2" Type="http://schemas.openxmlformats.org/officeDocument/2006/relationships/comments" Target="../comments36.xml"/><Relationship  Id="rId1" Type="http://schemas.microsoft.com/office/2017/10/relationships/threadedComment" Target="../threadedComments/threadedComment36.xml"/></Relationships>
</file>

<file path=xl/worksheets/_rels/sheet4.xml.rels><?xml version="1.0" encoding="UTF-8" standalone="yes"?><Relationships xmlns="http://schemas.openxmlformats.org/package/2006/relationships"><Relationship  Id="rId4" Type="http://schemas.openxmlformats.org/officeDocument/2006/relationships/vmlDrawing" Target="../drawings/vmlDrawing1.vml"/><Relationship  Id="rId3" Type="http://schemas.openxmlformats.org/officeDocument/2006/relationships/drawing" Target="../drawings/drawing4.x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40.xml.rels><?xml version="1.0" encoding="UTF-8" standalone="yes"?><Relationships xmlns="http://schemas.openxmlformats.org/package/2006/relationships"><Relationship  Id="rId3" Type="http://schemas.openxmlformats.org/officeDocument/2006/relationships/vmlDrawing" Target="../drawings/vmlDrawing37.vml"/><Relationship  Id="rId2" Type="http://schemas.openxmlformats.org/officeDocument/2006/relationships/comments" Target="../comments37.xml"/><Relationship  Id="rId1" Type="http://schemas.microsoft.com/office/2017/10/relationships/threadedComment" Target="../threadedComments/threadedComment37.xml"/></Relationships>
</file>

<file path=xl/worksheets/_rels/sheet41.xml.rels><?xml version="1.0" encoding="UTF-8" standalone="yes"?><Relationships xmlns="http://schemas.openxmlformats.org/package/2006/relationships"><Relationship  Id="rId3" Type="http://schemas.openxmlformats.org/officeDocument/2006/relationships/vmlDrawing" Target="../drawings/vmlDrawing38.vml"/><Relationship  Id="rId2" Type="http://schemas.openxmlformats.org/officeDocument/2006/relationships/comments" Target="../comments38.xml"/><Relationship  Id="rId1" Type="http://schemas.microsoft.com/office/2017/10/relationships/threadedComment" Target="../threadedComments/threadedComment38.xml"/></Relationships>
</file>

<file path=xl/worksheets/_rels/sheet42.xml.rels><?xml version="1.0" encoding="UTF-8" standalone="yes"?><Relationships xmlns="http://schemas.openxmlformats.org/package/2006/relationships"><Relationship  Id="rId3" Type="http://schemas.openxmlformats.org/officeDocument/2006/relationships/vmlDrawing" Target="../drawings/vmlDrawing39.vml"/><Relationship  Id="rId2" Type="http://schemas.openxmlformats.org/officeDocument/2006/relationships/comments" Target="../comments39.xml"/><Relationship  Id="rId1" Type="http://schemas.microsoft.com/office/2017/10/relationships/threadedComment" Target="../threadedComments/threadedComment39.xml"/></Relationships>
</file>

<file path=xl/worksheets/_rels/sheet43.xml.rels><?xml version="1.0" encoding="UTF-8" standalone="yes"?><Relationships xmlns="http://schemas.openxmlformats.org/package/2006/relationships"><Relationship  Id="rId3" Type="http://schemas.openxmlformats.org/officeDocument/2006/relationships/vmlDrawing" Target="../drawings/vmlDrawing40.vml"/><Relationship  Id="rId2" Type="http://schemas.openxmlformats.org/officeDocument/2006/relationships/comments" Target="../comments40.xml"/><Relationship  Id="rId1" Type="http://schemas.microsoft.com/office/2017/10/relationships/threadedComment" Target="../threadedComments/threadedComment40.xml"/></Relationships>
</file>

<file path=xl/worksheets/_rels/sheet44.xml.rels><?xml version="1.0" encoding="UTF-8" standalone="yes"?><Relationships xmlns="http://schemas.openxmlformats.org/package/2006/relationships"><Relationship  Id="rId3" Type="http://schemas.openxmlformats.org/officeDocument/2006/relationships/vmlDrawing" Target="../drawings/vmlDrawing41.vml"/><Relationship  Id="rId2" Type="http://schemas.openxmlformats.org/officeDocument/2006/relationships/comments" Target="../comments41.xml"/><Relationship  Id="rId1" Type="http://schemas.microsoft.com/office/2017/10/relationships/threadedComment" Target="../threadedComments/threadedComment41.xml"/></Relationships>
</file>

<file path=xl/worksheets/_rels/sheet45.xml.rels><?xml version="1.0" encoding="UTF-8" standalone="yes"?><Relationships xmlns="http://schemas.openxmlformats.org/package/2006/relationships"><Relationship  Id="rId3" Type="http://schemas.openxmlformats.org/officeDocument/2006/relationships/vmlDrawing" Target="../drawings/vmlDrawing42.vml"/><Relationship  Id="rId2" Type="http://schemas.openxmlformats.org/officeDocument/2006/relationships/comments" Target="../comments42.xml"/><Relationship  Id="rId1" Type="http://schemas.microsoft.com/office/2017/10/relationships/threadedComment" Target="../threadedComments/threadedComment42.xml"/></Relationships>
</file>

<file path=xl/worksheets/_rels/sheet46.xml.rels><?xml version="1.0" encoding="UTF-8" standalone="yes"?><Relationships xmlns="http://schemas.openxmlformats.org/package/2006/relationships"><Relationship  Id="rId3" Type="http://schemas.openxmlformats.org/officeDocument/2006/relationships/vmlDrawing" Target="../drawings/vmlDrawing43.vml"/><Relationship  Id="rId2" Type="http://schemas.openxmlformats.org/officeDocument/2006/relationships/comments" Target="../comments43.xml"/><Relationship  Id="rId1" Type="http://schemas.microsoft.com/office/2017/10/relationships/threadedComment" Target="../threadedComments/threadedComment43.xml"/></Relationships>
</file>

<file path=xl/worksheets/_rels/sheet47.xml.rels><?xml version="1.0" encoding="UTF-8" standalone="yes"?><Relationships xmlns="http://schemas.openxmlformats.org/package/2006/relationships"><Relationship  Id="rId3" Type="http://schemas.openxmlformats.org/officeDocument/2006/relationships/vmlDrawing" Target="../drawings/vmlDrawing44.vml"/><Relationship  Id="rId2" Type="http://schemas.openxmlformats.org/officeDocument/2006/relationships/comments" Target="../comments44.xml"/><Relationship  Id="rId1" Type="http://schemas.microsoft.com/office/2017/10/relationships/threadedComment" Target="../threadedComments/threadedComment44.xml"/></Relationships>
</file>

<file path=xl/worksheets/_rels/sheet48.xml.rels><?xml version="1.0" encoding="UTF-8" standalone="yes"?><Relationships xmlns="http://schemas.openxmlformats.org/package/2006/relationships"><Relationship  Id="rId3" Type="http://schemas.openxmlformats.org/officeDocument/2006/relationships/vmlDrawing" Target="../drawings/vmlDrawing45.vml"/><Relationship  Id="rId2" Type="http://schemas.openxmlformats.org/officeDocument/2006/relationships/comments" Target="../comments45.xml"/><Relationship  Id="rId1" Type="http://schemas.microsoft.com/office/2017/10/relationships/threadedComment" Target="../threadedComments/threadedComment45.xml"/></Relationships>
</file>

<file path=xl/worksheets/_rels/sheet49.xml.rels><?xml version="1.0" encoding="UTF-8" standalone="yes"?><Relationships xmlns="http://schemas.openxmlformats.org/package/2006/relationships"><Relationship  Id="rId3" Type="http://schemas.openxmlformats.org/officeDocument/2006/relationships/vmlDrawing" Target="../drawings/vmlDrawing46.vml"/><Relationship  Id="rId2" Type="http://schemas.openxmlformats.org/officeDocument/2006/relationships/comments" Target="../comments46.xml"/><Relationship  Id="rId1" Type="http://schemas.microsoft.com/office/2017/10/relationships/threadedComment" Target="../threadedComments/threadedComment46.xml"/></Relationships>
</file>

<file path=xl/worksheets/_rels/sheet5.xml.rels><?xml version="1.0" encoding="UTF-8" standalone="yes"?><Relationships xmlns="http://schemas.openxmlformats.org/package/2006/relationships"><Relationship  Id="rId4" Type="http://schemas.openxmlformats.org/officeDocument/2006/relationships/vmlDrawing" Target="../drawings/vmlDrawing2.vml"/><Relationship  Id="rId3" Type="http://schemas.openxmlformats.org/officeDocument/2006/relationships/drawing" Target="../drawings/drawing5.x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_rels/sheet50.xml.rels><?xml version="1.0" encoding="UTF-8" standalone="yes"?><Relationships xmlns="http://schemas.openxmlformats.org/package/2006/relationships"><Relationship  Id="rId3" Type="http://schemas.openxmlformats.org/officeDocument/2006/relationships/vmlDrawing" Target="../drawings/vmlDrawing47.vml"/><Relationship  Id="rId2" Type="http://schemas.openxmlformats.org/officeDocument/2006/relationships/comments" Target="../comments47.xml"/><Relationship  Id="rId1" Type="http://schemas.microsoft.com/office/2017/10/relationships/threadedComment" Target="../threadedComments/threadedComment47.xml"/></Relationships>
</file>

<file path=xl/worksheets/_rels/sheet51.xml.rels><?xml version="1.0" encoding="UTF-8" standalone="yes"?><Relationships xmlns="http://schemas.openxmlformats.org/package/2006/relationships"><Relationship  Id="rId3" Type="http://schemas.openxmlformats.org/officeDocument/2006/relationships/vmlDrawing" Target="../drawings/vmlDrawing48.vml"/><Relationship  Id="rId2" Type="http://schemas.openxmlformats.org/officeDocument/2006/relationships/comments" Target="../comments48.xml"/><Relationship  Id="rId1" Type="http://schemas.microsoft.com/office/2017/10/relationships/threadedComment" Target="../threadedComments/threadedComment48.xml"/></Relationships>
</file>

<file path=xl/worksheets/_rels/sheet52.xml.rels><?xml version="1.0" encoding="UTF-8" standalone="yes"?><Relationships xmlns="http://schemas.openxmlformats.org/package/2006/relationships"><Relationship  Id="rId3" Type="http://schemas.openxmlformats.org/officeDocument/2006/relationships/vmlDrawing" Target="../drawings/vmlDrawing49.vml"/><Relationship  Id="rId2" Type="http://schemas.openxmlformats.org/officeDocument/2006/relationships/comments" Target="../comments49.xml"/><Relationship  Id="rId1" Type="http://schemas.microsoft.com/office/2017/10/relationships/threadedComment" Target="../threadedComments/threadedComment49.xml"/></Relationships>
</file>

<file path=xl/worksheets/_rels/sheet53.xml.rels><?xml version="1.0" encoding="UTF-8" standalone="yes"?><Relationships xmlns="http://schemas.openxmlformats.org/package/2006/relationships"><Relationship  Id="rId3" Type="http://schemas.openxmlformats.org/officeDocument/2006/relationships/vmlDrawing" Target="../drawings/vmlDrawing50.vml"/><Relationship  Id="rId2" Type="http://schemas.openxmlformats.org/officeDocument/2006/relationships/comments" Target="../comments50.xml"/><Relationship  Id="rId1" Type="http://schemas.microsoft.com/office/2017/10/relationships/threadedComment" Target="../threadedComments/threadedComment50.xml"/></Relationships>
</file>

<file path=xl/worksheets/_rels/sheet54.xml.rels><?xml version="1.0" encoding="UTF-8" standalone="yes"?><Relationships xmlns="http://schemas.openxmlformats.org/package/2006/relationships"><Relationship  Id="rId3" Type="http://schemas.openxmlformats.org/officeDocument/2006/relationships/vmlDrawing" Target="../drawings/vmlDrawing51.vml"/><Relationship  Id="rId2" Type="http://schemas.openxmlformats.org/officeDocument/2006/relationships/comments" Target="../comments51.xml"/><Relationship  Id="rId1" Type="http://schemas.microsoft.com/office/2017/10/relationships/threadedComment" Target="../threadedComments/threadedComment51.xml"/></Relationships>
</file>

<file path=xl/worksheets/_rels/sheet55.xml.rels><?xml version="1.0" encoding="UTF-8" standalone="yes"?><Relationships xmlns="http://schemas.openxmlformats.org/package/2006/relationships"><Relationship  Id="rId3" Type="http://schemas.openxmlformats.org/officeDocument/2006/relationships/vmlDrawing" Target="../drawings/vmlDrawing52.vml"/><Relationship  Id="rId2" Type="http://schemas.openxmlformats.org/officeDocument/2006/relationships/comments" Target="../comments52.xml"/><Relationship  Id="rId1" Type="http://schemas.microsoft.com/office/2017/10/relationships/threadedComment" Target="../threadedComments/threadedComment52.xml"/></Relationships>
</file>

<file path=xl/worksheets/_rels/sheet56.xml.rels><?xml version="1.0" encoding="UTF-8" standalone="yes"?><Relationships xmlns="http://schemas.openxmlformats.org/package/2006/relationships"><Relationship  Id="rId3" Type="http://schemas.openxmlformats.org/officeDocument/2006/relationships/vmlDrawing" Target="../drawings/vmlDrawing53.vml"/><Relationship  Id="rId2" Type="http://schemas.openxmlformats.org/officeDocument/2006/relationships/comments" Target="../comments53.xml"/><Relationship  Id="rId1" Type="http://schemas.microsoft.com/office/2017/10/relationships/threadedComment" Target="../threadedComments/threadedComment53.xml"/></Relationships>
</file>

<file path=xl/worksheets/_rels/sheet57.xml.rels><?xml version="1.0" encoding="UTF-8" standalone="yes"?><Relationships xmlns="http://schemas.openxmlformats.org/package/2006/relationships"><Relationship  Id="rId3" Type="http://schemas.openxmlformats.org/officeDocument/2006/relationships/vmlDrawing" Target="../drawings/vmlDrawing54.vml"/><Relationship  Id="rId2" Type="http://schemas.openxmlformats.org/officeDocument/2006/relationships/comments" Target="../comments54.xml"/><Relationship  Id="rId1" Type="http://schemas.microsoft.com/office/2017/10/relationships/threadedComment" Target="../threadedComments/threadedComment54.xml"/></Relationships>
</file>

<file path=xl/worksheets/_rels/sheet58.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59.xml.rels><?xml version="1.0" encoding="UTF-8" standalone="yes"?><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Relationships xmlns="http://schemas.openxmlformats.org/package/2006/relationships"><Relationship  Id="rId4" Type="http://schemas.openxmlformats.org/officeDocument/2006/relationships/vmlDrawing" Target="../drawings/vmlDrawing3.vml"/><Relationship  Id="rId3" Type="http://schemas.openxmlformats.org/officeDocument/2006/relationships/drawing" Target="../drawings/drawing6.xml"/><Relationship  Id="rId2" Type="http://schemas.openxmlformats.org/officeDocument/2006/relationships/comments" Target="../comments3.xml"/><Relationship  Id="rId1" Type="http://schemas.microsoft.com/office/2017/10/relationships/threadedComment" Target="../threadedComments/threadedComment3.xml"/></Relationships>
</file>

<file path=xl/worksheets/_rels/sheet7.xml.rels><?xml version="1.0" encoding="UTF-8" standalone="yes"?><Relationships xmlns="http://schemas.openxmlformats.org/package/2006/relationships"><Relationship  Id="rId3" Type="http://schemas.openxmlformats.org/officeDocument/2006/relationships/vmlDrawing" Target="../drawings/vmlDrawing4.vml"/><Relationship  Id="rId2" Type="http://schemas.openxmlformats.org/officeDocument/2006/relationships/comments" Target="../comments4.xml"/><Relationship  Id="rId1" Type="http://schemas.microsoft.com/office/2017/10/relationships/threadedComment" Target="../threadedComments/threadedComment4.xml"/></Relationships>
</file>

<file path=xl/worksheets/_rels/sheet8.xml.rels><?xml version="1.0" encoding="UTF-8" standalone="yes"?><Relationships xmlns="http://schemas.openxmlformats.org/package/2006/relationships"><Relationship  Id="rId3" Type="http://schemas.openxmlformats.org/officeDocument/2006/relationships/vmlDrawing" Target="../drawings/vmlDrawing5.vml"/><Relationship  Id="rId2" Type="http://schemas.openxmlformats.org/officeDocument/2006/relationships/comments" Target="../comments5.xml"/><Relationship  Id="rId1" Type="http://schemas.microsoft.com/office/2017/10/relationships/threadedComment" Target="../threadedComments/threadedComment5.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6.vml"/><Relationship  Id="rId2" Type="http://schemas.openxmlformats.org/officeDocument/2006/relationships/comments" Target="../comments6.xml"/><Relationship  Id="rId1"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2" activeCellId="0" sqref="B32"/>
    </sheetView>
  </sheetViews>
  <sheetFormatPr defaultRowHeight="14.25"/>
  <cols>
    <col bestFit="1" customWidth="1" min="1" max="1" width="10.140625"/>
    <col bestFit="1" customWidth="1" min="10" max="10" width="12"/>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c r="P1" s="1"/>
      <c r="Q1" s="1"/>
      <c r="R1" s="1"/>
      <c r="S1" s="1"/>
    </row>
    <row r="2">
      <c r="A2" s="2">
        <v>43617</v>
      </c>
      <c r="B2" s="3">
        <v>2170</v>
      </c>
      <c r="C2" s="3">
        <v>801.21000000000004</v>
      </c>
      <c r="D2" s="3">
        <v>181</v>
      </c>
      <c r="E2" s="3"/>
      <c r="F2" s="3"/>
      <c r="G2" s="3"/>
      <c r="H2" s="3"/>
      <c r="I2" s="3">
        <v>544.20000000000005</v>
      </c>
      <c r="J2" s="3"/>
      <c r="K2" s="3"/>
      <c r="L2" s="3"/>
      <c r="M2" s="3"/>
      <c r="N2" s="3"/>
      <c r="O2" s="3"/>
      <c r="P2" s="3"/>
      <c r="Q2" s="3"/>
      <c r="R2" s="3"/>
      <c r="S2" s="3"/>
    </row>
    <row r="3">
      <c r="A3" s="4">
        <v>43618</v>
      </c>
      <c r="B3" s="5"/>
      <c r="C3" s="5"/>
      <c r="D3" s="5"/>
      <c r="E3" s="5"/>
      <c r="F3" s="5"/>
      <c r="G3" s="5"/>
      <c r="H3" s="5"/>
      <c r="I3" s="5"/>
      <c r="J3" s="5"/>
      <c r="K3" s="5"/>
      <c r="L3" s="5"/>
      <c r="M3" s="5"/>
      <c r="N3" s="5"/>
      <c r="O3" s="5"/>
      <c r="P3" s="5"/>
      <c r="Q3" s="5"/>
      <c r="R3" s="5"/>
      <c r="S3" s="5"/>
    </row>
    <row r="4">
      <c r="A4" s="2">
        <v>43619</v>
      </c>
      <c r="B4" s="3"/>
      <c r="C4" s="3">
        <v>203.5</v>
      </c>
      <c r="D4" s="3"/>
      <c r="E4" s="3"/>
      <c r="F4" s="3"/>
      <c r="G4" s="3"/>
      <c r="H4" s="3"/>
      <c r="I4" s="3"/>
      <c r="J4" s="3"/>
      <c r="K4" s="3"/>
      <c r="L4" s="3"/>
      <c r="M4" s="3"/>
      <c r="N4" s="3"/>
      <c r="O4" s="3"/>
      <c r="P4" s="3"/>
      <c r="Q4" s="3"/>
      <c r="R4" s="3"/>
      <c r="S4" s="3"/>
    </row>
    <row r="5">
      <c r="A5" s="4">
        <v>43620</v>
      </c>
      <c r="B5" s="5"/>
      <c r="C5" s="5">
        <v>108.52</v>
      </c>
      <c r="D5" s="5"/>
      <c r="E5" s="5"/>
      <c r="F5" s="5"/>
      <c r="G5" s="5"/>
      <c r="H5" s="5"/>
      <c r="I5" s="5"/>
      <c r="J5" s="5"/>
      <c r="K5" s="5"/>
      <c r="L5" s="5"/>
      <c r="M5" s="5"/>
      <c r="N5" s="5"/>
      <c r="O5" s="5"/>
      <c r="P5" s="5"/>
      <c r="Q5" s="5"/>
      <c r="R5" s="5"/>
      <c r="S5" s="5"/>
    </row>
    <row r="6">
      <c r="A6" s="2">
        <v>43621</v>
      </c>
      <c r="B6" s="3"/>
      <c r="C6" s="3"/>
      <c r="D6" s="3">
        <v>275</v>
      </c>
      <c r="E6" s="3"/>
      <c r="F6" s="3"/>
      <c r="G6" s="3"/>
      <c r="H6" s="3"/>
      <c r="I6" s="3"/>
      <c r="J6" s="3"/>
      <c r="K6" s="3"/>
      <c r="L6" s="3"/>
      <c r="M6" s="3"/>
      <c r="N6" s="3"/>
      <c r="O6" s="3"/>
      <c r="P6" s="3"/>
      <c r="Q6" s="3"/>
      <c r="R6" s="3"/>
      <c r="S6" s="3"/>
    </row>
    <row r="7">
      <c r="A7" s="4">
        <v>43622</v>
      </c>
      <c r="B7" s="5"/>
      <c r="C7" s="5"/>
      <c r="D7" s="5"/>
      <c r="E7" s="5"/>
      <c r="F7" s="5"/>
      <c r="G7" s="5"/>
      <c r="H7" s="5"/>
      <c r="I7" s="5"/>
      <c r="J7" s="5"/>
      <c r="K7" s="5">
        <v>13336</v>
      </c>
      <c r="L7" s="6">
        <v>2000</v>
      </c>
      <c r="M7" s="5">
        <v>275</v>
      </c>
      <c r="N7" s="5"/>
      <c r="O7" s="5"/>
      <c r="P7" s="5"/>
      <c r="Q7" s="5"/>
      <c r="R7" s="5"/>
      <c r="S7" s="5"/>
    </row>
    <row r="8">
      <c r="A8" s="2">
        <v>43623</v>
      </c>
      <c r="B8" s="3"/>
      <c r="C8" s="3">
        <f>943.95+79.8</f>
        <v>1023.75</v>
      </c>
      <c r="D8" s="3"/>
      <c r="E8" s="3"/>
      <c r="F8" s="3">
        <v>2180</v>
      </c>
      <c r="G8" s="3"/>
      <c r="H8" s="3"/>
      <c r="I8" s="3"/>
      <c r="J8" s="3"/>
      <c r="K8" s="3">
        <v>1200</v>
      </c>
      <c r="L8" s="3"/>
      <c r="M8" s="3"/>
      <c r="N8" s="3"/>
      <c r="O8" s="3"/>
      <c r="P8" s="3"/>
      <c r="Q8" s="3"/>
      <c r="R8" s="3"/>
      <c r="S8" s="3"/>
    </row>
    <row r="9">
      <c r="A9" s="4">
        <v>43624</v>
      </c>
      <c r="B9" s="6">
        <v>322.5</v>
      </c>
      <c r="C9" s="5"/>
      <c r="D9" s="5"/>
      <c r="E9" s="5"/>
      <c r="F9" s="5"/>
      <c r="G9" s="5"/>
      <c r="H9" s="5"/>
      <c r="I9" s="6">
        <v>1000</v>
      </c>
      <c r="J9" s="5"/>
      <c r="K9" s="5"/>
      <c r="L9" s="5"/>
      <c r="M9" s="5"/>
      <c r="N9" s="5"/>
      <c r="O9" s="5"/>
      <c r="P9" s="5"/>
      <c r="Q9" s="5"/>
      <c r="R9" s="5"/>
      <c r="S9" s="5"/>
    </row>
    <row r="10">
      <c r="A10" s="2">
        <v>43625</v>
      </c>
      <c r="B10" s="3"/>
      <c r="C10" s="3">
        <v>607.02999999999997</v>
      </c>
      <c r="D10" s="3"/>
      <c r="E10" s="3"/>
      <c r="F10" s="3"/>
      <c r="G10" s="3"/>
      <c r="H10" s="3"/>
      <c r="I10" s="3"/>
      <c r="J10" s="3"/>
      <c r="K10" s="3"/>
      <c r="L10" s="3"/>
      <c r="M10" s="3"/>
      <c r="N10" s="3">
        <v>1400</v>
      </c>
      <c r="O10" s="3"/>
      <c r="P10" s="3"/>
      <c r="Q10" s="3"/>
      <c r="R10" s="3"/>
      <c r="S10" s="3"/>
    </row>
    <row r="11">
      <c r="A11" s="4">
        <v>43626</v>
      </c>
      <c r="B11" s="5"/>
      <c r="C11" s="5"/>
      <c r="D11" s="5"/>
      <c r="E11" s="5"/>
      <c r="F11" s="5"/>
      <c r="G11" s="5"/>
      <c r="H11" s="5"/>
      <c r="I11" s="5"/>
      <c r="J11" s="5"/>
      <c r="K11" s="5"/>
      <c r="L11" s="5"/>
      <c r="M11" s="5"/>
      <c r="N11" s="5"/>
      <c r="O11" s="5"/>
      <c r="P11" s="5"/>
      <c r="Q11" s="5"/>
      <c r="R11" s="5"/>
      <c r="S11" s="5"/>
    </row>
    <row r="12">
      <c r="A12" s="2">
        <v>43627</v>
      </c>
      <c r="B12" s="3"/>
      <c r="C12" s="3">
        <v>313</v>
      </c>
      <c r="D12" s="3"/>
      <c r="E12" s="3"/>
      <c r="F12" s="3"/>
      <c r="G12" s="3"/>
      <c r="H12" s="3"/>
      <c r="I12" s="3"/>
      <c r="J12" s="3"/>
      <c r="K12" s="3"/>
      <c r="L12" s="3"/>
      <c r="M12" s="3"/>
      <c r="N12" s="3"/>
      <c r="O12" s="3"/>
      <c r="P12" s="3"/>
      <c r="Q12" s="3"/>
      <c r="R12" s="3"/>
      <c r="S12" s="3"/>
    </row>
    <row r="13">
      <c r="A13" s="4">
        <v>43628</v>
      </c>
      <c r="B13" s="5"/>
      <c r="C13" s="5"/>
      <c r="D13" s="5"/>
      <c r="E13" s="5"/>
      <c r="F13" s="5"/>
      <c r="G13" s="5"/>
      <c r="H13" s="5"/>
      <c r="I13" s="5"/>
      <c r="J13" s="5"/>
      <c r="K13" s="5"/>
      <c r="L13" s="5"/>
      <c r="M13" s="5"/>
      <c r="N13" s="5"/>
      <c r="O13" s="5"/>
      <c r="P13" s="5"/>
      <c r="Q13" s="5"/>
      <c r="R13" s="5"/>
      <c r="S13" s="5"/>
    </row>
    <row r="14">
      <c r="A14" s="2">
        <v>43629</v>
      </c>
      <c r="B14" s="3"/>
      <c r="C14" s="3"/>
      <c r="D14" s="3">
        <v>505</v>
      </c>
      <c r="E14" s="3"/>
      <c r="F14" s="3"/>
      <c r="G14" s="3"/>
      <c r="H14" s="3"/>
      <c r="I14" s="3"/>
      <c r="J14" s="3"/>
      <c r="K14" s="3"/>
      <c r="L14" s="3"/>
      <c r="M14" s="3"/>
      <c r="N14" s="3"/>
      <c r="O14" s="3"/>
      <c r="P14" s="3"/>
      <c r="Q14" s="3"/>
      <c r="R14" s="3"/>
      <c r="S14" s="3"/>
    </row>
    <row r="15">
      <c r="A15" s="4">
        <v>43630</v>
      </c>
      <c r="B15" s="5"/>
      <c r="C15" s="5">
        <v>874.86000000000001</v>
      </c>
      <c r="D15" s="5"/>
      <c r="E15" s="5"/>
      <c r="F15" s="5"/>
      <c r="G15" s="5"/>
      <c r="H15" s="5"/>
      <c r="I15" s="6">
        <v>800</v>
      </c>
      <c r="J15" s="5"/>
      <c r="K15" s="5"/>
      <c r="L15" s="5"/>
      <c r="M15" s="5"/>
      <c r="N15" s="5"/>
      <c r="O15" s="5"/>
      <c r="P15" s="5"/>
      <c r="Q15" s="5"/>
      <c r="R15" s="5"/>
      <c r="S15" s="5"/>
    </row>
    <row r="16">
      <c r="A16" s="2">
        <v>43631</v>
      </c>
      <c r="B16" s="3"/>
      <c r="C16" s="3"/>
      <c r="D16" s="3"/>
      <c r="E16" s="3"/>
      <c r="F16" s="3"/>
      <c r="G16" s="3"/>
      <c r="H16" s="3"/>
      <c r="I16" s="3"/>
      <c r="J16" s="3"/>
      <c r="K16" s="3"/>
      <c r="L16" s="3"/>
      <c r="M16" s="3"/>
      <c r="N16" s="3"/>
      <c r="O16" s="3"/>
      <c r="P16" s="3"/>
      <c r="Q16" s="3"/>
      <c r="R16" s="3"/>
      <c r="S16" s="3"/>
    </row>
    <row r="17">
      <c r="A17" s="4">
        <v>43632</v>
      </c>
      <c r="B17" s="5"/>
      <c r="C17" s="5">
        <v>273.42000000000002</v>
      </c>
      <c r="D17" s="5"/>
      <c r="E17" s="5"/>
      <c r="F17" s="5"/>
      <c r="G17" s="5"/>
      <c r="H17" s="5"/>
      <c r="I17" s="5"/>
      <c r="J17" s="5"/>
      <c r="K17" s="5"/>
      <c r="L17" s="5"/>
      <c r="M17" s="5"/>
      <c r="N17" s="5"/>
      <c r="O17" s="5"/>
      <c r="P17" s="5"/>
      <c r="Q17" s="5"/>
      <c r="R17" s="5"/>
      <c r="S17" s="5"/>
    </row>
    <row r="18">
      <c r="A18" s="2">
        <v>43633</v>
      </c>
      <c r="B18" s="3"/>
      <c r="C18" s="3"/>
      <c r="D18" s="3"/>
      <c r="E18" s="3"/>
      <c r="F18" s="3"/>
      <c r="G18" s="3"/>
      <c r="H18" s="3"/>
      <c r="I18" s="3"/>
      <c r="J18" s="3"/>
      <c r="K18" s="3"/>
      <c r="L18" s="3"/>
      <c r="M18" s="3"/>
      <c r="N18" s="3"/>
      <c r="O18" s="3"/>
      <c r="P18" s="3"/>
      <c r="Q18" s="3"/>
      <c r="R18" s="3"/>
      <c r="S18" s="3"/>
    </row>
    <row r="19">
      <c r="A19" s="4">
        <v>43634</v>
      </c>
      <c r="B19" s="5"/>
      <c r="C19" s="5">
        <v>85</v>
      </c>
      <c r="D19" s="5"/>
      <c r="E19" s="5"/>
      <c r="F19" s="5"/>
      <c r="G19" s="5"/>
      <c r="H19" s="5"/>
      <c r="I19" s="5"/>
      <c r="J19" s="5"/>
      <c r="K19" s="5"/>
      <c r="L19" s="5"/>
      <c r="M19" s="5"/>
      <c r="N19" s="5"/>
      <c r="O19" s="5"/>
      <c r="P19" s="5"/>
      <c r="Q19" s="5"/>
      <c r="R19" s="5"/>
      <c r="S19" s="5"/>
    </row>
    <row r="20">
      <c r="A20" s="2">
        <v>43635</v>
      </c>
      <c r="B20" s="3"/>
      <c r="C20" s="3">
        <v>79.799999999999997</v>
      </c>
      <c r="D20" s="3">
        <f>276+214</f>
        <v>490</v>
      </c>
      <c r="E20" s="3"/>
      <c r="F20" s="3"/>
      <c r="G20" s="3"/>
      <c r="H20" s="3">
        <v>3184</v>
      </c>
      <c r="I20" s="3"/>
      <c r="J20" s="3"/>
      <c r="K20" s="3"/>
      <c r="L20" s="3"/>
      <c r="M20" s="3"/>
      <c r="N20" s="3"/>
      <c r="O20" s="3"/>
      <c r="P20" s="3"/>
      <c r="Q20" s="3"/>
      <c r="R20" s="3"/>
      <c r="S20" s="3"/>
    </row>
    <row r="21">
      <c r="A21" s="4">
        <v>43636</v>
      </c>
      <c r="B21" s="5"/>
      <c r="C21" s="5">
        <f>261.18+133.8</f>
        <v>394.98000000000002</v>
      </c>
      <c r="D21" s="5"/>
      <c r="E21" s="5"/>
      <c r="F21" s="5"/>
      <c r="G21" s="5"/>
      <c r="H21" s="5"/>
      <c r="I21" s="5">
        <v>699</v>
      </c>
      <c r="J21" s="5"/>
      <c r="K21" s="5"/>
      <c r="L21" s="5"/>
      <c r="M21" s="5"/>
      <c r="N21" s="5"/>
      <c r="O21" s="5"/>
      <c r="P21" s="5"/>
      <c r="Q21" s="5"/>
      <c r="R21" s="5"/>
      <c r="S21" s="5"/>
    </row>
    <row r="22">
      <c r="A22" s="2">
        <v>43637</v>
      </c>
      <c r="B22" s="3"/>
      <c r="C22" s="3">
        <v>457.10000000000002</v>
      </c>
      <c r="D22" s="3"/>
      <c r="E22" s="3"/>
      <c r="F22" s="3"/>
      <c r="G22" s="3"/>
      <c r="H22" s="3"/>
      <c r="I22" s="3">
        <v>216</v>
      </c>
      <c r="J22" s="3"/>
      <c r="K22" s="3"/>
      <c r="L22" s="3"/>
      <c r="M22" s="3"/>
      <c r="N22" s="3"/>
      <c r="O22" s="3"/>
      <c r="P22" s="3"/>
      <c r="Q22" s="3"/>
      <c r="R22" s="3"/>
      <c r="S22" s="3"/>
    </row>
    <row r="23">
      <c r="A23" s="4">
        <v>43638</v>
      </c>
      <c r="B23" s="5"/>
      <c r="C23" s="5"/>
      <c r="D23" s="5"/>
      <c r="E23" s="5"/>
      <c r="F23" s="5"/>
      <c r="G23" s="5"/>
      <c r="H23" s="5"/>
      <c r="I23" s="5"/>
      <c r="J23" s="5"/>
      <c r="K23" s="5"/>
      <c r="L23" s="5"/>
      <c r="M23" s="5"/>
      <c r="N23" s="5"/>
      <c r="O23" s="5"/>
      <c r="P23" s="5"/>
      <c r="Q23" s="5"/>
      <c r="R23" s="5"/>
      <c r="S23" s="5"/>
    </row>
    <row r="24">
      <c r="A24" s="2">
        <v>43639</v>
      </c>
      <c r="B24" s="3"/>
      <c r="C24" s="3">
        <v>388.30000000000001</v>
      </c>
      <c r="D24" s="3">
        <v>261</v>
      </c>
      <c r="E24" s="3"/>
      <c r="F24" s="3"/>
      <c r="G24" s="3"/>
      <c r="H24" s="3"/>
      <c r="I24" s="3"/>
      <c r="J24" s="3"/>
      <c r="K24" s="3"/>
      <c r="L24" s="3"/>
      <c r="M24" s="3"/>
      <c r="N24" s="3"/>
      <c r="O24" s="3"/>
      <c r="P24" s="3"/>
      <c r="Q24" s="3"/>
      <c r="R24" s="3"/>
      <c r="S24" s="3"/>
    </row>
    <row r="25">
      <c r="A25" s="4">
        <v>43640</v>
      </c>
      <c r="B25" s="5"/>
      <c r="C25" s="5"/>
      <c r="D25" s="5"/>
      <c r="E25" s="5"/>
      <c r="F25" s="5"/>
      <c r="G25" s="5"/>
      <c r="H25" s="5"/>
      <c r="I25" s="5"/>
      <c r="J25" s="5"/>
      <c r="K25" s="5"/>
      <c r="L25" s="5"/>
      <c r="M25" s="5"/>
      <c r="N25" s="5"/>
      <c r="O25" s="5"/>
      <c r="P25" s="5"/>
      <c r="Q25" s="5"/>
      <c r="R25" s="5"/>
      <c r="S25" s="5"/>
    </row>
    <row r="26">
      <c r="A26" s="2">
        <v>43641</v>
      </c>
      <c r="B26" s="3"/>
      <c r="C26" s="3">
        <v>334.69999999999999</v>
      </c>
      <c r="D26" s="3">
        <v>215.99000000000001</v>
      </c>
      <c r="E26" s="3"/>
      <c r="F26" s="3">
        <v>2180</v>
      </c>
      <c r="G26" s="3"/>
      <c r="H26" s="3"/>
      <c r="I26" s="3"/>
      <c r="J26" s="3"/>
      <c r="K26" s="3"/>
      <c r="L26" s="3"/>
      <c r="M26" s="3"/>
      <c r="N26" s="3"/>
      <c r="O26" s="3"/>
      <c r="P26" s="3"/>
      <c r="Q26" s="3"/>
      <c r="R26" s="3"/>
      <c r="S26" s="3"/>
    </row>
    <row r="27">
      <c r="A27" s="4">
        <v>43642</v>
      </c>
      <c r="B27" s="5"/>
      <c r="C27" s="5">
        <v>22.489999999999998</v>
      </c>
      <c r="D27" s="5">
        <v>1267</v>
      </c>
      <c r="E27" s="5"/>
      <c r="F27" s="5"/>
      <c r="G27" s="5"/>
      <c r="H27" s="5"/>
      <c r="I27" s="5">
        <v>500</v>
      </c>
      <c r="J27" s="5"/>
      <c r="K27" s="5"/>
      <c r="L27" s="5"/>
      <c r="M27" s="5"/>
      <c r="N27" s="5"/>
      <c r="O27" s="5"/>
      <c r="P27" s="5"/>
      <c r="Q27" s="5"/>
      <c r="R27" s="5"/>
      <c r="S27" s="5"/>
    </row>
    <row r="28">
      <c r="A28" s="2">
        <v>43643</v>
      </c>
      <c r="B28" s="3"/>
      <c r="C28" s="3">
        <v>93.989999999999995</v>
      </c>
      <c r="D28" s="3"/>
      <c r="E28" s="3"/>
      <c r="F28" s="3"/>
      <c r="G28" s="3"/>
      <c r="H28" s="3"/>
      <c r="I28" s="3"/>
      <c r="J28" s="3"/>
      <c r="K28" s="3"/>
      <c r="L28" s="3"/>
      <c r="M28" s="3"/>
      <c r="N28" s="3"/>
      <c r="O28" s="3"/>
      <c r="P28" s="3"/>
      <c r="Q28" s="3"/>
      <c r="R28" s="3"/>
      <c r="S28" s="3"/>
    </row>
    <row r="29">
      <c r="A29" s="4">
        <v>43644</v>
      </c>
      <c r="B29" s="5"/>
      <c r="C29" s="5">
        <v>134.80000000000001</v>
      </c>
      <c r="D29" s="5"/>
      <c r="E29" s="5"/>
      <c r="F29" s="5"/>
      <c r="G29" s="5"/>
      <c r="H29" s="5"/>
      <c r="I29" s="5"/>
      <c r="J29" s="5"/>
      <c r="K29" s="5"/>
      <c r="L29" s="5"/>
      <c r="M29" s="5"/>
      <c r="N29" s="5"/>
      <c r="O29" s="5"/>
      <c r="P29" s="5"/>
      <c r="Q29" s="5"/>
      <c r="R29" s="5"/>
      <c r="S29" s="5"/>
    </row>
    <row r="30">
      <c r="A30" s="2">
        <v>43645</v>
      </c>
      <c r="B30" s="3"/>
      <c r="C30" s="3"/>
      <c r="D30" s="3"/>
      <c r="E30" s="3"/>
      <c r="F30" s="3"/>
      <c r="G30" s="3"/>
      <c r="H30" s="3"/>
      <c r="I30" s="3"/>
      <c r="J30" s="3">
        <v>400.5</v>
      </c>
      <c r="K30" s="3"/>
      <c r="L30" s="3"/>
      <c r="M30" s="3"/>
      <c r="N30" s="3"/>
      <c r="O30" s="3"/>
      <c r="P30" s="3"/>
      <c r="Q30" s="3"/>
      <c r="R30" s="3"/>
      <c r="S30" s="3"/>
    </row>
    <row r="31">
      <c r="A31" s="4">
        <v>43646</v>
      </c>
      <c r="B31" s="5"/>
      <c r="C31" s="5">
        <v>545.20000000000005</v>
      </c>
      <c r="D31" s="5">
        <v>200</v>
      </c>
      <c r="E31" s="5"/>
      <c r="F31" s="5"/>
      <c r="G31" s="5"/>
      <c r="H31" s="5"/>
      <c r="I31" s="5"/>
      <c r="J31" s="5"/>
      <c r="K31" s="5"/>
      <c r="L31" s="5"/>
      <c r="M31" s="5"/>
      <c r="N31" s="5"/>
      <c r="O31" s="5"/>
      <c r="P31" s="5"/>
      <c r="Q31" s="5"/>
      <c r="R31" s="5"/>
      <c r="S31" s="5"/>
    </row>
    <row r="32">
      <c r="A32" s="7"/>
      <c r="B32" s="7">
        <f>SUM(B2:B31)</f>
        <v>2492.5</v>
      </c>
      <c r="C32" s="7">
        <f>SUM(C2:C31)</f>
        <v>6741.6499999999996</v>
      </c>
      <c r="D32" s="7">
        <f t="shared" ref="D32:Q32" si="0">SUM(D2:D31)</f>
        <v>3394.9899999999998</v>
      </c>
      <c r="E32" s="7">
        <f t="shared" si="0"/>
        <v>0</v>
      </c>
      <c r="F32" s="7">
        <f t="shared" si="0"/>
        <v>4360</v>
      </c>
      <c r="G32" s="7">
        <f t="shared" si="0"/>
        <v>0</v>
      </c>
      <c r="H32" s="7">
        <f t="shared" si="0"/>
        <v>3184</v>
      </c>
      <c r="I32" s="7">
        <f t="shared" si="0"/>
        <v>3759.1999999999998</v>
      </c>
      <c r="J32" s="7">
        <f t="shared" si="0"/>
        <v>400.5</v>
      </c>
      <c r="K32" s="7">
        <f t="shared" si="0"/>
        <v>14536</v>
      </c>
      <c r="L32" s="7">
        <f t="shared" si="0"/>
        <v>2000</v>
      </c>
      <c r="M32" s="7">
        <f t="shared" si="0"/>
        <v>275</v>
      </c>
      <c r="N32" s="7">
        <f t="shared" si="0"/>
        <v>1400</v>
      </c>
      <c r="O32" s="7">
        <f t="shared" si="0"/>
        <v>0</v>
      </c>
      <c r="P32" s="7">
        <f t="shared" si="0"/>
        <v>0</v>
      </c>
      <c r="Q32" s="7">
        <f t="shared" si="0"/>
        <v>0</v>
      </c>
      <c r="R32" s="7" t="s">
        <v>14</v>
      </c>
      <c r="S32" s="7">
        <f>SUM(B32:Q32)</f>
        <v>42543.839999999997</v>
      </c>
    </row>
    <row r="33">
      <c r="A33" s="8"/>
      <c r="B33" s="8"/>
      <c r="C33" s="8"/>
      <c r="D33" s="8"/>
      <c r="E33" s="8"/>
      <c r="F33" s="8"/>
      <c r="G33" s="8"/>
      <c r="H33" s="8"/>
      <c r="I33" s="8"/>
      <c r="J33" s="9"/>
      <c r="K33" s="9"/>
      <c r="L33" s="9"/>
      <c r="M33" s="9"/>
      <c r="N33" s="9"/>
      <c r="O33" s="9"/>
      <c r="P33" s="9"/>
      <c r="Q33" s="9"/>
      <c r="R33" s="9"/>
      <c r="S33" s="9"/>
    </row>
    <row r="34">
      <c r="A34" s="1" t="s">
        <v>0</v>
      </c>
      <c r="B34" s="1" t="s">
        <v>15</v>
      </c>
      <c r="C34" s="1" t="s">
        <v>16</v>
      </c>
      <c r="D34" s="1" t="s">
        <v>17</v>
      </c>
      <c r="E34" s="1" t="s">
        <v>18</v>
      </c>
      <c r="F34" s="1"/>
      <c r="G34" s="1"/>
      <c r="H34" s="1"/>
      <c r="I34" s="1"/>
    </row>
    <row r="35">
      <c r="A35" s="2">
        <v>43617</v>
      </c>
      <c r="B35" s="3"/>
      <c r="C35" s="3"/>
      <c r="D35" s="3"/>
      <c r="E35" s="3"/>
      <c r="F35" s="3"/>
      <c r="G35" s="3"/>
      <c r="H35" s="3"/>
      <c r="I35" s="3"/>
    </row>
    <row r="36">
      <c r="A36" s="4">
        <v>43618</v>
      </c>
      <c r="B36" s="5"/>
      <c r="C36" s="5"/>
      <c r="D36" s="5"/>
      <c r="E36" s="5"/>
      <c r="F36" s="5"/>
      <c r="G36" s="5"/>
      <c r="H36" s="5"/>
      <c r="I36" s="5"/>
    </row>
    <row r="37">
      <c r="A37" s="2">
        <v>43619</v>
      </c>
      <c r="B37" s="3"/>
      <c r="C37" s="3"/>
      <c r="D37" s="3"/>
      <c r="E37" s="3"/>
      <c r="F37" s="3"/>
      <c r="G37" s="3"/>
      <c r="H37" s="3"/>
      <c r="I37" s="3"/>
    </row>
    <row r="38">
      <c r="A38" s="4">
        <v>43620</v>
      </c>
      <c r="B38" s="5"/>
      <c r="C38" s="5"/>
      <c r="D38" s="5"/>
      <c r="E38" s="5"/>
      <c r="F38" s="5"/>
      <c r="G38" s="5"/>
      <c r="H38" s="5"/>
      <c r="I38" s="5"/>
    </row>
    <row r="39">
      <c r="A39" s="2">
        <v>43621</v>
      </c>
      <c r="B39" s="3"/>
      <c r="C39" s="3"/>
      <c r="D39" s="3"/>
      <c r="E39" s="3"/>
      <c r="F39" s="3"/>
      <c r="G39" s="3"/>
      <c r="H39" s="3"/>
      <c r="I39" s="3"/>
    </row>
    <row r="40">
      <c r="A40" s="4">
        <v>43622</v>
      </c>
      <c r="B40" s="5"/>
      <c r="C40" s="5"/>
      <c r="D40" s="5"/>
      <c r="E40" s="5"/>
      <c r="F40" s="5"/>
      <c r="G40" s="5"/>
      <c r="H40" s="5"/>
      <c r="I40" s="5"/>
    </row>
    <row r="41">
      <c r="A41" s="2">
        <v>43623</v>
      </c>
      <c r="B41" s="3"/>
      <c r="C41" s="3"/>
      <c r="D41" s="3"/>
      <c r="E41" s="3"/>
      <c r="F41" s="3"/>
      <c r="G41" s="3"/>
      <c r="H41" s="3"/>
      <c r="I41" s="3"/>
    </row>
    <row r="42">
      <c r="A42" s="4">
        <v>43624</v>
      </c>
      <c r="B42" s="5"/>
      <c r="C42" s="5"/>
      <c r="D42" s="5"/>
      <c r="E42" s="5"/>
      <c r="F42" s="5"/>
      <c r="G42" s="5"/>
      <c r="H42" s="5"/>
      <c r="I42" s="5"/>
    </row>
    <row r="43">
      <c r="A43" s="2">
        <v>43625</v>
      </c>
      <c r="B43" s="3"/>
      <c r="C43" s="3"/>
      <c r="D43" s="3"/>
      <c r="E43" s="3"/>
      <c r="F43" s="3"/>
      <c r="G43" s="3"/>
      <c r="H43" s="3"/>
      <c r="I43" s="3"/>
    </row>
    <row r="44">
      <c r="A44" s="4">
        <v>43626</v>
      </c>
      <c r="B44" s="5"/>
      <c r="C44" s="5"/>
      <c r="D44" s="5"/>
      <c r="E44" s="5"/>
      <c r="F44" s="5"/>
      <c r="G44" s="5"/>
      <c r="H44" s="5"/>
      <c r="I44" s="5"/>
    </row>
    <row r="45">
      <c r="A45" s="2">
        <v>43627</v>
      </c>
      <c r="B45" s="3"/>
      <c r="C45" s="3"/>
      <c r="D45" s="3"/>
      <c r="E45" s="3"/>
      <c r="F45" s="3"/>
      <c r="G45" s="3"/>
      <c r="H45" s="3"/>
      <c r="I45" s="3"/>
    </row>
    <row r="46">
      <c r="A46" s="4">
        <v>43628</v>
      </c>
      <c r="B46" s="5"/>
      <c r="C46" s="5"/>
      <c r="D46" s="5"/>
      <c r="E46" s="5"/>
      <c r="F46" s="5"/>
      <c r="G46" s="5"/>
      <c r="H46" s="5"/>
      <c r="I46" s="5"/>
    </row>
    <row r="47">
      <c r="A47" s="2">
        <v>43629</v>
      </c>
      <c r="B47" s="3"/>
      <c r="C47" s="3"/>
      <c r="D47" s="3"/>
      <c r="E47" s="3"/>
      <c r="F47" s="3"/>
      <c r="G47" s="3"/>
      <c r="H47" s="3"/>
      <c r="I47" s="3"/>
    </row>
    <row r="48">
      <c r="A48" s="4">
        <v>43630</v>
      </c>
      <c r="B48" s="5"/>
      <c r="C48" s="5"/>
      <c r="D48" s="5"/>
      <c r="E48" s="5"/>
      <c r="F48" s="5"/>
      <c r="G48" s="5"/>
      <c r="H48" s="5"/>
      <c r="I48" s="5"/>
    </row>
    <row r="49">
      <c r="A49" s="2">
        <v>43631</v>
      </c>
      <c r="B49" s="3"/>
      <c r="C49" s="3"/>
      <c r="D49" s="3"/>
      <c r="E49" s="3"/>
      <c r="F49" s="3"/>
      <c r="G49" s="3"/>
      <c r="H49" s="3"/>
      <c r="I49" s="3"/>
    </row>
    <row r="50">
      <c r="A50" s="4">
        <v>43632</v>
      </c>
      <c r="B50" s="5"/>
      <c r="C50" s="5"/>
      <c r="D50" s="5"/>
      <c r="E50" s="5"/>
      <c r="F50" s="5"/>
      <c r="G50" s="5"/>
      <c r="H50" s="5"/>
      <c r="I50" s="5"/>
    </row>
    <row r="51">
      <c r="A51" s="2">
        <v>43633</v>
      </c>
      <c r="B51" s="3"/>
      <c r="C51" s="3"/>
      <c r="D51" s="3"/>
      <c r="E51" s="3"/>
      <c r="F51" s="3"/>
      <c r="G51" s="3"/>
      <c r="H51" s="3"/>
      <c r="I51" s="3"/>
    </row>
    <row r="52">
      <c r="A52" s="4">
        <v>43634</v>
      </c>
      <c r="B52" s="5"/>
      <c r="C52" s="5"/>
      <c r="D52" s="5"/>
      <c r="E52" s="5"/>
      <c r="F52" s="5"/>
      <c r="G52" s="5"/>
      <c r="H52" s="5"/>
      <c r="I52" s="5"/>
    </row>
    <row r="53">
      <c r="A53" s="2">
        <v>43635</v>
      </c>
      <c r="B53" s="3"/>
      <c r="C53" s="3"/>
      <c r="D53" s="3"/>
      <c r="E53" s="3"/>
      <c r="F53" s="3"/>
      <c r="G53" s="3"/>
      <c r="H53" s="3"/>
      <c r="I53" s="3"/>
    </row>
    <row r="54">
      <c r="A54" s="4">
        <v>43636</v>
      </c>
      <c r="B54" s="5"/>
      <c r="C54" s="5"/>
      <c r="D54" s="5"/>
      <c r="E54" s="5"/>
      <c r="F54" s="5"/>
      <c r="G54" s="5"/>
      <c r="H54" s="5"/>
      <c r="I54" s="5"/>
    </row>
    <row r="55">
      <c r="A55" s="2">
        <v>43637</v>
      </c>
      <c r="B55" s="3"/>
      <c r="C55" s="3"/>
      <c r="D55" s="3"/>
      <c r="E55" s="3"/>
      <c r="F55" s="3"/>
      <c r="G55" s="3"/>
      <c r="H55" s="3"/>
      <c r="I55" s="3"/>
    </row>
    <row r="56">
      <c r="A56" s="4">
        <v>43638</v>
      </c>
      <c r="B56" s="5"/>
      <c r="C56" s="5"/>
      <c r="D56" s="5"/>
      <c r="E56" s="5"/>
      <c r="F56" s="5"/>
      <c r="G56" s="5"/>
      <c r="H56" s="5"/>
      <c r="I56" s="5"/>
    </row>
    <row r="57">
      <c r="A57" s="2">
        <v>43639</v>
      </c>
      <c r="B57" s="3"/>
      <c r="C57" s="3"/>
      <c r="D57" s="3"/>
      <c r="E57" s="3"/>
      <c r="F57" s="3"/>
      <c r="G57" s="3"/>
      <c r="H57" s="3"/>
      <c r="I57" s="3"/>
    </row>
    <row r="58">
      <c r="A58" s="4">
        <v>43640</v>
      </c>
      <c r="B58" s="5"/>
      <c r="C58" s="5"/>
      <c r="D58" s="5"/>
      <c r="E58" s="5"/>
      <c r="F58" s="5"/>
      <c r="G58" s="5"/>
      <c r="H58" s="5"/>
      <c r="I58" s="5"/>
    </row>
    <row r="59">
      <c r="A59" s="2">
        <v>43641</v>
      </c>
      <c r="B59" s="3"/>
      <c r="C59" s="3"/>
      <c r="D59" s="3"/>
      <c r="E59" s="3"/>
      <c r="F59" s="3"/>
      <c r="G59" s="3"/>
      <c r="H59" s="3"/>
      <c r="I59" s="3"/>
    </row>
    <row r="60">
      <c r="A60" s="4">
        <v>43642</v>
      </c>
      <c r="B60" s="5"/>
      <c r="C60" s="5"/>
      <c r="D60" s="5"/>
      <c r="E60" s="5"/>
      <c r="F60" s="5"/>
      <c r="G60" s="5"/>
      <c r="H60" s="5"/>
      <c r="I60" s="5"/>
    </row>
    <row r="61">
      <c r="A61" s="2">
        <v>43643</v>
      </c>
      <c r="B61" s="3"/>
      <c r="C61" s="3"/>
      <c r="D61" s="3"/>
      <c r="E61" s="3"/>
      <c r="F61" s="3"/>
      <c r="G61" s="3"/>
      <c r="H61" s="3"/>
      <c r="I61" s="3"/>
    </row>
    <row r="62">
      <c r="A62" s="4">
        <v>43644</v>
      </c>
      <c r="B62" s="5"/>
      <c r="C62" s="5"/>
      <c r="D62" s="5"/>
      <c r="E62" s="5"/>
      <c r="F62" s="5"/>
      <c r="G62" s="5"/>
      <c r="H62" s="5"/>
      <c r="I62" s="5"/>
    </row>
    <row r="63">
      <c r="A63" s="2">
        <v>43645</v>
      </c>
      <c r="B63" s="3"/>
      <c r="C63" s="3"/>
      <c r="D63" s="3"/>
      <c r="E63" s="3"/>
      <c r="F63" s="3"/>
      <c r="G63" s="3"/>
      <c r="H63" s="3"/>
      <c r="I63" s="3"/>
    </row>
    <row r="64">
      <c r="A64" s="4">
        <v>43646</v>
      </c>
      <c r="B64" s="5"/>
      <c r="C64" s="5"/>
      <c r="D64" s="5"/>
      <c r="E64" s="5">
        <v>808.76999999999998</v>
      </c>
      <c r="F64" s="5"/>
      <c r="G64" s="5"/>
      <c r="H64" s="5"/>
      <c r="I64" s="5"/>
    </row>
    <row r="65">
      <c r="A65" s="7"/>
      <c r="B65" s="7">
        <f t="shared" ref="B65:H65" si="1">SUM(B35:B64)</f>
        <v>0</v>
      </c>
      <c r="C65" s="7">
        <f t="shared" si="1"/>
        <v>0</v>
      </c>
      <c r="D65" s="7">
        <f t="shared" si="1"/>
        <v>0</v>
      </c>
      <c r="E65" s="7">
        <f t="shared" si="1"/>
        <v>808.76999999999998</v>
      </c>
      <c r="F65" s="7">
        <f t="shared" si="1"/>
        <v>0</v>
      </c>
      <c r="G65" s="7">
        <f t="shared" si="1"/>
        <v>0</v>
      </c>
      <c r="H65" s="7">
        <f t="shared" si="1"/>
        <v>0</v>
      </c>
      <c r="I65" s="7">
        <f>SUM(B65:H65)</f>
        <v>808.76999999999998</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K2" activeCellId="0" sqref="K2"/>
    </sheetView>
  </sheetViews>
  <sheetFormatPr defaultRowHeight="14.25"/>
  <cols>
    <col bestFit="1" customWidth="1" min="1" max="1" width="12.28515625"/>
    <col bestFit="1" customWidth="1" min="8" max="8" width="12.7109375"/>
    <col bestFit="1" customWidth="1" min="9" max="9" width="26.28515625"/>
    <col bestFit="1" customWidth="1" min="10" max="10" width="14.85546875"/>
    <col bestFit="1" customWidth="1" min="15" max="15" width="16.7109375"/>
  </cols>
  <sheetData>
    <row r="1">
      <c r="A1" s="10" t="s">
        <v>0</v>
      </c>
      <c r="B1" s="10" t="s">
        <v>1</v>
      </c>
      <c r="C1" s="10" t="s">
        <v>2</v>
      </c>
      <c r="D1" s="10" t="s">
        <v>3</v>
      </c>
      <c r="E1" s="10" t="s">
        <v>4</v>
      </c>
      <c r="F1" s="10" t="s">
        <v>25</v>
      </c>
      <c r="G1" s="10" t="s">
        <v>6</v>
      </c>
      <c r="H1" s="10" t="s">
        <v>7</v>
      </c>
      <c r="I1" s="10" t="s">
        <v>8</v>
      </c>
      <c r="J1" s="10" t="s">
        <v>9</v>
      </c>
      <c r="K1" s="10" t="s">
        <v>10</v>
      </c>
      <c r="L1" s="10" t="s">
        <v>11</v>
      </c>
      <c r="M1" s="10" t="s">
        <v>12</v>
      </c>
      <c r="N1" s="10" t="s">
        <v>13</v>
      </c>
      <c r="O1" s="10" t="s">
        <v>19</v>
      </c>
      <c r="P1" s="10" t="s">
        <v>20</v>
      </c>
      <c r="Q1" s="1"/>
      <c r="R1" s="1"/>
      <c r="S1" s="1"/>
    </row>
    <row r="2">
      <c r="A2" s="11">
        <v>43862</v>
      </c>
      <c r="B2" s="14"/>
      <c r="C2" s="14"/>
      <c r="D2" s="14"/>
      <c r="E2" s="14">
        <f>1010-1000</f>
        <v>10</v>
      </c>
      <c r="F2" s="14"/>
      <c r="G2" s="14"/>
      <c r="H2" s="14"/>
      <c r="I2" s="14"/>
      <c r="J2" s="14"/>
      <c r="K2" s="14">
        <v>9666</v>
      </c>
      <c r="L2" s="14"/>
      <c r="M2" s="14"/>
      <c r="N2" s="14"/>
      <c r="O2" s="14"/>
      <c r="P2" s="14"/>
      <c r="Q2" s="14"/>
      <c r="R2" s="14"/>
      <c r="S2" s="14"/>
    </row>
    <row r="3">
      <c r="A3" s="11">
        <v>43863</v>
      </c>
      <c r="B3" s="5"/>
      <c r="C3" s="5">
        <v>807.65999999999997</v>
      </c>
      <c r="D3" s="5">
        <v>160</v>
      </c>
      <c r="E3" s="5">
        <f>5410+54.1+300+2400-4600-3300</f>
        <v>264.10000000000036</v>
      </c>
      <c r="F3" s="5"/>
      <c r="G3" s="5"/>
      <c r="H3" s="5"/>
      <c r="I3" s="5"/>
      <c r="J3" s="5"/>
      <c r="K3" s="5"/>
      <c r="L3" s="5"/>
      <c r="M3" s="5"/>
      <c r="N3" s="5"/>
      <c r="O3" s="5"/>
      <c r="P3" s="5"/>
      <c r="Q3" s="5"/>
      <c r="R3" s="5"/>
      <c r="S3" s="5"/>
    </row>
    <row r="4">
      <c r="A4" s="11">
        <v>43864</v>
      </c>
      <c r="B4" s="14"/>
      <c r="C4" s="14"/>
      <c r="D4" s="14"/>
      <c r="E4" s="22"/>
      <c r="F4" s="14"/>
      <c r="G4" s="14"/>
      <c r="H4" s="14"/>
      <c r="I4" s="14"/>
      <c r="J4" s="14"/>
      <c r="K4" s="14"/>
      <c r="L4" s="14"/>
      <c r="M4" s="14"/>
      <c r="N4" s="14"/>
      <c r="O4" s="14"/>
      <c r="P4" s="14"/>
      <c r="Q4" s="14"/>
      <c r="R4" s="14"/>
      <c r="S4" s="14"/>
    </row>
    <row r="5">
      <c r="A5" s="11">
        <v>43865</v>
      </c>
      <c r="B5" s="5"/>
      <c r="C5" s="5">
        <v>45</v>
      </c>
      <c r="D5" s="5"/>
      <c r="E5" s="5"/>
      <c r="F5" s="5"/>
      <c r="G5" s="5"/>
      <c r="H5" s="5"/>
      <c r="I5" s="5"/>
      <c r="J5" s="5"/>
      <c r="K5" s="5"/>
      <c r="L5" s="5"/>
      <c r="M5" s="5"/>
      <c r="N5" s="5"/>
      <c r="O5" s="5"/>
      <c r="P5" s="5"/>
      <c r="Q5" s="5"/>
      <c r="R5" s="5"/>
      <c r="S5" s="5"/>
    </row>
    <row r="6">
      <c r="A6" s="11">
        <v>43866</v>
      </c>
      <c r="B6" s="14"/>
      <c r="C6" s="14">
        <v>480</v>
      </c>
      <c r="D6" s="14"/>
      <c r="E6" s="14"/>
      <c r="F6" s="14"/>
      <c r="G6" s="14"/>
      <c r="H6" s="14"/>
      <c r="I6" s="14"/>
      <c r="J6" s="14"/>
      <c r="K6" s="14"/>
      <c r="L6" s="14"/>
      <c r="M6" s="14"/>
      <c r="N6" s="14"/>
      <c r="O6" s="14"/>
      <c r="P6" s="14"/>
      <c r="Q6" s="14"/>
      <c r="R6" s="14"/>
      <c r="S6" s="14"/>
    </row>
    <row r="7">
      <c r="A7" s="11">
        <v>43867</v>
      </c>
      <c r="B7" s="5">
        <v>100</v>
      </c>
      <c r="C7" s="5"/>
      <c r="D7" s="5">
        <f>301+45</f>
        <v>346</v>
      </c>
      <c r="E7" s="5"/>
      <c r="F7" s="5"/>
      <c r="G7" s="5"/>
      <c r="H7" s="5"/>
      <c r="I7" s="5"/>
      <c r="J7" s="5"/>
      <c r="K7" s="5"/>
      <c r="L7" s="5"/>
      <c r="M7" s="5"/>
      <c r="N7" s="5"/>
      <c r="O7" s="5"/>
      <c r="P7" s="5"/>
      <c r="Q7" s="5"/>
      <c r="R7" s="5"/>
      <c r="S7" s="5"/>
    </row>
    <row r="8">
      <c r="A8" s="11">
        <v>43868</v>
      </c>
      <c r="B8" s="14">
        <v>20</v>
      </c>
      <c r="C8" s="14">
        <v>103.90000000000001</v>
      </c>
      <c r="D8" s="14"/>
      <c r="E8" s="22"/>
      <c r="F8" s="14"/>
      <c r="G8" s="14"/>
      <c r="H8" s="14"/>
      <c r="I8" s="14"/>
      <c r="J8" s="14"/>
      <c r="K8" s="14"/>
      <c r="L8" s="14"/>
      <c r="M8" s="14"/>
      <c r="N8" s="14"/>
      <c r="O8" s="14"/>
      <c r="P8" s="14"/>
      <c r="Q8" s="14"/>
      <c r="R8" s="14"/>
      <c r="S8" s="14"/>
    </row>
    <row r="9">
      <c r="A9" s="11">
        <v>43869</v>
      </c>
      <c r="B9" s="5">
        <v>178</v>
      </c>
      <c r="C9" s="5"/>
      <c r="D9" s="5">
        <f>180-115+602.93</f>
        <v>667.92999999999995</v>
      </c>
      <c r="E9" s="5"/>
      <c r="F9" s="5"/>
      <c r="G9" s="5"/>
      <c r="H9" s="5"/>
      <c r="I9" s="5">
        <v>43</v>
      </c>
      <c r="J9" s="5"/>
      <c r="K9" s="5"/>
      <c r="L9" s="5">
        <v>8</v>
      </c>
      <c r="M9" s="5"/>
      <c r="N9" s="5"/>
      <c r="O9" s="5"/>
      <c r="P9" s="5"/>
      <c r="Q9" s="5"/>
      <c r="R9" s="5"/>
      <c r="S9" s="5"/>
    </row>
    <row r="10">
      <c r="A10" s="11">
        <v>43870</v>
      </c>
      <c r="B10" s="14">
        <f>114+20+20+20+20</f>
        <v>194</v>
      </c>
      <c r="C10" s="14"/>
      <c r="D10" s="14">
        <f>45+1030</f>
        <v>1075</v>
      </c>
      <c r="E10" s="14"/>
      <c r="F10" s="14"/>
      <c r="G10" s="14"/>
      <c r="H10" s="14"/>
      <c r="I10" s="14">
        <v>43.539999999999999</v>
      </c>
      <c r="J10" s="14"/>
      <c r="K10" s="14"/>
      <c r="L10" s="14"/>
      <c r="M10" s="14"/>
      <c r="N10" s="14"/>
      <c r="O10" s="14">
        <v>800</v>
      </c>
      <c r="P10" s="14"/>
      <c r="Q10" s="14"/>
      <c r="R10" s="14"/>
      <c r="S10" s="14"/>
    </row>
    <row r="11">
      <c r="A11" s="11">
        <v>43871</v>
      </c>
      <c r="B11" s="23"/>
      <c r="C11" s="23">
        <v>244.69999999999999</v>
      </c>
      <c r="D11" s="23"/>
      <c r="E11" s="24"/>
      <c r="F11" s="23"/>
      <c r="G11" s="23"/>
      <c r="H11" s="23"/>
      <c r="I11" s="23"/>
      <c r="J11" s="23"/>
      <c r="K11" s="23"/>
      <c r="L11" s="23"/>
      <c r="M11" s="23"/>
      <c r="N11" s="23"/>
      <c r="O11" s="23"/>
      <c r="P11" s="23">
        <v>199</v>
      </c>
      <c r="Q11" s="23"/>
      <c r="R11" s="23"/>
      <c r="S11" s="23"/>
    </row>
    <row r="12">
      <c r="A12" s="25">
        <v>43872</v>
      </c>
      <c r="B12" s="14"/>
      <c r="C12" s="14"/>
      <c r="D12" s="14"/>
      <c r="E12" s="22"/>
      <c r="F12" s="14"/>
      <c r="G12" s="14"/>
      <c r="H12" s="14"/>
      <c r="I12" s="14">
        <v>430</v>
      </c>
      <c r="J12" s="14"/>
      <c r="K12" s="14">
        <v>17651.77</v>
      </c>
      <c r="L12" s="14">
        <f>2750+1860</f>
        <v>4610</v>
      </c>
      <c r="M12" s="14"/>
      <c r="N12" s="14"/>
      <c r="O12" s="14"/>
      <c r="P12" s="14"/>
      <c r="Q12" s="14"/>
      <c r="R12" s="14"/>
      <c r="S12" s="14"/>
    </row>
    <row r="13">
      <c r="A13" s="11">
        <v>43873</v>
      </c>
      <c r="B13" s="26"/>
      <c r="C13" s="26"/>
      <c r="D13" s="26"/>
      <c r="E13" s="27"/>
      <c r="F13" s="26"/>
      <c r="G13" s="26"/>
      <c r="H13" s="26"/>
      <c r="I13" s="26"/>
      <c r="J13" s="26"/>
      <c r="K13" s="26">
        <v>3576</v>
      </c>
      <c r="L13" s="26"/>
      <c r="M13" s="26"/>
      <c r="N13" s="26"/>
      <c r="O13" s="26"/>
      <c r="P13" s="26"/>
      <c r="Q13" s="26"/>
      <c r="R13" s="26"/>
      <c r="S13" s="26"/>
    </row>
    <row r="14">
      <c r="A14" s="11">
        <v>43874</v>
      </c>
      <c r="B14" s="14"/>
      <c r="C14" s="14"/>
      <c r="D14" s="14"/>
      <c r="E14" s="14"/>
      <c r="F14" s="14"/>
      <c r="G14" s="14"/>
      <c r="H14" s="14"/>
      <c r="I14" s="14"/>
      <c r="J14" s="14"/>
      <c r="K14" s="14"/>
      <c r="L14" s="14"/>
      <c r="M14" s="14"/>
      <c r="N14" s="14"/>
      <c r="O14" s="14"/>
      <c r="P14" s="14"/>
      <c r="Q14" s="14"/>
      <c r="R14" s="14"/>
      <c r="S14" s="14"/>
    </row>
    <row r="15">
      <c r="A15" s="11">
        <v>43875</v>
      </c>
      <c r="B15" s="5"/>
      <c r="C15" s="5">
        <v>463.85000000000002</v>
      </c>
      <c r="D15" s="5"/>
      <c r="E15" s="5"/>
      <c r="F15" s="5"/>
      <c r="G15" s="5"/>
      <c r="H15" s="5"/>
      <c r="J15" s="5"/>
      <c r="K15" s="5"/>
      <c r="L15" s="5"/>
      <c r="M15" s="5"/>
      <c r="N15" s="5"/>
      <c r="O15" s="5"/>
      <c r="P15" s="5"/>
      <c r="Q15" s="5"/>
      <c r="R15" s="5"/>
      <c r="S15" s="5"/>
    </row>
    <row r="16">
      <c r="A16" s="11">
        <v>43876</v>
      </c>
      <c r="B16" s="14"/>
      <c r="C16" s="14">
        <v>363.74000000000001</v>
      </c>
      <c r="D16" s="14"/>
      <c r="E16" s="14"/>
      <c r="F16" s="14"/>
      <c r="G16" s="14"/>
      <c r="H16" s="14"/>
      <c r="I16" s="14"/>
      <c r="J16" s="14">
        <v>840.29999999999995</v>
      </c>
      <c r="K16" s="14"/>
      <c r="L16" s="14"/>
      <c r="M16" s="14"/>
      <c r="N16" s="14"/>
      <c r="O16" s="14"/>
      <c r="P16" s="14"/>
      <c r="Q16" s="14"/>
      <c r="R16" s="14"/>
      <c r="S16" s="14"/>
    </row>
    <row r="17">
      <c r="A17" s="11">
        <v>43877</v>
      </c>
      <c r="B17" s="5"/>
      <c r="C17" s="5"/>
      <c r="D17" s="5"/>
      <c r="E17" s="28"/>
      <c r="F17" s="5"/>
      <c r="G17" s="5"/>
      <c r="H17" s="5"/>
      <c r="I17" s="5"/>
      <c r="J17" s="5"/>
      <c r="K17" s="5"/>
      <c r="L17" s="5"/>
      <c r="M17" s="5"/>
      <c r="N17" s="5"/>
      <c r="O17" s="5"/>
      <c r="P17" s="5"/>
      <c r="Q17" s="5"/>
      <c r="R17" s="5"/>
      <c r="S17" s="5"/>
    </row>
    <row r="18">
      <c r="A18" s="11">
        <v>43878</v>
      </c>
      <c r="B18" s="14"/>
      <c r="C18" s="14"/>
      <c r="D18" s="14"/>
      <c r="E18" s="22"/>
      <c r="F18" s="14"/>
      <c r="G18" s="14"/>
      <c r="H18" s="14"/>
      <c r="I18" s="14"/>
      <c r="J18" s="14"/>
      <c r="K18" s="14"/>
      <c r="L18" s="14"/>
      <c r="M18" s="14"/>
      <c r="N18" s="14"/>
      <c r="O18" s="14"/>
      <c r="P18" s="14"/>
      <c r="Q18" s="14"/>
      <c r="R18" s="14"/>
      <c r="S18" s="14"/>
    </row>
    <row r="19">
      <c r="A19" s="11">
        <v>43879</v>
      </c>
      <c r="B19" s="5"/>
      <c r="C19" s="5">
        <f>85+214.96</f>
        <v>299.96000000000004</v>
      </c>
      <c r="D19" s="5">
        <v>160</v>
      </c>
      <c r="E19" s="5"/>
      <c r="F19" s="5"/>
      <c r="G19" s="5"/>
      <c r="H19" s="5"/>
      <c r="I19" s="5"/>
      <c r="J19" s="5"/>
      <c r="K19" s="5"/>
      <c r="L19" s="5"/>
      <c r="M19" s="5"/>
      <c r="N19" s="5"/>
      <c r="O19" s="5"/>
      <c r="P19" s="5"/>
      <c r="Q19" s="5"/>
      <c r="R19" s="5"/>
      <c r="S19" s="5"/>
    </row>
    <row r="20">
      <c r="A20" s="11">
        <v>43880</v>
      </c>
      <c r="B20" s="14"/>
      <c r="C20" s="14">
        <v>374.10000000000002</v>
      </c>
      <c r="D20" s="14"/>
      <c r="E20" s="14"/>
      <c r="F20" s="14"/>
      <c r="G20" s="14"/>
      <c r="H20" s="14"/>
      <c r="I20" s="14"/>
      <c r="J20" s="14"/>
      <c r="K20" s="14"/>
      <c r="L20" s="14"/>
      <c r="M20" s="14"/>
      <c r="N20" s="14"/>
      <c r="O20" s="14"/>
      <c r="P20" s="14"/>
      <c r="Q20" s="14"/>
      <c r="R20" s="14"/>
      <c r="S20" s="14"/>
    </row>
    <row r="21">
      <c r="A21" s="11">
        <v>43881</v>
      </c>
      <c r="B21" s="29">
        <v>3195</v>
      </c>
      <c r="C21" s="29"/>
      <c r="D21" s="29"/>
      <c r="E21" s="30"/>
      <c r="F21" s="29"/>
      <c r="G21" s="29"/>
      <c r="H21" s="29"/>
      <c r="I21" s="29"/>
      <c r="J21" s="29"/>
      <c r="K21" s="29"/>
      <c r="L21" s="29">
        <v>300</v>
      </c>
      <c r="M21" s="29"/>
      <c r="N21" s="29"/>
      <c r="O21" s="29"/>
      <c r="P21" s="29"/>
      <c r="Q21" s="29"/>
      <c r="R21" s="29"/>
      <c r="S21" s="29"/>
    </row>
    <row r="22">
      <c r="A22" s="11">
        <v>43882</v>
      </c>
      <c r="B22" s="18">
        <v>100</v>
      </c>
      <c r="C22" s="18"/>
      <c r="D22" s="18">
        <f>696+131.5</f>
        <v>827.5</v>
      </c>
      <c r="E22" s="18"/>
      <c r="F22" s="18"/>
      <c r="G22" s="18"/>
      <c r="H22" s="18"/>
      <c r="I22" s="18"/>
      <c r="J22" s="18"/>
      <c r="K22" s="18"/>
      <c r="L22" s="18"/>
      <c r="M22" s="18"/>
      <c r="N22" s="18"/>
      <c r="O22" s="18"/>
      <c r="P22" s="18"/>
      <c r="Q22" s="18"/>
      <c r="R22" s="18"/>
      <c r="S22" s="18"/>
    </row>
    <row r="23">
      <c r="A23" s="11">
        <v>43883</v>
      </c>
      <c r="B23" s="5"/>
      <c r="C23" s="5"/>
      <c r="D23" s="5">
        <v>299</v>
      </c>
      <c r="E23" s="5"/>
      <c r="F23" s="5"/>
      <c r="G23" s="5"/>
      <c r="H23" s="5"/>
      <c r="I23" s="5"/>
      <c r="J23" s="5"/>
      <c r="K23" s="5"/>
      <c r="L23" s="5"/>
      <c r="M23" s="5"/>
      <c r="N23" s="5"/>
      <c r="O23" s="5"/>
      <c r="P23" s="5"/>
      <c r="Q23" s="5"/>
      <c r="R23" s="5"/>
      <c r="S23" s="5"/>
    </row>
    <row r="24">
      <c r="A24" s="11">
        <v>43884</v>
      </c>
      <c r="B24" s="18"/>
      <c r="C24" s="18"/>
      <c r="D24" s="18"/>
      <c r="E24" s="18"/>
      <c r="F24" s="18"/>
      <c r="G24" s="18"/>
      <c r="H24" s="18"/>
      <c r="I24" s="18"/>
      <c r="J24" s="18"/>
      <c r="K24" s="18"/>
      <c r="L24" s="18"/>
      <c r="M24" s="18"/>
      <c r="N24" s="18"/>
      <c r="O24" s="18"/>
      <c r="P24" s="18"/>
      <c r="Q24" s="18"/>
      <c r="R24" s="18"/>
      <c r="S24" s="18"/>
    </row>
    <row r="25">
      <c r="A25" s="11">
        <v>43885</v>
      </c>
      <c r="C25" s="5"/>
      <c r="D25" s="5">
        <v>264.30000000000001</v>
      </c>
      <c r="E25" s="5"/>
      <c r="F25" s="5"/>
      <c r="G25" s="5"/>
      <c r="H25" s="5"/>
      <c r="I25" s="5"/>
      <c r="J25" s="5"/>
      <c r="K25" s="5"/>
      <c r="L25" s="5"/>
      <c r="M25" s="5"/>
      <c r="N25" s="5"/>
      <c r="O25" s="5"/>
      <c r="P25" s="5"/>
      <c r="Q25" s="5"/>
      <c r="R25" s="5"/>
      <c r="S25" s="5"/>
    </row>
    <row r="26">
      <c r="A26" s="11">
        <v>43886</v>
      </c>
      <c r="B26" s="14"/>
      <c r="C26" s="14"/>
      <c r="D26" s="14">
        <v>49.990000000000002</v>
      </c>
      <c r="E26" s="14">
        <v>200</v>
      </c>
      <c r="F26" s="14"/>
      <c r="G26" s="14"/>
      <c r="H26" s="14"/>
      <c r="I26" s="14">
        <v>780</v>
      </c>
      <c r="J26" s="14"/>
      <c r="K26" s="14"/>
      <c r="L26" s="14"/>
      <c r="M26" s="14"/>
      <c r="N26" s="14"/>
      <c r="O26" s="14"/>
      <c r="P26" s="14"/>
      <c r="Q26" s="14"/>
      <c r="R26" s="14"/>
      <c r="S26" s="14"/>
    </row>
    <row r="27">
      <c r="A27" s="11">
        <v>43887</v>
      </c>
      <c r="B27" s="5">
        <v>100</v>
      </c>
      <c r="C27" s="5"/>
      <c r="D27" s="5">
        <v>230</v>
      </c>
      <c r="E27" s="5">
        <v>-200</v>
      </c>
      <c r="F27" s="5"/>
      <c r="G27" s="5"/>
      <c r="H27" s="5"/>
      <c r="I27" s="5"/>
      <c r="J27" s="5"/>
      <c r="K27" s="5"/>
      <c r="L27" s="5"/>
      <c r="M27" s="5"/>
      <c r="N27" s="5"/>
      <c r="O27" s="5"/>
      <c r="P27" s="5"/>
      <c r="Q27" s="5"/>
      <c r="R27" s="5"/>
      <c r="S27" s="5"/>
    </row>
    <row r="28">
      <c r="A28" s="11">
        <v>43888</v>
      </c>
      <c r="B28" s="14">
        <v>20</v>
      </c>
      <c r="C28" s="14">
        <f>767.5+393.98</f>
        <v>1161.48</v>
      </c>
      <c r="D28" s="14">
        <v>2035</v>
      </c>
      <c r="E28" s="14"/>
      <c r="F28" s="14"/>
      <c r="G28" s="14"/>
      <c r="H28" s="14"/>
      <c r="I28" s="14"/>
      <c r="J28" s="14"/>
      <c r="K28" s="14"/>
      <c r="L28" s="14">
        <v>1250</v>
      </c>
      <c r="M28" s="14"/>
      <c r="N28" s="14"/>
      <c r="O28" s="14"/>
      <c r="P28" s="14"/>
      <c r="Q28" s="14"/>
      <c r="R28" s="14"/>
      <c r="S28" s="14"/>
    </row>
    <row r="29">
      <c r="A29" s="11">
        <v>43889</v>
      </c>
      <c r="B29" s="5">
        <f>20+20</f>
        <v>40</v>
      </c>
      <c r="C29" s="5"/>
      <c r="D29" s="5"/>
      <c r="E29" s="5"/>
      <c r="F29" s="5"/>
      <c r="G29" s="5"/>
      <c r="H29" s="5"/>
      <c r="I29" s="5"/>
      <c r="J29" s="5"/>
      <c r="K29" s="5"/>
      <c r="L29" s="5"/>
      <c r="M29" s="5"/>
      <c r="N29" s="5"/>
      <c r="O29" s="5"/>
      <c r="P29" s="5"/>
      <c r="Q29" s="5"/>
      <c r="R29" s="5"/>
      <c r="S29" s="5"/>
    </row>
    <row r="30">
      <c r="A30" s="11">
        <v>43890</v>
      </c>
      <c r="B30" s="19">
        <v>107</v>
      </c>
      <c r="C30" s="19">
        <v>64</v>
      </c>
      <c r="D30" s="19">
        <v>45</v>
      </c>
      <c r="E30" s="19"/>
      <c r="F30" s="19"/>
      <c r="G30" s="19"/>
      <c r="H30" s="19"/>
      <c r="I30" s="19"/>
      <c r="J30" s="19"/>
      <c r="K30" s="19"/>
      <c r="L30" s="19"/>
      <c r="M30" s="19"/>
      <c r="N30" s="19"/>
      <c r="O30" s="19"/>
      <c r="P30" s="19"/>
      <c r="Q30" s="19"/>
      <c r="R30" s="19"/>
      <c r="S30" s="19"/>
    </row>
    <row r="31">
      <c r="A31" s="7"/>
      <c r="B31" s="7">
        <f t="shared" ref="B31:Q31" si="17">SUM(B2:B30)</f>
        <v>4054</v>
      </c>
      <c r="C31" s="7">
        <f t="shared" si="17"/>
        <v>4408.3900000000003</v>
      </c>
      <c r="D31" s="7">
        <f t="shared" si="17"/>
        <v>6159.7199999999993</v>
      </c>
      <c r="E31" s="7">
        <f t="shared" si="17"/>
        <v>274.10000000000036</v>
      </c>
      <c r="F31" s="7">
        <f t="shared" si="17"/>
        <v>0</v>
      </c>
      <c r="G31" s="7">
        <f t="shared" si="17"/>
        <v>0</v>
      </c>
      <c r="H31" s="7">
        <f t="shared" si="17"/>
        <v>0</v>
      </c>
      <c r="I31" s="7">
        <f t="shared" si="17"/>
        <v>1296.54</v>
      </c>
      <c r="J31" s="7">
        <f t="shared" si="17"/>
        <v>840.29999999999995</v>
      </c>
      <c r="K31" s="7">
        <f t="shared" si="17"/>
        <v>30893.77</v>
      </c>
      <c r="L31" s="7">
        <f t="shared" si="17"/>
        <v>6168</v>
      </c>
      <c r="M31" s="7">
        <f t="shared" si="17"/>
        <v>0</v>
      </c>
      <c r="N31" s="7">
        <f t="shared" si="17"/>
        <v>0</v>
      </c>
      <c r="O31" s="7">
        <f t="shared" si="17"/>
        <v>800</v>
      </c>
      <c r="P31" s="7">
        <f t="shared" si="17"/>
        <v>199</v>
      </c>
      <c r="Q31" s="7">
        <f t="shared" si="17"/>
        <v>0</v>
      </c>
      <c r="R31" s="7" t="s">
        <v>14</v>
      </c>
      <c r="S31" s="7">
        <f>SUM(B31:Q31)</f>
        <v>55093.82</v>
      </c>
    </row>
    <row r="32">
      <c r="A32" s="8"/>
      <c r="B32" s="8"/>
      <c r="C32" s="8"/>
      <c r="D32" s="8"/>
      <c r="E32" s="8"/>
      <c r="F32" s="8"/>
      <c r="G32" s="8"/>
      <c r="H32" s="8"/>
      <c r="I32" s="8"/>
      <c r="J32" s="9"/>
      <c r="K32" s="9"/>
      <c r="L32" s="9"/>
      <c r="M32" s="9"/>
      <c r="N32" s="9"/>
      <c r="O32" s="9"/>
      <c r="P32" s="9"/>
      <c r="Q32" s="9"/>
      <c r="R32" s="9"/>
      <c r="S32" s="9"/>
    </row>
    <row r="33">
      <c r="A33" s="10" t="s">
        <v>0</v>
      </c>
      <c r="B33" s="10" t="s">
        <v>15</v>
      </c>
      <c r="C33" s="10" t="s">
        <v>16</v>
      </c>
      <c r="D33" s="10" t="s">
        <v>17</v>
      </c>
      <c r="E33" s="10" t="s">
        <v>18</v>
      </c>
      <c r="F33" s="10" t="s">
        <v>21</v>
      </c>
      <c r="G33" s="10" t="s">
        <v>26</v>
      </c>
      <c r="H33" s="10" t="s">
        <v>27</v>
      </c>
      <c r="I33" s="1"/>
      <c r="M33" s="31"/>
      <c r="N33" s="31"/>
      <c r="O33" s="31"/>
      <c r="P33" s="31"/>
      <c r="Q33" s="31"/>
      <c r="R33" s="31" t="s">
        <v>40</v>
      </c>
    </row>
    <row r="34">
      <c r="A34" s="11">
        <v>43862</v>
      </c>
      <c r="B34" s="14"/>
      <c r="C34" s="14"/>
      <c r="D34" s="14"/>
      <c r="E34" s="14"/>
      <c r="F34" s="14"/>
      <c r="G34" s="14">
        <v>300</v>
      </c>
      <c r="H34" s="14"/>
      <c r="I34" s="14"/>
      <c r="M34" s="31"/>
      <c r="N34" s="32"/>
      <c r="O34" s="32"/>
      <c r="P34" s="31"/>
      <c r="Q34" s="31"/>
      <c r="R34" s="31">
        <f>2030-500</f>
        <v>1530</v>
      </c>
      <c r="S34" s="31" t="s">
        <v>29</v>
      </c>
    </row>
    <row r="35">
      <c r="A35" s="11">
        <v>43863</v>
      </c>
      <c r="B35" s="5"/>
      <c r="C35" s="5"/>
      <c r="D35" s="5"/>
      <c r="E35" s="5"/>
      <c r="F35" s="5"/>
      <c r="G35" s="5"/>
      <c r="H35" s="5"/>
      <c r="I35" s="5"/>
      <c r="M35" s="31"/>
      <c r="N35" s="31"/>
      <c r="O35" s="31"/>
      <c r="P35" s="31"/>
      <c r="Q35" s="31"/>
      <c r="R35" s="31">
        <f>21000-344+2039+(23000-23000)-344-344+8164.1-4600-3300</f>
        <v>22271.099999999999</v>
      </c>
      <c r="S35" s="31" t="s">
        <v>31</v>
      </c>
    </row>
    <row r="36">
      <c r="A36" s="11">
        <v>43864</v>
      </c>
      <c r="B36" s="14"/>
      <c r="C36" s="14"/>
      <c r="D36" s="14"/>
      <c r="E36" s="14"/>
      <c r="F36" s="14"/>
      <c r="G36" s="14"/>
      <c r="H36" s="14"/>
      <c r="I36" s="14"/>
      <c r="M36" s="31"/>
      <c r="N36" s="31"/>
      <c r="O36" s="31"/>
      <c r="P36" s="31"/>
      <c r="Q36" s="31"/>
      <c r="R36" s="31"/>
      <c r="S36" s="31" t="s">
        <v>38</v>
      </c>
    </row>
    <row r="37">
      <c r="A37" s="11">
        <v>43865</v>
      </c>
      <c r="B37" s="5"/>
      <c r="C37" s="5"/>
      <c r="D37" s="5"/>
      <c r="E37" s="5"/>
      <c r="F37" s="5"/>
      <c r="G37" s="5"/>
      <c r="H37" s="5"/>
      <c r="I37" s="5"/>
      <c r="M37" s="31"/>
      <c r="P37" s="31"/>
      <c r="Q37" s="31"/>
      <c r="R37" s="31"/>
      <c r="S37" s="31" t="s">
        <v>39</v>
      </c>
    </row>
    <row r="38">
      <c r="A38" s="11">
        <v>43866</v>
      </c>
      <c r="B38" s="14"/>
      <c r="C38" s="14"/>
      <c r="D38" s="14"/>
      <c r="E38" s="14"/>
      <c r="F38" s="14"/>
      <c r="G38" s="14"/>
      <c r="H38" s="14">
        <v>3500</v>
      </c>
      <c r="I38" s="14"/>
      <c r="M38" s="31"/>
      <c r="P38" s="31"/>
      <c r="Q38" s="31"/>
      <c r="R38" s="31"/>
      <c r="S38" s="31" t="s">
        <v>41</v>
      </c>
    </row>
    <row r="39">
      <c r="A39" s="11">
        <v>43867</v>
      </c>
      <c r="B39" s="5"/>
      <c r="C39" s="5"/>
      <c r="D39" s="5"/>
      <c r="E39" s="5"/>
      <c r="F39" s="5"/>
      <c r="G39" s="5"/>
      <c r="H39" s="5"/>
      <c r="I39" s="5"/>
      <c r="M39" s="31"/>
      <c r="P39" s="31"/>
      <c r="Q39" s="31"/>
      <c r="R39" s="31">
        <v>0</v>
      </c>
      <c r="S39" t="s">
        <v>42</v>
      </c>
    </row>
    <row r="40">
      <c r="A40" s="11">
        <v>43868</v>
      </c>
      <c r="B40" s="14"/>
      <c r="C40" s="14"/>
      <c r="D40" s="14"/>
      <c r="E40" s="14"/>
      <c r="F40" s="14"/>
      <c r="G40" s="14"/>
      <c r="H40" s="14"/>
      <c r="I40" s="14"/>
      <c r="M40" s="31"/>
      <c r="P40" s="31"/>
      <c r="Q40" s="31"/>
      <c r="R40" s="31">
        <f>(1497*2)-833</f>
        <v>2161</v>
      </c>
      <c r="S40" t="s">
        <v>23</v>
      </c>
    </row>
    <row r="41">
      <c r="A41" s="11">
        <v>43869</v>
      </c>
      <c r="B41" s="5"/>
      <c r="C41" s="5"/>
      <c r="D41" s="5"/>
      <c r="E41" s="5"/>
      <c r="F41" s="5"/>
      <c r="G41" s="5"/>
      <c r="H41" s="5"/>
      <c r="I41" s="5"/>
      <c r="M41" s="31"/>
      <c r="P41" s="31"/>
      <c r="Q41" s="31"/>
      <c r="R41" s="31"/>
    </row>
    <row r="42">
      <c r="A42" s="11">
        <v>43870</v>
      </c>
      <c r="B42" s="15"/>
      <c r="C42" s="14"/>
      <c r="D42" s="14"/>
      <c r="E42" s="14"/>
      <c r="F42" s="14"/>
      <c r="G42" s="14"/>
      <c r="H42" s="14"/>
      <c r="I42" s="14"/>
    </row>
    <row r="43">
      <c r="A43" s="11">
        <v>43871</v>
      </c>
      <c r="B43" s="5">
        <v>51784.75</v>
      </c>
      <c r="C43" s="5"/>
      <c r="D43" s="5"/>
      <c r="E43" s="5"/>
      <c r="F43" s="5"/>
      <c r="G43" s="5"/>
      <c r="H43" s="5"/>
      <c r="I43" s="5"/>
    </row>
    <row r="44">
      <c r="A44" s="11">
        <v>43872</v>
      </c>
      <c r="B44" s="14"/>
      <c r="C44" s="14"/>
      <c r="D44" s="14"/>
      <c r="E44" s="14"/>
      <c r="F44" s="14"/>
      <c r="G44" s="14">
        <v>20</v>
      </c>
      <c r="H44" s="14"/>
      <c r="I44" s="14"/>
    </row>
    <row r="45">
      <c r="A45" s="11">
        <v>43873</v>
      </c>
      <c r="B45" s="5"/>
      <c r="C45" s="5"/>
      <c r="D45" s="5"/>
      <c r="E45" s="5"/>
      <c r="F45" s="5"/>
      <c r="G45" s="5"/>
      <c r="H45" s="5"/>
      <c r="I45" s="5"/>
    </row>
    <row r="46">
      <c r="A46" s="11">
        <v>43874</v>
      </c>
      <c r="B46" s="14"/>
      <c r="C46" s="14"/>
      <c r="D46" s="14"/>
      <c r="E46" s="14"/>
      <c r="F46" s="14"/>
      <c r="G46" s="14"/>
      <c r="H46" s="14"/>
      <c r="I46" s="14"/>
    </row>
    <row r="47">
      <c r="A47" s="11">
        <v>43875</v>
      </c>
      <c r="B47" s="5"/>
      <c r="C47" s="5"/>
      <c r="D47" s="5"/>
      <c r="E47" s="5"/>
      <c r="F47" s="5"/>
      <c r="G47" s="5"/>
      <c r="H47" s="5"/>
      <c r="I47" s="5"/>
    </row>
    <row r="48">
      <c r="A48" s="11">
        <v>43876</v>
      </c>
      <c r="B48" s="14"/>
      <c r="C48" s="14"/>
      <c r="D48" s="14"/>
      <c r="E48" s="14"/>
      <c r="F48" s="14"/>
      <c r="G48" s="14"/>
      <c r="H48" s="14"/>
      <c r="I48" s="14"/>
    </row>
    <row r="49">
      <c r="A49" s="11">
        <v>43877</v>
      </c>
      <c r="B49" s="5"/>
      <c r="C49" s="5"/>
      <c r="D49" s="5"/>
      <c r="E49" s="5"/>
      <c r="F49" s="5"/>
      <c r="G49" s="5"/>
      <c r="H49" s="5"/>
      <c r="I49" s="5"/>
    </row>
    <row r="50">
      <c r="A50" s="11">
        <v>43878</v>
      </c>
      <c r="B50" s="14"/>
      <c r="C50" s="14"/>
      <c r="D50" s="14"/>
      <c r="E50" s="14"/>
      <c r="F50" s="14"/>
      <c r="G50" s="14"/>
      <c r="H50" s="14"/>
      <c r="I50" s="14"/>
    </row>
    <row r="51">
      <c r="A51" s="11">
        <v>43879</v>
      </c>
      <c r="B51" s="5"/>
      <c r="C51" s="5"/>
      <c r="D51" s="5"/>
      <c r="E51" s="5"/>
      <c r="F51" s="5"/>
      <c r="G51" s="5"/>
      <c r="H51" s="5"/>
      <c r="I51" s="5"/>
    </row>
    <row r="52">
      <c r="A52" s="11">
        <v>43880</v>
      </c>
      <c r="B52" s="14"/>
      <c r="C52" s="14"/>
      <c r="D52" s="14"/>
      <c r="E52" s="14"/>
      <c r="F52" s="14"/>
      <c r="G52" s="14"/>
      <c r="H52" s="14"/>
      <c r="I52" s="14"/>
    </row>
    <row r="53">
      <c r="A53" s="11">
        <v>43881</v>
      </c>
      <c r="B53" s="5"/>
      <c r="C53" s="5"/>
      <c r="D53" s="5"/>
      <c r="E53" s="5"/>
      <c r="F53" s="5"/>
      <c r="G53" s="5"/>
      <c r="H53" s="5"/>
      <c r="I53" s="5"/>
    </row>
    <row r="54">
      <c r="A54" s="11">
        <v>43882</v>
      </c>
      <c r="B54" s="14"/>
      <c r="C54" s="14"/>
      <c r="D54" s="14"/>
      <c r="E54" s="14"/>
      <c r="F54" s="14"/>
      <c r="G54" s="14"/>
      <c r="H54" s="14"/>
      <c r="I54" s="14"/>
    </row>
    <row r="55">
      <c r="A55" s="11">
        <v>43883</v>
      </c>
      <c r="B55" s="5"/>
      <c r="C55" s="5"/>
      <c r="D55" s="5"/>
      <c r="E55" s="5"/>
      <c r="F55" s="5"/>
      <c r="G55" s="5"/>
      <c r="H55" s="5"/>
      <c r="I55" s="5"/>
    </row>
    <row r="56">
      <c r="A56" s="11">
        <v>43884</v>
      </c>
      <c r="B56" s="14"/>
      <c r="C56" s="14"/>
      <c r="D56" s="14"/>
      <c r="E56" s="14"/>
      <c r="F56" s="14"/>
      <c r="G56" s="14"/>
      <c r="H56" s="14"/>
      <c r="I56" s="14"/>
    </row>
    <row r="57">
      <c r="A57" s="11">
        <v>43885</v>
      </c>
      <c r="B57" s="5"/>
      <c r="C57" s="5"/>
      <c r="D57" s="5"/>
      <c r="E57" s="5"/>
      <c r="F57" s="5"/>
      <c r="G57" s="5"/>
      <c r="H57" s="5"/>
      <c r="I57" s="5"/>
    </row>
    <row r="58">
      <c r="A58" s="11">
        <v>43886</v>
      </c>
      <c r="B58" s="14">
        <v>9500</v>
      </c>
      <c r="C58" s="14"/>
      <c r="D58" s="14"/>
      <c r="E58" s="14"/>
      <c r="F58" s="14"/>
      <c r="G58" s="14"/>
      <c r="H58" s="14"/>
      <c r="I58" s="14"/>
    </row>
    <row r="59">
      <c r="A59" s="11">
        <v>43887</v>
      </c>
      <c r="B59" s="5"/>
      <c r="C59" s="5"/>
      <c r="D59" s="5"/>
      <c r="E59" s="5"/>
      <c r="F59" s="5"/>
      <c r="G59" s="5"/>
      <c r="H59" s="5"/>
      <c r="I59" s="5"/>
    </row>
    <row r="60">
      <c r="A60" s="11">
        <v>43888</v>
      </c>
      <c r="B60" s="14"/>
      <c r="C60" s="14"/>
      <c r="D60" s="14"/>
      <c r="E60" s="14"/>
      <c r="F60" s="14"/>
      <c r="G60" s="14"/>
      <c r="H60" s="14"/>
      <c r="I60" s="14"/>
    </row>
    <row r="61">
      <c r="A61" s="11">
        <v>43889</v>
      </c>
      <c r="B61" s="5"/>
      <c r="C61" s="5"/>
      <c r="D61" s="5"/>
      <c r="E61" s="5"/>
      <c r="F61" s="5"/>
      <c r="G61" s="5"/>
      <c r="H61" s="5"/>
      <c r="I61" s="5"/>
    </row>
    <row r="62">
      <c r="A62" s="11">
        <v>43890</v>
      </c>
      <c r="B62" s="14"/>
      <c r="C62" s="14"/>
      <c r="D62" s="14"/>
      <c r="E62" s="14">
        <f>1208.6+7.94</f>
        <v>1216.54</v>
      </c>
      <c r="F62" s="14"/>
      <c r="G62" s="14"/>
      <c r="H62" s="14"/>
      <c r="I62" s="14"/>
    </row>
    <row r="63">
      <c r="A63" s="7"/>
      <c r="B63" s="7">
        <f t="shared" ref="B63:H63" si="18">SUM(B34:B62)</f>
        <v>61284.75</v>
      </c>
      <c r="C63" s="7">
        <f t="shared" si="18"/>
        <v>0</v>
      </c>
      <c r="D63" s="7">
        <f t="shared" si="18"/>
        <v>0</v>
      </c>
      <c r="E63" s="7">
        <f t="shared" si="18"/>
        <v>1216.54</v>
      </c>
      <c r="F63" s="7">
        <f t="shared" si="18"/>
        <v>0</v>
      </c>
      <c r="G63" s="7">
        <f t="shared" si="18"/>
        <v>320</v>
      </c>
      <c r="H63" s="7">
        <f t="shared" si="18"/>
        <v>3500</v>
      </c>
      <c r="I63" s="7">
        <f>SUM(B63:H63)</f>
        <v>66321.290000000008</v>
      </c>
      <c r="R63" s="33">
        <f>SUM(R34:R62)</f>
        <v>25962.099999999999</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E66" activeCellId="0" sqref="E66"/>
    </sheetView>
  </sheetViews>
  <sheetFormatPr defaultRowHeight="14.25"/>
  <cols>
    <col bestFit="1" customWidth="1" min="1" max="1" width="13.5703125"/>
    <col bestFit="1" customWidth="1" min="9" max="9" width="22.140625"/>
    <col bestFit="1" customWidth="1" min="15" max="15" width="16.42578125"/>
  </cols>
  <sheetData>
    <row r="1">
      <c r="A1" s="10" t="s">
        <v>0</v>
      </c>
      <c r="B1" s="10" t="s">
        <v>1</v>
      </c>
      <c r="C1" s="10" t="s">
        <v>2</v>
      </c>
      <c r="D1" s="10" t="s">
        <v>3</v>
      </c>
      <c r="E1" s="10" t="s">
        <v>4</v>
      </c>
      <c r="F1" s="10" t="s">
        <v>25</v>
      </c>
      <c r="G1" s="10" t="s">
        <v>6</v>
      </c>
      <c r="H1" s="10" t="s">
        <v>7</v>
      </c>
      <c r="I1" s="10" t="s">
        <v>8</v>
      </c>
      <c r="J1" s="10" t="s">
        <v>9</v>
      </c>
      <c r="K1" s="10" t="s">
        <v>10</v>
      </c>
      <c r="L1" s="10" t="s">
        <v>11</v>
      </c>
      <c r="M1" s="10" t="s">
        <v>12</v>
      </c>
      <c r="N1" s="10" t="s">
        <v>13</v>
      </c>
      <c r="O1" s="10" t="s">
        <v>19</v>
      </c>
      <c r="P1" s="10" t="s">
        <v>20</v>
      </c>
      <c r="Q1" s="1"/>
      <c r="R1" s="1"/>
      <c r="S1" s="1"/>
    </row>
    <row r="2">
      <c r="A2" s="11">
        <v>43891</v>
      </c>
      <c r="B2" s="14">
        <v>100</v>
      </c>
      <c r="C2" s="14"/>
      <c r="D2" s="14">
        <v>265.99000000000001</v>
      </c>
      <c r="E2" s="14"/>
      <c r="F2" s="14"/>
      <c r="G2" s="14"/>
      <c r="H2" s="14"/>
      <c r="I2" s="14">
        <f>24000+6549-23790</f>
        <v>6759</v>
      </c>
      <c r="J2" s="14"/>
      <c r="K2" s="14"/>
      <c r="L2" s="14"/>
      <c r="M2" s="14"/>
      <c r="N2" s="14"/>
      <c r="O2" s="14"/>
      <c r="P2" s="14"/>
      <c r="Q2" s="14"/>
      <c r="R2" s="14"/>
      <c r="S2" s="14"/>
    </row>
    <row r="3">
      <c r="A3" s="11">
        <v>43892</v>
      </c>
      <c r="B3" s="5"/>
      <c r="C3" s="5">
        <v>294.87</v>
      </c>
      <c r="D3" s="5"/>
      <c r="E3" s="5"/>
      <c r="F3" s="5"/>
      <c r="G3" s="5"/>
      <c r="H3" s="5"/>
      <c r="I3" s="5"/>
      <c r="J3" s="5"/>
      <c r="K3" s="5"/>
      <c r="L3" s="5"/>
      <c r="M3" s="5"/>
      <c r="N3" s="5"/>
      <c r="O3" s="5"/>
      <c r="P3" s="5"/>
      <c r="Q3" s="5"/>
      <c r="R3" s="5"/>
      <c r="S3" s="5"/>
    </row>
    <row r="4">
      <c r="A4" s="11">
        <v>43893</v>
      </c>
      <c r="B4" s="14"/>
      <c r="C4" s="14">
        <v>127.05</v>
      </c>
      <c r="D4" s="14"/>
      <c r="E4" s="14"/>
      <c r="F4" s="14"/>
      <c r="G4" s="14"/>
      <c r="H4" s="14"/>
      <c r="I4" s="14"/>
      <c r="J4" s="14"/>
      <c r="K4" s="14"/>
      <c r="L4" s="14"/>
      <c r="M4" s="14"/>
      <c r="N4" s="14"/>
      <c r="O4" s="14"/>
      <c r="P4" s="14"/>
      <c r="Q4" s="14"/>
      <c r="R4" s="14"/>
      <c r="S4" s="14"/>
    </row>
    <row r="5">
      <c r="A5" s="11">
        <v>43894</v>
      </c>
      <c r="B5" s="5"/>
      <c r="C5" s="5">
        <v>389.60000000000002</v>
      </c>
      <c r="D5" s="5"/>
      <c r="E5" s="5"/>
      <c r="F5" s="5"/>
      <c r="G5" s="5"/>
      <c r="H5" s="5"/>
      <c r="I5" s="5"/>
      <c r="J5" s="5"/>
      <c r="K5" s="5"/>
      <c r="L5" s="5"/>
      <c r="M5" s="5"/>
      <c r="N5" s="5"/>
      <c r="O5" s="5"/>
      <c r="P5" s="5"/>
      <c r="Q5" s="5"/>
      <c r="R5" s="5"/>
      <c r="S5" s="5"/>
    </row>
    <row r="6">
      <c r="A6" s="11">
        <v>43895</v>
      </c>
      <c r="B6" s="14"/>
      <c r="C6" s="14"/>
      <c r="D6" s="14"/>
      <c r="E6" s="14"/>
      <c r="F6" s="14"/>
      <c r="G6" s="14"/>
      <c r="H6" s="14"/>
      <c r="I6" s="14"/>
      <c r="J6" s="14"/>
      <c r="K6" s="14"/>
      <c r="L6" s="14"/>
      <c r="M6" s="14"/>
      <c r="N6" s="14"/>
      <c r="O6" s="14"/>
      <c r="P6" s="14"/>
      <c r="Q6" s="14"/>
      <c r="R6" s="14"/>
      <c r="S6" s="14"/>
    </row>
    <row r="7">
      <c r="A7" s="11">
        <v>43896</v>
      </c>
      <c r="B7" s="5"/>
      <c r="C7" s="5"/>
      <c r="D7" s="5"/>
      <c r="E7" s="5"/>
      <c r="F7" s="5"/>
      <c r="G7" s="5"/>
      <c r="H7" s="5"/>
      <c r="I7" s="5"/>
      <c r="J7" s="5"/>
      <c r="K7" s="5"/>
      <c r="L7" s="5"/>
      <c r="M7" s="5"/>
      <c r="N7" s="5"/>
      <c r="O7" s="5"/>
      <c r="P7" s="5"/>
      <c r="Q7" s="5"/>
      <c r="R7" s="5"/>
      <c r="S7" s="5"/>
    </row>
    <row r="8">
      <c r="A8" s="11">
        <v>43897</v>
      </c>
      <c r="B8" s="14">
        <f>100+382</f>
        <v>482</v>
      </c>
      <c r="C8" s="14"/>
      <c r="D8" s="14"/>
      <c r="E8" s="14"/>
      <c r="F8" s="14"/>
      <c r="G8" s="14"/>
      <c r="H8" s="14"/>
      <c r="I8" s="14">
        <v>800</v>
      </c>
      <c r="J8" s="14"/>
      <c r="K8" s="14"/>
      <c r="L8" s="14"/>
      <c r="M8" s="14"/>
      <c r="N8" s="14"/>
      <c r="O8" s="14"/>
      <c r="P8" s="14"/>
      <c r="Q8" s="14"/>
      <c r="R8" s="14"/>
      <c r="S8" s="14"/>
    </row>
    <row r="9">
      <c r="A9" s="11">
        <v>43898</v>
      </c>
      <c r="B9" s="5"/>
      <c r="C9" s="5"/>
      <c r="D9" s="5"/>
      <c r="E9" s="5"/>
      <c r="F9" s="5"/>
      <c r="G9" s="5"/>
      <c r="H9" s="5"/>
      <c r="I9" s="5"/>
      <c r="J9" s="5"/>
      <c r="K9" s="5">
        <f>833+833</f>
        <v>1666</v>
      </c>
      <c r="L9" s="5">
        <v>1170</v>
      </c>
      <c r="M9" s="5"/>
      <c r="N9" s="5"/>
      <c r="O9" s="5"/>
      <c r="P9" s="5"/>
      <c r="Q9" s="5"/>
      <c r="R9" s="5"/>
      <c r="S9" s="5"/>
    </row>
    <row r="10">
      <c r="A10" s="11">
        <v>43899</v>
      </c>
      <c r="B10" s="14"/>
      <c r="C10" s="14"/>
      <c r="D10" s="14"/>
      <c r="E10" s="14"/>
      <c r="F10" s="14"/>
      <c r="G10" s="14"/>
      <c r="H10" s="14"/>
      <c r="I10" s="14"/>
      <c r="J10" s="14"/>
      <c r="K10" s="14"/>
      <c r="L10" s="14"/>
      <c r="M10" s="14"/>
      <c r="N10" s="14"/>
      <c r="O10" s="14"/>
      <c r="P10" s="14"/>
      <c r="Q10" s="14"/>
      <c r="R10" s="14"/>
      <c r="S10" s="14"/>
    </row>
    <row r="11">
      <c r="A11" s="11">
        <v>43900</v>
      </c>
      <c r="B11" s="5"/>
      <c r="C11" s="5">
        <v>43.990000000000002</v>
      </c>
      <c r="D11" s="5"/>
      <c r="E11" s="5"/>
      <c r="F11" s="5"/>
      <c r="G11" s="5"/>
      <c r="H11" s="5"/>
      <c r="I11" s="5"/>
      <c r="J11" s="5"/>
      <c r="K11" s="5">
        <v>4967</v>
      </c>
      <c r="L11" s="5"/>
      <c r="M11" s="5"/>
      <c r="N11" s="5"/>
      <c r="O11" s="5"/>
      <c r="P11" s="5">
        <v>199</v>
      </c>
      <c r="Q11" s="5"/>
      <c r="R11" s="5"/>
      <c r="S11" s="5"/>
    </row>
    <row r="12">
      <c r="A12" s="11">
        <v>43901</v>
      </c>
      <c r="B12" s="14"/>
      <c r="C12" s="14">
        <v>122.48</v>
      </c>
      <c r="D12" s="14"/>
      <c r="E12" s="14"/>
      <c r="F12" s="14"/>
      <c r="G12" s="14"/>
      <c r="H12" s="14"/>
      <c r="I12" s="14"/>
      <c r="J12" s="14"/>
      <c r="K12" s="14"/>
      <c r="L12" s="14"/>
      <c r="M12" s="14"/>
      <c r="N12" s="14"/>
      <c r="O12" s="14"/>
      <c r="P12" s="14"/>
      <c r="Q12" s="14"/>
      <c r="R12" s="14"/>
      <c r="S12" s="14"/>
    </row>
    <row r="13">
      <c r="A13" s="11">
        <v>43902</v>
      </c>
      <c r="B13" s="5"/>
      <c r="C13" s="5"/>
      <c r="D13" s="5"/>
      <c r="E13" s="5"/>
      <c r="F13" s="5"/>
      <c r="G13" s="5"/>
      <c r="H13" s="5"/>
      <c r="I13" s="5"/>
      <c r="J13" s="5"/>
      <c r="K13" s="5"/>
      <c r="L13" s="5"/>
      <c r="M13" s="5"/>
      <c r="N13" s="5"/>
      <c r="O13" s="5"/>
      <c r="P13" s="5"/>
      <c r="Q13" s="5"/>
      <c r="R13" s="5"/>
      <c r="S13" s="5"/>
    </row>
    <row r="14">
      <c r="A14" s="11">
        <v>43903</v>
      </c>
      <c r="B14" s="14"/>
      <c r="C14" s="14"/>
      <c r="D14" s="14">
        <v>266</v>
      </c>
      <c r="E14" s="14"/>
      <c r="F14" s="14"/>
      <c r="G14" s="14"/>
      <c r="H14" s="14"/>
      <c r="I14" s="14"/>
      <c r="J14" s="14"/>
      <c r="K14" s="14"/>
      <c r="L14" s="14"/>
      <c r="M14" s="14"/>
      <c r="N14" s="14"/>
      <c r="O14" s="14"/>
      <c r="P14" s="14"/>
      <c r="Q14" s="14"/>
      <c r="R14" s="14"/>
      <c r="S14" s="14"/>
    </row>
    <row r="15">
      <c r="A15" s="11">
        <v>43904</v>
      </c>
      <c r="B15" s="5"/>
      <c r="C15" s="5"/>
      <c r="D15" s="5"/>
      <c r="E15" s="5"/>
      <c r="F15" s="5"/>
      <c r="G15" s="5"/>
      <c r="H15" s="5"/>
      <c r="J15" s="5"/>
      <c r="K15" s="5"/>
      <c r="L15" s="5"/>
      <c r="M15" s="5"/>
      <c r="N15" s="5"/>
      <c r="O15" s="5"/>
      <c r="P15" s="5"/>
      <c r="Q15" s="5"/>
      <c r="R15" s="5"/>
      <c r="S15" s="5"/>
    </row>
    <row r="16">
      <c r="A16" s="11">
        <v>43905</v>
      </c>
      <c r="B16" s="14"/>
      <c r="C16" s="14"/>
      <c r="D16" s="14">
        <v>479</v>
      </c>
      <c r="E16" s="14"/>
      <c r="F16" s="14"/>
      <c r="G16" s="14"/>
      <c r="H16" s="14"/>
      <c r="I16" s="14"/>
      <c r="J16" s="14"/>
      <c r="K16" s="14"/>
      <c r="L16" s="14"/>
      <c r="M16" s="14"/>
      <c r="N16" s="14"/>
      <c r="O16" s="14"/>
      <c r="P16" s="14"/>
      <c r="Q16" s="14"/>
      <c r="R16" s="14"/>
      <c r="S16" s="14"/>
      <c r="T16" t="s">
        <v>43</v>
      </c>
    </row>
    <row r="17">
      <c r="A17" s="11">
        <v>43906</v>
      </c>
      <c r="B17" s="5">
        <f>375/2</f>
        <v>187.5</v>
      </c>
      <c r="C17" s="5"/>
      <c r="D17" s="5"/>
      <c r="E17" s="5"/>
      <c r="F17" s="5"/>
      <c r="G17" s="5"/>
      <c r="H17" s="5"/>
      <c r="I17" s="5"/>
      <c r="J17" s="5"/>
      <c r="K17" s="5">
        <v>3647.1599999999999</v>
      </c>
      <c r="L17" s="5"/>
      <c r="M17" s="5"/>
      <c r="N17" s="5"/>
      <c r="O17" s="5"/>
      <c r="P17" s="5"/>
      <c r="Q17" s="5"/>
      <c r="R17" s="5"/>
      <c r="S17" s="5"/>
      <c r="T17" t="s">
        <v>44</v>
      </c>
    </row>
    <row r="18">
      <c r="A18" s="11">
        <v>43907</v>
      </c>
      <c r="B18" s="14">
        <f>334/2</f>
        <v>167</v>
      </c>
      <c r="C18" s="14">
        <v>114.90000000000001</v>
      </c>
      <c r="D18" s="14"/>
      <c r="E18" s="14"/>
      <c r="F18" s="14"/>
      <c r="G18" s="14"/>
      <c r="H18" s="14"/>
      <c r="I18" s="14"/>
      <c r="J18" s="14"/>
      <c r="K18" s="14"/>
      <c r="L18" s="14"/>
      <c r="M18" s="14"/>
      <c r="N18" s="14"/>
      <c r="O18" s="14"/>
      <c r="P18" s="14"/>
      <c r="Q18" s="14"/>
      <c r="R18" s="14"/>
      <c r="S18" s="14"/>
    </row>
    <row r="19">
      <c r="A19" s="11">
        <v>43908</v>
      </c>
      <c r="B19" s="5"/>
      <c r="C19" s="5">
        <f>645.2+159</f>
        <v>804.20000000000005</v>
      </c>
      <c r="D19" s="5"/>
      <c r="E19" s="5"/>
      <c r="F19" s="5"/>
      <c r="G19" s="5"/>
      <c r="H19" s="5"/>
      <c r="I19" s="5"/>
      <c r="J19" s="5"/>
      <c r="K19" s="5"/>
      <c r="L19" s="5">
        <v>254</v>
      </c>
      <c r="M19" s="5"/>
      <c r="N19" s="5"/>
      <c r="O19" s="5"/>
      <c r="P19" s="5"/>
      <c r="Q19" s="5"/>
      <c r="R19" s="5"/>
      <c r="S19" s="5"/>
      <c r="T19" t="s">
        <v>45</v>
      </c>
    </row>
    <row r="20">
      <c r="A20" s="11">
        <v>43909</v>
      </c>
      <c r="B20" s="14"/>
      <c r="C20" s="14">
        <f>223.14+356.6</f>
        <v>579.74000000000001</v>
      </c>
      <c r="D20" s="14">
        <v>179.99000000000001</v>
      </c>
      <c r="E20" s="14"/>
      <c r="F20" s="14"/>
      <c r="G20" s="14"/>
      <c r="H20" s="14"/>
      <c r="I20" s="14"/>
      <c r="J20" s="14"/>
      <c r="K20" s="14"/>
      <c r="L20" s="14"/>
      <c r="M20" s="14"/>
      <c r="N20" s="14"/>
      <c r="O20" s="14"/>
      <c r="P20" s="34">
        <f>700/2</f>
        <v>350</v>
      </c>
      <c r="Q20" s="14"/>
      <c r="R20" s="14"/>
      <c r="S20" s="14"/>
    </row>
    <row r="21">
      <c r="A21" s="11">
        <v>43910</v>
      </c>
      <c r="B21" s="35">
        <f>129</f>
        <v>129</v>
      </c>
      <c r="C21" s="5">
        <v>159.88999999999999</v>
      </c>
      <c r="D21" s="5"/>
      <c r="E21" s="5"/>
      <c r="F21" s="5"/>
      <c r="G21" s="5"/>
      <c r="H21" s="5"/>
      <c r="I21" s="5"/>
      <c r="J21" s="5"/>
      <c r="K21" s="5"/>
      <c r="L21" s="5">
        <v>262</v>
      </c>
      <c r="M21" s="5"/>
      <c r="N21" s="5"/>
      <c r="O21" s="5"/>
      <c r="P21" s="5"/>
      <c r="Q21" s="5"/>
      <c r="R21" s="5"/>
      <c r="S21" s="5"/>
    </row>
    <row r="22">
      <c r="A22" s="11">
        <v>43911</v>
      </c>
      <c r="B22" s="14">
        <v>1822.5999999999999</v>
      </c>
      <c r="C22" s="14"/>
      <c r="D22" s="14"/>
      <c r="E22" s="14"/>
      <c r="F22" s="14"/>
      <c r="G22" s="14"/>
      <c r="H22" s="14"/>
      <c r="I22" s="14"/>
      <c r="J22" s="14"/>
      <c r="K22" s="14"/>
      <c r="L22" s="14">
        <v>257</v>
      </c>
      <c r="M22" s="14"/>
      <c r="N22" s="14"/>
      <c r="O22" s="14"/>
      <c r="P22" s="14"/>
      <c r="Q22" s="14"/>
      <c r="R22" s="14"/>
      <c r="S22" s="14"/>
    </row>
    <row r="23">
      <c r="A23" s="11">
        <v>43912</v>
      </c>
      <c r="B23" s="5"/>
      <c r="C23" s="5">
        <v>340.32999999999998</v>
      </c>
      <c r="D23" s="5"/>
      <c r="E23" s="5"/>
      <c r="F23" s="5"/>
      <c r="G23" s="5"/>
      <c r="H23" s="5"/>
      <c r="I23" s="5"/>
      <c r="J23" s="5"/>
      <c r="K23" s="5"/>
      <c r="L23" s="5"/>
      <c r="M23" s="5"/>
      <c r="N23" s="5"/>
      <c r="O23" s="5"/>
      <c r="P23" s="5"/>
      <c r="Q23" s="5"/>
      <c r="R23" s="5"/>
      <c r="S23" s="5"/>
    </row>
    <row r="24">
      <c r="A24" s="11">
        <v>43913</v>
      </c>
      <c r="B24" s="14"/>
      <c r="C24" s="14"/>
      <c r="D24" s="14"/>
      <c r="E24" s="14"/>
      <c r="F24" s="14"/>
      <c r="G24" s="14"/>
      <c r="H24" s="14"/>
      <c r="I24" s="14"/>
      <c r="J24" s="14"/>
      <c r="K24" s="14"/>
      <c r="L24" s="14"/>
      <c r="M24" s="14"/>
      <c r="N24" s="14"/>
      <c r="O24" s="14"/>
      <c r="P24" s="14"/>
      <c r="Q24" s="14"/>
      <c r="R24" s="14"/>
      <c r="S24" s="14"/>
    </row>
    <row r="25">
      <c r="A25" s="11">
        <v>43914</v>
      </c>
      <c r="C25" s="5">
        <v>216.06999999999999</v>
      </c>
      <c r="D25" s="5"/>
      <c r="E25" s="5"/>
      <c r="F25" s="5"/>
      <c r="G25" s="5"/>
      <c r="H25" s="5"/>
      <c r="I25" s="5"/>
      <c r="J25" s="5"/>
      <c r="K25" s="5"/>
      <c r="L25" s="5"/>
      <c r="M25" s="5"/>
      <c r="N25" s="5"/>
      <c r="O25" s="5"/>
      <c r="P25" s="5"/>
      <c r="Q25" s="5"/>
      <c r="R25" s="5"/>
      <c r="S25" s="5"/>
    </row>
    <row r="26">
      <c r="A26" s="11">
        <v>43915</v>
      </c>
      <c r="B26" s="14">
        <v>100</v>
      </c>
      <c r="C26" s="14"/>
      <c r="D26" s="14"/>
      <c r="E26" s="14"/>
      <c r="F26" s="14"/>
      <c r="G26" s="14"/>
      <c r="H26" s="14"/>
      <c r="I26" s="14"/>
      <c r="J26" s="14"/>
      <c r="K26" s="14"/>
      <c r="L26" s="14"/>
      <c r="M26" s="14"/>
      <c r="N26" s="14"/>
      <c r="O26" s="14"/>
      <c r="P26" s="14"/>
      <c r="Q26" s="14"/>
      <c r="R26" s="14"/>
      <c r="S26" s="14"/>
    </row>
    <row r="27">
      <c r="A27" s="11">
        <v>43916</v>
      </c>
      <c r="B27" s="5"/>
      <c r="C27" s="5"/>
      <c r="D27" s="5"/>
      <c r="E27" s="5"/>
      <c r="F27" s="5"/>
      <c r="G27" s="5"/>
      <c r="H27" s="5"/>
      <c r="I27" s="5"/>
      <c r="J27" s="5"/>
      <c r="K27" s="5"/>
      <c r="L27" s="5"/>
      <c r="M27" s="5"/>
      <c r="N27" s="5"/>
      <c r="O27" s="5"/>
      <c r="P27" s="5"/>
      <c r="Q27" s="5"/>
      <c r="R27" s="5"/>
      <c r="S27" s="5"/>
    </row>
    <row r="28">
      <c r="A28" s="11">
        <v>43917</v>
      </c>
      <c r="B28" s="14"/>
      <c r="C28" s="14">
        <v>99.989999999999995</v>
      </c>
      <c r="D28" s="14"/>
      <c r="E28" s="14"/>
      <c r="F28" s="14"/>
      <c r="G28" s="14"/>
      <c r="H28" s="14"/>
      <c r="I28" s="14"/>
      <c r="J28" s="14"/>
      <c r="K28" s="14"/>
      <c r="L28" s="14"/>
      <c r="M28" s="14"/>
      <c r="N28" s="14"/>
      <c r="O28" s="14"/>
      <c r="P28" s="14"/>
      <c r="Q28" s="14"/>
      <c r="R28" s="14"/>
      <c r="S28" s="14"/>
    </row>
    <row r="29">
      <c r="A29" s="11">
        <v>43918</v>
      </c>
      <c r="B29" s="5"/>
      <c r="C29" s="5"/>
      <c r="D29" s="5"/>
      <c r="E29" s="5">
        <f>3000-3000</f>
        <v>0</v>
      </c>
      <c r="F29" s="5"/>
      <c r="G29" s="5"/>
      <c r="H29" s="5"/>
      <c r="I29" s="5"/>
      <c r="J29" s="5"/>
      <c r="K29" s="5"/>
      <c r="L29" s="5"/>
      <c r="M29" s="5"/>
      <c r="N29" s="5"/>
      <c r="O29" s="5"/>
      <c r="P29" s="5"/>
      <c r="Q29" s="5"/>
      <c r="R29" s="5"/>
      <c r="S29" s="5"/>
    </row>
    <row r="30">
      <c r="A30" s="11">
        <v>43919</v>
      </c>
      <c r="B30" s="14">
        <v>272</v>
      </c>
      <c r="C30" s="14"/>
      <c r="D30" s="14"/>
      <c r="E30" s="14"/>
      <c r="F30" s="14"/>
      <c r="G30" s="14"/>
      <c r="H30" s="14"/>
      <c r="I30" s="14"/>
      <c r="J30" s="14"/>
      <c r="K30" s="14"/>
      <c r="L30" s="14"/>
      <c r="M30" s="14"/>
      <c r="N30" s="14"/>
      <c r="O30" s="14"/>
      <c r="P30" s="14"/>
      <c r="Q30" s="14"/>
      <c r="R30" s="14"/>
      <c r="S30" s="14"/>
    </row>
    <row r="31">
      <c r="A31" s="11">
        <v>43920</v>
      </c>
      <c r="B31" s="3">
        <v>152</v>
      </c>
      <c r="C31" s="3">
        <v>2693.4000000000001</v>
      </c>
      <c r="D31" s="3"/>
      <c r="E31" s="3"/>
      <c r="F31" s="3"/>
      <c r="G31" s="3"/>
      <c r="H31" s="3"/>
      <c r="I31" s="3"/>
      <c r="J31" s="3"/>
      <c r="K31" s="3">
        <v>370</v>
      </c>
      <c r="L31" s="3"/>
      <c r="M31" s="3"/>
      <c r="N31" s="3"/>
      <c r="O31" s="3"/>
      <c r="P31" s="3"/>
      <c r="Q31" s="3"/>
      <c r="R31" s="3"/>
      <c r="S31" s="3"/>
    </row>
    <row r="32">
      <c r="A32" s="11">
        <v>43921</v>
      </c>
      <c r="B32" s="14"/>
      <c r="C32" s="14"/>
      <c r="D32" s="14"/>
      <c r="E32" s="14">
        <v>2000</v>
      </c>
      <c r="F32" s="14"/>
      <c r="G32" s="14"/>
      <c r="H32" s="14"/>
      <c r="I32" s="14"/>
      <c r="J32" s="14"/>
      <c r="K32" s="14"/>
      <c r="L32" s="14"/>
      <c r="M32" s="14"/>
      <c r="N32" s="14"/>
      <c r="O32" s="14"/>
      <c r="P32" s="14"/>
      <c r="Q32" s="14"/>
      <c r="R32" s="14"/>
      <c r="S32" s="14"/>
    </row>
    <row r="33">
      <c r="A33" s="7"/>
      <c r="B33" s="7">
        <f t="shared" ref="B33:Q33" si="19">SUM(B2:B32)</f>
        <v>3412.0999999999999</v>
      </c>
      <c r="C33" s="7">
        <f t="shared" si="19"/>
        <v>5986.5100000000002</v>
      </c>
      <c r="D33" s="7">
        <f t="shared" si="19"/>
        <v>1190.98</v>
      </c>
      <c r="E33" s="7">
        <f t="shared" si="19"/>
        <v>2000</v>
      </c>
      <c r="F33" s="7">
        <f t="shared" si="19"/>
        <v>0</v>
      </c>
      <c r="G33" s="7">
        <f t="shared" si="19"/>
        <v>0</v>
      </c>
      <c r="H33" s="7">
        <f t="shared" si="19"/>
        <v>0</v>
      </c>
      <c r="I33" s="7">
        <f t="shared" si="19"/>
        <v>7559</v>
      </c>
      <c r="J33" s="7">
        <f t="shared" si="19"/>
        <v>0</v>
      </c>
      <c r="K33" s="7">
        <f t="shared" si="19"/>
        <v>10650.16</v>
      </c>
      <c r="L33" s="7">
        <f t="shared" si="19"/>
        <v>1943</v>
      </c>
      <c r="M33" s="7">
        <f t="shared" si="19"/>
        <v>0</v>
      </c>
      <c r="N33" s="7">
        <f t="shared" si="19"/>
        <v>0</v>
      </c>
      <c r="O33" s="7">
        <f t="shared" si="19"/>
        <v>0</v>
      </c>
      <c r="P33" s="7">
        <f t="shared" si="19"/>
        <v>549</v>
      </c>
      <c r="Q33" s="7">
        <f t="shared" si="19"/>
        <v>0</v>
      </c>
      <c r="R33" s="7" t="s">
        <v>14</v>
      </c>
      <c r="S33" s="7">
        <f>SUM(B33:Q33)</f>
        <v>33290.75</v>
      </c>
    </row>
    <row r="34">
      <c r="A34" s="8"/>
      <c r="B34" s="8"/>
      <c r="C34" s="8"/>
      <c r="D34" s="8"/>
      <c r="E34" s="8"/>
      <c r="F34" s="8"/>
      <c r="G34" s="8"/>
      <c r="H34" s="8"/>
      <c r="I34" s="8"/>
      <c r="J34" s="9"/>
      <c r="K34" s="9"/>
      <c r="L34" s="9"/>
      <c r="M34" s="9"/>
      <c r="N34" s="9"/>
      <c r="O34" s="9"/>
      <c r="P34" s="9"/>
      <c r="Q34" s="9"/>
      <c r="R34" s="9"/>
      <c r="S34" s="9"/>
    </row>
    <row r="35">
      <c r="A35" s="10" t="s">
        <v>0</v>
      </c>
      <c r="B35" s="10" t="s">
        <v>15</v>
      </c>
      <c r="C35" s="10" t="s">
        <v>16</v>
      </c>
      <c r="D35" s="10" t="s">
        <v>17</v>
      </c>
      <c r="E35" s="10" t="s">
        <v>18</v>
      </c>
      <c r="F35" s="10" t="s">
        <v>21</v>
      </c>
      <c r="G35" s="10" t="s">
        <v>26</v>
      </c>
      <c r="H35" s="10" t="s">
        <v>27</v>
      </c>
      <c r="I35" s="1"/>
    </row>
    <row r="36">
      <c r="A36" s="11">
        <v>43891</v>
      </c>
      <c r="B36" s="14"/>
      <c r="C36" s="14"/>
      <c r="D36" s="14"/>
      <c r="E36" s="14"/>
      <c r="F36" s="14"/>
      <c r="G36" s="14"/>
      <c r="H36" s="14"/>
      <c r="I36" s="14"/>
      <c r="N36" s="13"/>
      <c r="O36" s="13"/>
      <c r="R36" s="31" t="s">
        <v>40</v>
      </c>
    </row>
    <row r="37">
      <c r="A37" s="11">
        <v>43892</v>
      </c>
      <c r="B37" s="5"/>
      <c r="C37" s="5"/>
      <c r="D37" s="5"/>
      <c r="E37" s="5"/>
      <c r="F37" s="5"/>
      <c r="G37" s="5"/>
      <c r="H37" s="5"/>
      <c r="I37" s="5"/>
      <c r="R37" s="31">
        <f>2030-500</f>
        <v>1530</v>
      </c>
      <c r="S37" s="31" t="s">
        <v>29</v>
      </c>
    </row>
    <row r="38">
      <c r="A38" s="11">
        <v>43893</v>
      </c>
      <c r="B38" s="14"/>
      <c r="C38" s="14"/>
      <c r="D38" s="14"/>
      <c r="E38" s="14"/>
      <c r="F38" s="14"/>
      <c r="G38" s="14"/>
      <c r="H38" s="14"/>
      <c r="I38" s="14"/>
      <c r="R38" s="31">
        <f>21000-344+2039+(23000-23000)-344-344+8164.1-4600-3300+(3000-3000)+2000</f>
        <v>24271.099999999999</v>
      </c>
      <c r="S38" s="31" t="s">
        <v>31</v>
      </c>
    </row>
    <row r="39">
      <c r="A39" s="11">
        <v>43894</v>
      </c>
      <c r="B39" s="5"/>
      <c r="C39" s="5"/>
      <c r="D39" s="5"/>
      <c r="E39" s="5"/>
      <c r="F39" s="5"/>
      <c r="G39" s="5"/>
      <c r="H39" s="5"/>
      <c r="I39" s="5"/>
      <c r="R39" s="31"/>
      <c r="S39" s="31" t="s">
        <v>38</v>
      </c>
    </row>
    <row r="40">
      <c r="A40" s="11">
        <v>43895</v>
      </c>
      <c r="B40" s="14"/>
      <c r="C40" s="14"/>
      <c r="D40" s="14"/>
      <c r="E40" s="14"/>
      <c r="F40" s="14"/>
      <c r="G40" s="14"/>
      <c r="H40" s="14"/>
      <c r="I40" s="14"/>
      <c r="R40" s="31"/>
      <c r="S40" s="31" t="s">
        <v>39</v>
      </c>
    </row>
    <row r="41">
      <c r="A41" s="11">
        <v>43896</v>
      </c>
      <c r="B41" s="5"/>
      <c r="C41" s="5"/>
      <c r="D41" s="5"/>
      <c r="E41" s="5"/>
      <c r="F41" s="5"/>
      <c r="G41" s="5"/>
      <c r="H41" s="5"/>
      <c r="I41" s="5"/>
      <c r="R41" s="31"/>
      <c r="S41" s="31" t="s">
        <v>41</v>
      </c>
    </row>
    <row r="42">
      <c r="A42" s="11">
        <v>43897</v>
      </c>
      <c r="B42" s="14"/>
      <c r="C42" s="14"/>
      <c r="D42" s="14"/>
      <c r="E42" s="14"/>
      <c r="F42" s="14"/>
      <c r="G42" s="14"/>
      <c r="H42" s="14"/>
      <c r="I42" s="14"/>
      <c r="R42" s="31">
        <v>0</v>
      </c>
      <c r="S42" t="s">
        <v>42</v>
      </c>
    </row>
    <row r="43">
      <c r="A43" s="11">
        <v>43898</v>
      </c>
      <c r="B43" s="5"/>
      <c r="C43" s="5"/>
      <c r="D43" s="5"/>
      <c r="E43" s="5"/>
      <c r="F43" s="5"/>
      <c r="G43" s="5"/>
      <c r="H43" s="5"/>
      <c r="I43" s="5"/>
      <c r="R43" s="31"/>
      <c r="S43" t="s">
        <v>23</v>
      </c>
    </row>
    <row r="44">
      <c r="A44" s="11">
        <v>43899</v>
      </c>
      <c r="B44" s="15"/>
      <c r="C44" s="14"/>
      <c r="D44" s="14"/>
      <c r="E44" s="14"/>
      <c r="F44" s="14"/>
      <c r="G44" s="14"/>
      <c r="H44" s="14"/>
      <c r="I44" s="14"/>
      <c r="R44" s="31"/>
      <c r="S44" t="s">
        <v>46</v>
      </c>
    </row>
    <row r="45">
      <c r="A45" s="11">
        <v>43900</v>
      </c>
      <c r="B45" s="5">
        <v>41835.839999999997</v>
      </c>
      <c r="C45" s="5"/>
      <c r="D45" s="5"/>
      <c r="E45" s="5"/>
      <c r="F45" s="5"/>
      <c r="G45" s="5"/>
      <c r="H45" s="5"/>
      <c r="I45" s="5"/>
    </row>
    <row r="46">
      <c r="A46" s="11">
        <v>43901</v>
      </c>
      <c r="B46" s="14"/>
      <c r="C46" s="14"/>
      <c r="D46" s="14"/>
      <c r="E46" s="14"/>
      <c r="F46" s="14"/>
      <c r="G46" s="14"/>
      <c r="H46" s="14"/>
      <c r="I46" s="14"/>
    </row>
    <row r="47">
      <c r="A47" s="11">
        <v>43902</v>
      </c>
      <c r="B47" s="5"/>
      <c r="C47" s="5"/>
      <c r="D47" s="5"/>
      <c r="E47" s="5"/>
      <c r="F47" s="5"/>
      <c r="G47" s="5"/>
      <c r="H47" s="5"/>
      <c r="I47" s="5"/>
    </row>
    <row r="48">
      <c r="A48" s="11">
        <v>43903</v>
      </c>
      <c r="B48" s="14"/>
      <c r="C48" s="14"/>
      <c r="D48" s="14"/>
      <c r="E48" s="14"/>
      <c r="F48" s="14"/>
      <c r="G48" s="14"/>
      <c r="H48" s="14"/>
      <c r="I48" s="14"/>
    </row>
    <row r="49">
      <c r="A49" s="11">
        <v>43904</v>
      </c>
      <c r="B49" s="5"/>
      <c r="C49" s="5"/>
      <c r="D49" s="5"/>
      <c r="E49" s="5"/>
      <c r="F49" s="5"/>
      <c r="G49" s="5"/>
      <c r="H49" s="5"/>
      <c r="I49" s="5"/>
    </row>
    <row r="50">
      <c r="A50" s="11">
        <v>43905</v>
      </c>
      <c r="B50" s="14"/>
      <c r="C50" s="14"/>
      <c r="D50" s="14"/>
      <c r="E50" s="14"/>
      <c r="F50" s="14"/>
      <c r="G50" s="14"/>
      <c r="H50" s="14"/>
      <c r="I50" s="14"/>
    </row>
    <row r="51">
      <c r="A51" s="11">
        <v>43906</v>
      </c>
      <c r="B51" s="5"/>
      <c r="C51" s="5"/>
      <c r="D51" s="5"/>
      <c r="E51" s="5"/>
      <c r="F51" s="5"/>
      <c r="G51" s="5"/>
      <c r="H51" s="5"/>
      <c r="I51" s="5"/>
    </row>
    <row r="52">
      <c r="A52" s="11">
        <v>43907</v>
      </c>
      <c r="B52" s="14"/>
      <c r="C52" s="14"/>
      <c r="D52" s="14"/>
      <c r="E52" s="14"/>
      <c r="F52" s="14"/>
      <c r="G52" s="14"/>
      <c r="H52" s="14"/>
      <c r="I52" s="14"/>
    </row>
    <row r="53">
      <c r="A53" s="11">
        <v>43908</v>
      </c>
      <c r="B53" s="5"/>
      <c r="C53" s="5"/>
      <c r="D53" s="5"/>
      <c r="E53" s="5">
        <v>9195.3899999999994</v>
      </c>
      <c r="F53" s="5"/>
      <c r="G53" s="5"/>
      <c r="H53" s="5"/>
      <c r="I53" s="5"/>
    </row>
    <row r="54">
      <c r="A54" s="11">
        <v>43909</v>
      </c>
      <c r="B54" s="14"/>
      <c r="C54" s="14"/>
      <c r="D54" s="14"/>
      <c r="E54" s="14"/>
      <c r="F54" s="14"/>
      <c r="G54" s="14"/>
      <c r="H54" s="14"/>
      <c r="I54" s="14"/>
    </row>
    <row r="55">
      <c r="A55" s="11">
        <v>43910</v>
      </c>
      <c r="B55" s="5"/>
      <c r="C55" s="5"/>
      <c r="D55" s="5"/>
      <c r="E55" s="5"/>
      <c r="F55" s="5"/>
      <c r="G55" s="5"/>
      <c r="H55" s="5"/>
      <c r="I55" s="5"/>
    </row>
    <row r="56">
      <c r="A56" s="11">
        <v>43911</v>
      </c>
      <c r="B56" s="14"/>
      <c r="C56" s="14"/>
      <c r="D56" s="14"/>
      <c r="E56" s="14"/>
      <c r="F56" s="14"/>
      <c r="G56" s="14"/>
      <c r="H56" s="14"/>
      <c r="I56" s="14"/>
    </row>
    <row r="57">
      <c r="A57" s="11">
        <v>43912</v>
      </c>
      <c r="B57" s="5"/>
      <c r="C57" s="5"/>
      <c r="D57" s="5"/>
      <c r="E57" s="5"/>
      <c r="F57" s="5"/>
      <c r="G57" s="5"/>
      <c r="H57" s="5">
        <v>8000</v>
      </c>
      <c r="I57" s="5"/>
    </row>
    <row r="58">
      <c r="A58" s="11">
        <v>43913</v>
      </c>
      <c r="B58" s="14"/>
      <c r="C58" s="14"/>
      <c r="D58" s="14"/>
      <c r="E58" s="14"/>
      <c r="F58" s="14"/>
      <c r="G58" s="14">
        <v>50</v>
      </c>
      <c r="H58" s="14"/>
      <c r="I58" s="14"/>
    </row>
    <row r="59">
      <c r="A59" s="11">
        <v>43914</v>
      </c>
      <c r="B59" s="5"/>
      <c r="C59" s="5"/>
      <c r="D59" s="5"/>
      <c r="E59" s="5"/>
      <c r="F59" s="5"/>
      <c r="G59" s="5"/>
      <c r="H59" s="5"/>
      <c r="I59" s="5"/>
    </row>
    <row r="60">
      <c r="A60" s="11">
        <v>43915</v>
      </c>
      <c r="B60" s="14">
        <v>9500</v>
      </c>
      <c r="C60" s="14"/>
      <c r="D60" s="14"/>
      <c r="E60" s="14"/>
      <c r="F60" s="14">
        <v>5000</v>
      </c>
      <c r="G60" s="14"/>
      <c r="H60" s="14"/>
      <c r="I60" s="14"/>
    </row>
    <row r="61">
      <c r="A61" s="11">
        <v>43916</v>
      </c>
      <c r="B61" s="5"/>
      <c r="C61" s="5"/>
      <c r="D61" s="5"/>
      <c r="E61" s="5"/>
      <c r="F61" s="5"/>
      <c r="G61" s="5">
        <v>500</v>
      </c>
      <c r="H61" s="5"/>
      <c r="I61" s="5"/>
    </row>
    <row r="62">
      <c r="A62" s="11">
        <v>43917</v>
      </c>
      <c r="B62" s="14"/>
      <c r="C62" s="14"/>
      <c r="D62" s="14"/>
      <c r="E62" s="14">
        <v>4239.9700000000003</v>
      </c>
      <c r="F62" s="14"/>
      <c r="G62" s="14"/>
      <c r="H62" s="14"/>
      <c r="I62" s="14"/>
    </row>
    <row r="63">
      <c r="A63" s="11">
        <v>43918</v>
      </c>
      <c r="B63" s="5"/>
      <c r="C63" s="5"/>
      <c r="D63" s="5"/>
      <c r="E63" s="5"/>
      <c r="F63" s="5"/>
      <c r="G63" s="5"/>
      <c r="H63" s="5"/>
      <c r="I63" s="5"/>
    </row>
    <row r="64">
      <c r="A64" s="11">
        <v>43919</v>
      </c>
      <c r="B64" s="14"/>
      <c r="C64" s="14"/>
      <c r="D64" s="14"/>
      <c r="E64" s="14"/>
      <c r="F64" s="14"/>
      <c r="G64" s="14"/>
      <c r="H64" s="14"/>
      <c r="I64" s="14"/>
    </row>
    <row r="65">
      <c r="A65" s="11">
        <v>43920</v>
      </c>
      <c r="B65" s="3"/>
      <c r="C65" s="3"/>
      <c r="D65" s="3"/>
      <c r="E65" s="3">
        <v>2021.2</v>
      </c>
      <c r="F65" s="3"/>
      <c r="G65" s="3"/>
      <c r="H65" s="3"/>
      <c r="I65" s="3"/>
    </row>
    <row r="66">
      <c r="A66" s="11">
        <v>43921</v>
      </c>
      <c r="B66" s="14"/>
      <c r="C66" s="14"/>
      <c r="D66" s="14"/>
      <c r="E66" s="14">
        <v>256.19</v>
      </c>
      <c r="F66" s="14"/>
      <c r="G66" s="14"/>
      <c r="H66" s="14"/>
      <c r="I66" s="14"/>
      <c r="R66" s="33">
        <f>SUM(R37:R65)</f>
        <v>25801.099999999999</v>
      </c>
    </row>
    <row r="67">
      <c r="A67" s="7"/>
      <c r="B67" s="7">
        <f t="shared" ref="B67:H67" si="20">SUM(B36:B66)</f>
        <v>51335.839999999997</v>
      </c>
      <c r="C67" s="7">
        <f t="shared" si="20"/>
        <v>0</v>
      </c>
      <c r="D67" s="7">
        <f t="shared" si="20"/>
        <v>0</v>
      </c>
      <c r="E67" s="7">
        <f t="shared" si="20"/>
        <v>15712.750000000002</v>
      </c>
      <c r="F67" s="7">
        <f t="shared" si="20"/>
        <v>5000</v>
      </c>
      <c r="G67" s="7">
        <f t="shared" si="20"/>
        <v>550</v>
      </c>
      <c r="H67" s="7">
        <f t="shared" si="20"/>
        <v>8000</v>
      </c>
      <c r="I67" s="7">
        <f>SUM(B67:H67)</f>
        <v>80598.589999999997</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2" activeCellId="0" sqref="B32"/>
    </sheetView>
  </sheetViews>
  <sheetFormatPr defaultRowHeight="14.25"/>
  <cols>
    <col bestFit="1" customWidth="1" min="1" max="1" width="14.7109375"/>
    <col bestFit="1" customWidth="1" min="2" max="2" width="8.710937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
      <c r="R1" s="1"/>
      <c r="S1" s="1"/>
    </row>
    <row r="2">
      <c r="A2" s="11">
        <v>43922</v>
      </c>
      <c r="B2" s="14"/>
      <c r="C2" s="14">
        <v>69.900000000000006</v>
      </c>
      <c r="D2" s="14">
        <v>505</v>
      </c>
      <c r="E2" s="14">
        <v>80000</v>
      </c>
      <c r="F2" s="14"/>
      <c r="G2" s="14"/>
      <c r="H2" s="14"/>
      <c r="I2" s="14"/>
      <c r="J2" s="14">
        <v>798</v>
      </c>
      <c r="K2" s="14"/>
      <c r="L2" s="14"/>
      <c r="M2" s="14"/>
      <c r="N2" s="14"/>
      <c r="O2" s="14"/>
      <c r="P2" s="14"/>
      <c r="Q2" s="14"/>
      <c r="R2" s="14"/>
      <c r="S2" s="14"/>
    </row>
    <row r="3">
      <c r="A3" s="11">
        <v>43923</v>
      </c>
      <c r="B3" s="5"/>
      <c r="C3" s="5"/>
      <c r="D3" s="5"/>
      <c r="E3" s="5"/>
      <c r="F3" s="5"/>
      <c r="G3" s="5"/>
      <c r="H3" s="5"/>
      <c r="I3" s="5"/>
      <c r="J3" s="5"/>
      <c r="K3" s="5"/>
      <c r="L3" s="5"/>
      <c r="M3" s="5"/>
      <c r="N3" s="5"/>
      <c r="O3" s="5"/>
      <c r="P3" s="5"/>
      <c r="Q3" s="5"/>
      <c r="R3" s="5"/>
      <c r="S3" s="5"/>
    </row>
    <row r="4">
      <c r="A4" s="11">
        <v>43924</v>
      </c>
      <c r="B4" s="14"/>
      <c r="C4" s="14">
        <v>30.899999999999999</v>
      </c>
      <c r="D4" s="14"/>
      <c r="E4" s="14"/>
      <c r="F4" s="14"/>
      <c r="G4" s="14"/>
      <c r="H4" s="14"/>
      <c r="I4" s="14"/>
      <c r="J4" s="14"/>
      <c r="K4" s="14"/>
      <c r="L4" s="14"/>
      <c r="M4" s="14"/>
      <c r="N4" s="14"/>
      <c r="O4" s="14"/>
      <c r="P4" s="14"/>
      <c r="Q4" s="14"/>
      <c r="R4" s="14"/>
      <c r="S4" s="14"/>
    </row>
    <row r="5">
      <c r="A5" s="11">
        <v>43925</v>
      </c>
      <c r="B5" s="5"/>
      <c r="C5" s="5"/>
      <c r="D5" s="5"/>
      <c r="E5" s="5"/>
      <c r="F5" s="5"/>
      <c r="G5" s="5"/>
      <c r="H5" s="5"/>
      <c r="I5" s="5"/>
      <c r="J5" s="5"/>
      <c r="K5" s="5"/>
      <c r="L5" s="5">
        <v>300</v>
      </c>
      <c r="M5" s="5"/>
      <c r="N5" s="5"/>
      <c r="O5" s="5"/>
      <c r="P5" s="5"/>
      <c r="Q5" s="5"/>
      <c r="R5" s="5"/>
      <c r="S5" s="5"/>
    </row>
    <row r="6">
      <c r="A6" s="11">
        <v>43926</v>
      </c>
      <c r="B6" s="14"/>
      <c r="C6" s="14"/>
      <c r="D6" s="14"/>
      <c r="E6" s="14"/>
      <c r="F6" s="14"/>
      <c r="G6" s="14"/>
      <c r="H6" s="14"/>
      <c r="I6" s="14"/>
      <c r="J6" s="14"/>
      <c r="K6" s="14"/>
      <c r="L6" s="14"/>
      <c r="M6" s="14"/>
      <c r="N6" s="14"/>
      <c r="O6" s="14"/>
      <c r="P6" s="14"/>
      <c r="Q6" s="14"/>
      <c r="R6" s="14"/>
      <c r="S6" s="14"/>
    </row>
    <row r="7">
      <c r="A7" s="11">
        <v>43927</v>
      </c>
      <c r="B7" s="5"/>
      <c r="C7" s="5">
        <f>80.8+91.9</f>
        <v>172.69999999999999</v>
      </c>
      <c r="D7" s="5"/>
      <c r="E7" s="5"/>
      <c r="F7" s="5"/>
      <c r="G7" s="5"/>
      <c r="H7" s="5"/>
      <c r="I7" s="5"/>
      <c r="J7" s="5"/>
      <c r="K7" s="5"/>
      <c r="L7" s="5"/>
      <c r="M7" s="5"/>
      <c r="N7" s="5"/>
      <c r="O7" s="5"/>
      <c r="P7" s="5"/>
      <c r="Q7" s="5"/>
      <c r="R7" s="5"/>
      <c r="S7" s="5"/>
    </row>
    <row r="8">
      <c r="A8" s="11">
        <v>43928</v>
      </c>
      <c r="B8" s="14"/>
      <c r="C8" s="14"/>
      <c r="D8" s="14"/>
      <c r="E8" s="14"/>
      <c r="F8" s="14"/>
      <c r="G8" s="14"/>
      <c r="H8" s="14"/>
      <c r="I8" s="14"/>
      <c r="J8" s="14"/>
      <c r="K8" s="14">
        <v>26</v>
      </c>
      <c r="L8" s="14"/>
      <c r="M8" s="14"/>
      <c r="N8" s="14"/>
      <c r="O8" s="14"/>
      <c r="P8" s="14"/>
      <c r="Q8" s="14"/>
      <c r="R8" s="14"/>
      <c r="S8" s="14"/>
    </row>
    <row r="9">
      <c r="A9" s="11">
        <v>43929</v>
      </c>
      <c r="B9" s="5"/>
      <c r="C9" s="5"/>
      <c r="D9" s="5"/>
      <c r="E9" s="5"/>
      <c r="F9" s="5"/>
      <c r="G9" s="5"/>
      <c r="H9" s="5"/>
      <c r="I9" s="5"/>
      <c r="J9" s="5"/>
      <c r="K9" s="5"/>
      <c r="L9" s="5"/>
      <c r="M9" s="5"/>
      <c r="N9" s="5"/>
      <c r="O9" s="5"/>
      <c r="P9" s="5"/>
      <c r="Q9" s="5"/>
      <c r="R9" s="5"/>
      <c r="S9" s="5"/>
    </row>
    <row r="10">
      <c r="A10" s="11">
        <v>43930</v>
      </c>
      <c r="B10" s="14"/>
      <c r="C10" s="14">
        <v>125.98999999999999</v>
      </c>
      <c r="D10" s="14">
        <v>272</v>
      </c>
      <c r="E10" s="14"/>
      <c r="F10" s="14"/>
      <c r="G10" s="14"/>
      <c r="H10" s="14"/>
      <c r="I10" s="14"/>
      <c r="J10" s="14"/>
      <c r="K10" s="14"/>
      <c r="L10" s="14"/>
      <c r="M10" s="14"/>
      <c r="N10" s="14"/>
      <c r="O10" s="14"/>
      <c r="P10" s="14"/>
      <c r="Q10" s="14"/>
      <c r="R10" s="14"/>
      <c r="S10" s="14"/>
    </row>
    <row r="11">
      <c r="A11" s="11">
        <v>43931</v>
      </c>
      <c r="B11" s="5"/>
      <c r="C11" s="5">
        <v>512.02999999999997</v>
      </c>
      <c r="D11" s="5"/>
      <c r="E11" s="5"/>
      <c r="F11" s="5"/>
      <c r="G11" s="5"/>
      <c r="H11" s="5"/>
      <c r="I11" s="5"/>
      <c r="J11" s="5">
        <v>281</v>
      </c>
      <c r="K11" s="5"/>
      <c r="L11" s="5"/>
      <c r="M11" s="5"/>
      <c r="N11" s="5"/>
      <c r="O11" s="5"/>
      <c r="P11" s="5">
        <v>199</v>
      </c>
      <c r="Q11" s="5"/>
      <c r="R11" s="5"/>
      <c r="S11" s="5"/>
    </row>
    <row r="12">
      <c r="A12" s="11">
        <v>43932</v>
      </c>
      <c r="B12" s="14"/>
      <c r="C12" s="14"/>
      <c r="D12" s="14"/>
      <c r="E12" s="14"/>
      <c r="F12" s="14"/>
      <c r="G12" s="14"/>
      <c r="H12" s="14"/>
      <c r="I12" s="14"/>
      <c r="J12" s="14"/>
      <c r="K12" s="14"/>
      <c r="L12" s="14"/>
      <c r="M12" s="14"/>
      <c r="N12" s="14"/>
      <c r="O12" s="14"/>
      <c r="P12" s="14"/>
      <c r="Q12" s="14"/>
      <c r="R12" s="14"/>
      <c r="S12" s="14"/>
    </row>
    <row r="13">
      <c r="A13" s="11">
        <v>43933</v>
      </c>
      <c r="B13" s="5"/>
      <c r="C13" s="5">
        <v>340.45999999999998</v>
      </c>
      <c r="D13" s="5"/>
      <c r="E13" s="5"/>
      <c r="F13" s="5"/>
      <c r="G13" s="5"/>
      <c r="H13" s="5"/>
      <c r="I13" s="5">
        <v>1250</v>
      </c>
      <c r="J13" s="5"/>
      <c r="K13" s="5"/>
      <c r="L13" s="5"/>
      <c r="M13" s="5"/>
      <c r="N13" s="5"/>
      <c r="O13" s="5"/>
      <c r="P13" s="5"/>
      <c r="Q13" s="5"/>
      <c r="R13" s="5"/>
      <c r="S13" s="5"/>
    </row>
    <row r="14">
      <c r="A14" s="11">
        <v>43934</v>
      </c>
      <c r="B14" s="14"/>
      <c r="C14" s="14">
        <f>102.88+127.7</f>
        <v>230.57999999999998</v>
      </c>
      <c r="D14" s="14"/>
      <c r="E14" s="14"/>
      <c r="F14" s="14"/>
      <c r="G14" s="14"/>
      <c r="H14" s="14"/>
      <c r="I14" s="14"/>
      <c r="J14" s="14"/>
      <c r="K14" s="14"/>
      <c r="L14" s="14">
        <v>127.7</v>
      </c>
      <c r="M14" s="14"/>
      <c r="N14" s="14"/>
      <c r="O14" s="14">
        <v>800</v>
      </c>
      <c r="P14" s="14"/>
      <c r="Q14" s="14"/>
      <c r="R14" s="14"/>
      <c r="S14" s="14"/>
    </row>
    <row r="15">
      <c r="A15" s="11">
        <v>43935</v>
      </c>
      <c r="B15" s="5"/>
      <c r="C15" s="5"/>
      <c r="D15" s="5"/>
      <c r="E15" s="5"/>
      <c r="F15" s="5"/>
      <c r="G15" s="5"/>
      <c r="H15" s="5"/>
      <c r="J15" s="5"/>
      <c r="K15" s="5"/>
      <c r="L15" s="5"/>
      <c r="M15" s="5"/>
      <c r="N15" s="5"/>
      <c r="O15" s="5"/>
      <c r="P15" s="5"/>
      <c r="Q15" s="5"/>
      <c r="R15" s="5"/>
      <c r="S15" s="5"/>
    </row>
    <row r="16">
      <c r="A16" s="11">
        <v>43936</v>
      </c>
      <c r="B16" s="14"/>
      <c r="C16" s="14"/>
      <c r="D16" s="14"/>
      <c r="E16" s="14"/>
      <c r="F16" s="14"/>
      <c r="G16" s="14"/>
      <c r="H16" s="14"/>
      <c r="I16" s="14"/>
      <c r="J16" s="14"/>
      <c r="K16" s="14"/>
      <c r="L16" s="14"/>
      <c r="M16" s="14"/>
      <c r="N16" s="14"/>
      <c r="O16" s="14"/>
      <c r="P16" s="14"/>
      <c r="Q16" s="14"/>
      <c r="R16" s="14"/>
      <c r="S16" s="14"/>
    </row>
    <row r="17">
      <c r="A17" s="11">
        <v>43937</v>
      </c>
      <c r="B17" s="5"/>
      <c r="C17" s="5"/>
      <c r="D17" s="5"/>
      <c r="E17" s="5"/>
      <c r="F17" s="5"/>
      <c r="G17" s="5"/>
      <c r="H17" s="5"/>
      <c r="I17" s="5"/>
      <c r="J17" s="5"/>
      <c r="K17" s="5"/>
      <c r="L17" s="5"/>
      <c r="M17" s="5"/>
      <c r="N17" s="5"/>
      <c r="O17" s="5"/>
      <c r="P17" s="5"/>
      <c r="Q17" s="5"/>
      <c r="R17" s="5"/>
      <c r="S17" s="5"/>
    </row>
    <row r="18">
      <c r="A18" s="11">
        <v>43938</v>
      </c>
      <c r="B18" s="14"/>
      <c r="C18" s="14">
        <v>207.19999999999999</v>
      </c>
      <c r="D18" s="14"/>
      <c r="E18" s="14"/>
      <c r="F18" s="14"/>
      <c r="G18" s="14"/>
      <c r="H18" s="14"/>
      <c r="I18" s="14"/>
      <c r="J18" s="14"/>
      <c r="K18" s="14"/>
      <c r="L18" s="14"/>
      <c r="M18" s="14"/>
      <c r="N18" s="14"/>
      <c r="O18" s="14"/>
      <c r="P18" s="14">
        <v>12.050000000000001</v>
      </c>
      <c r="Q18" s="14"/>
      <c r="R18" s="14"/>
      <c r="S18" s="14"/>
    </row>
    <row r="19">
      <c r="A19" s="11">
        <v>43939</v>
      </c>
      <c r="B19" s="5"/>
      <c r="C19" s="5"/>
      <c r="D19" s="5"/>
      <c r="E19" s="5"/>
      <c r="F19" s="5"/>
      <c r="G19" s="5"/>
      <c r="H19" s="5"/>
      <c r="I19" s="5"/>
      <c r="J19" s="5"/>
      <c r="K19" s="5"/>
      <c r="L19" s="5"/>
      <c r="M19" s="5"/>
      <c r="N19" s="5"/>
      <c r="O19" s="5"/>
      <c r="P19" s="5"/>
      <c r="Q19" s="5"/>
      <c r="R19" s="5"/>
      <c r="S19" s="5"/>
    </row>
    <row r="20">
      <c r="A20" s="11">
        <v>43940</v>
      </c>
      <c r="B20" s="14"/>
      <c r="C20" s="14"/>
      <c r="D20" s="14"/>
      <c r="E20" s="14"/>
      <c r="F20" s="14">
        <v>30</v>
      </c>
      <c r="G20" s="14"/>
      <c r="H20" s="14"/>
      <c r="I20" s="14"/>
      <c r="J20" s="14"/>
      <c r="K20" s="14"/>
      <c r="L20" s="14"/>
      <c r="M20" s="14"/>
      <c r="N20" s="14"/>
      <c r="O20" s="14"/>
      <c r="P20" s="34"/>
      <c r="Q20" s="14"/>
      <c r="R20" s="14"/>
      <c r="S20" s="14"/>
    </row>
    <row r="21">
      <c r="A21" s="11">
        <v>43941</v>
      </c>
      <c r="B21" s="35"/>
      <c r="C21" s="5">
        <f>540.4</f>
        <v>540.39999999999998</v>
      </c>
      <c r="D21" s="5"/>
      <c r="E21" s="5"/>
      <c r="F21" s="5"/>
      <c r="G21" s="5">
        <v>170</v>
      </c>
      <c r="H21" s="5"/>
      <c r="I21" s="5"/>
      <c r="J21" s="5"/>
      <c r="K21" s="5"/>
      <c r="L21" s="5"/>
      <c r="M21" s="5"/>
      <c r="N21" s="5"/>
      <c r="O21" s="5"/>
      <c r="P21" s="5"/>
      <c r="Q21" s="5"/>
      <c r="R21" s="5"/>
      <c r="S21" s="5"/>
    </row>
    <row r="22">
      <c r="A22" s="11">
        <v>43942</v>
      </c>
      <c r="B22" s="14"/>
      <c r="C22" s="14"/>
      <c r="D22" s="14"/>
      <c r="E22" s="14"/>
      <c r="F22" s="14"/>
      <c r="G22" s="14"/>
      <c r="H22" s="14"/>
      <c r="I22" s="14"/>
      <c r="J22" s="14"/>
      <c r="K22" s="14"/>
      <c r="L22" s="14"/>
      <c r="M22" s="14"/>
      <c r="N22" s="14"/>
      <c r="O22" s="14"/>
      <c r="P22" s="14"/>
      <c r="Q22" s="14"/>
      <c r="R22" s="14"/>
      <c r="S22" s="14"/>
    </row>
    <row r="23">
      <c r="A23" s="11">
        <v>43943</v>
      </c>
      <c r="B23" s="5"/>
      <c r="C23" s="5"/>
      <c r="D23" s="5">
        <v>540</v>
      </c>
      <c r="E23" s="5"/>
      <c r="F23" s="5"/>
      <c r="G23" s="5"/>
      <c r="H23" s="5"/>
      <c r="I23" s="5"/>
      <c r="J23" s="5"/>
      <c r="K23" s="5"/>
      <c r="L23" s="5"/>
      <c r="M23" s="5"/>
      <c r="N23" s="5"/>
      <c r="O23" s="5"/>
      <c r="P23" s="5"/>
      <c r="Q23" s="5"/>
      <c r="R23" s="5"/>
      <c r="S23" s="5"/>
    </row>
    <row r="24">
      <c r="A24" s="11">
        <v>43944</v>
      </c>
      <c r="B24" s="14"/>
      <c r="C24" s="14">
        <v>62.32</v>
      </c>
      <c r="D24" s="14"/>
      <c r="E24" s="14"/>
      <c r="F24" s="14"/>
      <c r="G24" s="14"/>
      <c r="H24" s="14"/>
      <c r="I24" s="14"/>
      <c r="J24" s="14"/>
      <c r="K24" s="14"/>
      <c r="L24" s="14"/>
      <c r="M24" s="14"/>
      <c r="N24" s="14"/>
      <c r="O24" s="14"/>
      <c r="P24" s="14"/>
      <c r="Q24" s="14"/>
      <c r="R24" s="14"/>
      <c r="S24" s="14"/>
    </row>
    <row r="25">
      <c r="A25" s="11">
        <v>43945</v>
      </c>
      <c r="C25" s="5"/>
      <c r="D25" s="5"/>
      <c r="E25" s="5"/>
      <c r="F25" s="5"/>
      <c r="G25" s="5"/>
      <c r="H25" s="5"/>
      <c r="I25" s="5"/>
      <c r="J25" s="5"/>
      <c r="K25" s="5"/>
      <c r="L25" s="5"/>
      <c r="M25" s="5"/>
      <c r="N25" s="5"/>
      <c r="O25" s="5"/>
      <c r="P25" s="5"/>
      <c r="Q25" s="5"/>
      <c r="R25" s="5"/>
      <c r="S25" s="5"/>
    </row>
    <row r="26">
      <c r="A26" s="11">
        <v>43946</v>
      </c>
      <c r="B26" s="14"/>
      <c r="C26" s="14">
        <v>63.990000000000002</v>
      </c>
      <c r="D26" s="14">
        <v>430</v>
      </c>
      <c r="E26" s="14"/>
      <c r="F26" s="14"/>
      <c r="G26" s="14"/>
      <c r="H26" s="14"/>
      <c r="I26" s="14"/>
      <c r="J26" s="14"/>
      <c r="K26" s="14"/>
      <c r="L26" s="14"/>
      <c r="M26" s="14"/>
      <c r="N26" s="14"/>
      <c r="O26" s="14"/>
      <c r="P26" s="14"/>
      <c r="Q26" s="14"/>
      <c r="R26" s="14"/>
      <c r="S26" s="14"/>
    </row>
    <row r="27">
      <c r="A27" s="11">
        <v>43947</v>
      </c>
      <c r="B27" s="5"/>
      <c r="C27" s="5"/>
      <c r="D27" s="5"/>
      <c r="E27" s="5"/>
      <c r="F27" s="5"/>
      <c r="G27" s="5"/>
      <c r="H27" s="5"/>
      <c r="I27" s="5"/>
      <c r="J27" s="5"/>
      <c r="K27" s="5"/>
      <c r="L27" s="5"/>
      <c r="M27" s="5"/>
      <c r="N27" s="5"/>
      <c r="O27" s="5"/>
      <c r="P27" s="5"/>
      <c r="Q27" s="5"/>
      <c r="R27" s="5"/>
      <c r="S27" s="5"/>
    </row>
    <row r="28">
      <c r="A28" s="11">
        <v>43948</v>
      </c>
      <c r="B28" s="14"/>
      <c r="C28" s="14"/>
      <c r="D28" s="14"/>
      <c r="E28" s="14"/>
      <c r="F28" s="14"/>
      <c r="G28" s="14"/>
      <c r="H28" s="14"/>
      <c r="I28" s="14"/>
      <c r="J28" s="14"/>
      <c r="K28" s="14"/>
      <c r="L28" s="14"/>
      <c r="M28" s="14"/>
      <c r="N28" s="14"/>
      <c r="O28" s="14"/>
      <c r="P28" s="14"/>
      <c r="Q28" s="14"/>
      <c r="R28" s="14"/>
      <c r="S28" s="14"/>
    </row>
    <row r="29">
      <c r="A29" s="11">
        <v>43949</v>
      </c>
      <c r="B29" s="5"/>
      <c r="C29" s="5">
        <v>112.79000000000001</v>
      </c>
      <c r="D29" s="5">
        <v>235</v>
      </c>
      <c r="E29" s="5"/>
      <c r="F29" s="5"/>
      <c r="G29" s="5"/>
      <c r="H29" s="5"/>
      <c r="I29" s="5"/>
      <c r="J29" s="5"/>
      <c r="K29" s="5">
        <f>8947.16+48.17</f>
        <v>8995.3299999999999</v>
      </c>
      <c r="L29" s="5"/>
      <c r="M29" s="5"/>
      <c r="N29" s="5"/>
      <c r="O29" s="5"/>
      <c r="P29" s="5"/>
      <c r="Q29" s="5"/>
      <c r="R29" s="5"/>
      <c r="S29" s="5"/>
    </row>
    <row r="30">
      <c r="A30" s="11">
        <v>43950</v>
      </c>
      <c r="B30" s="14"/>
      <c r="C30" s="14">
        <f>121.18+19.99</f>
        <v>141.17000000000002</v>
      </c>
      <c r="D30" s="14">
        <v>105</v>
      </c>
      <c r="E30" s="14"/>
      <c r="F30" s="14"/>
      <c r="G30" s="14"/>
      <c r="H30" s="14"/>
      <c r="I30" s="14"/>
      <c r="J30" s="14"/>
      <c r="K30" s="14"/>
      <c r="L30" s="14"/>
      <c r="M30" s="14"/>
      <c r="N30" s="14"/>
      <c r="O30" s="14"/>
      <c r="P30" s="14"/>
      <c r="Q30" s="14"/>
      <c r="R30" s="14"/>
      <c r="S30" s="14"/>
    </row>
    <row r="31">
      <c r="A31" s="11">
        <v>43951</v>
      </c>
      <c r="B31" s="3"/>
      <c r="C31" s="3"/>
      <c r="D31" s="3">
        <v>90</v>
      </c>
      <c r="E31" s="3"/>
      <c r="F31" s="3"/>
      <c r="G31" s="3"/>
      <c r="H31" s="3"/>
      <c r="I31" s="3"/>
      <c r="J31" s="3"/>
      <c r="K31" s="3"/>
      <c r="L31" s="3"/>
      <c r="M31" s="3"/>
      <c r="N31" s="3"/>
      <c r="O31" s="3"/>
      <c r="P31" s="3"/>
      <c r="Q31" s="3"/>
      <c r="R31" s="3"/>
      <c r="S31" s="3"/>
    </row>
    <row r="32">
      <c r="A32" s="7"/>
      <c r="B32" s="7">
        <f t="shared" ref="B32:Q32" si="21">SUM(B2:B31)</f>
        <v>0</v>
      </c>
      <c r="C32" s="7">
        <f t="shared" si="21"/>
        <v>2610.4299999999998</v>
      </c>
      <c r="D32" s="7">
        <f t="shared" si="21"/>
        <v>2177</v>
      </c>
      <c r="E32" s="7">
        <f t="shared" si="21"/>
        <v>80000</v>
      </c>
      <c r="F32" s="7">
        <f t="shared" si="21"/>
        <v>30</v>
      </c>
      <c r="G32" s="7">
        <f t="shared" si="21"/>
        <v>170</v>
      </c>
      <c r="H32" s="7">
        <f t="shared" si="21"/>
        <v>0</v>
      </c>
      <c r="I32" s="7">
        <f t="shared" si="21"/>
        <v>1250</v>
      </c>
      <c r="J32" s="7">
        <f t="shared" si="21"/>
        <v>1079</v>
      </c>
      <c r="K32" s="7">
        <f t="shared" si="21"/>
        <v>9021.3299999999999</v>
      </c>
      <c r="L32" s="7">
        <f t="shared" si="21"/>
        <v>427.69999999999999</v>
      </c>
      <c r="M32" s="7">
        <f t="shared" si="21"/>
        <v>0</v>
      </c>
      <c r="N32" s="7">
        <f t="shared" si="21"/>
        <v>0</v>
      </c>
      <c r="O32" s="7">
        <f t="shared" si="21"/>
        <v>800</v>
      </c>
      <c r="P32" s="7">
        <f t="shared" si="21"/>
        <v>211.05000000000001</v>
      </c>
      <c r="Q32" s="7">
        <f t="shared" si="21"/>
        <v>0</v>
      </c>
      <c r="R32" s="7" t="s">
        <v>14</v>
      </c>
      <c r="S32" s="7">
        <f>SUM(B32:Q32)</f>
        <v>97776.509999999995</v>
      </c>
    </row>
    <row r="33">
      <c r="A33" s="8"/>
      <c r="B33" s="8"/>
      <c r="C33" s="8"/>
      <c r="D33" s="8"/>
      <c r="E33" s="8"/>
      <c r="F33" s="8"/>
      <c r="G33" s="8"/>
      <c r="H33" s="8"/>
      <c r="I33" s="8"/>
      <c r="J33" s="9"/>
      <c r="K33" s="9"/>
      <c r="L33" s="9"/>
      <c r="M33" s="9"/>
      <c r="N33" s="9"/>
      <c r="O33" s="9"/>
      <c r="P33" s="9"/>
      <c r="Q33" s="9"/>
      <c r="R33" s="9"/>
      <c r="S33" s="9"/>
    </row>
    <row r="34">
      <c r="A34" s="10" t="s">
        <v>0</v>
      </c>
      <c r="B34" s="10" t="s">
        <v>15</v>
      </c>
      <c r="C34" s="10" t="s">
        <v>16</v>
      </c>
      <c r="D34" s="10" t="s">
        <v>17</v>
      </c>
      <c r="E34" s="10" t="s">
        <v>18</v>
      </c>
      <c r="F34" s="10" t="s">
        <v>21</v>
      </c>
      <c r="G34" s="10" t="s">
        <v>26</v>
      </c>
      <c r="H34" s="10" t="s">
        <v>27</v>
      </c>
      <c r="I34" s="1"/>
    </row>
    <row r="35">
      <c r="A35" s="11">
        <v>43922</v>
      </c>
      <c r="B35" s="14"/>
      <c r="C35" s="14"/>
      <c r="D35" s="14"/>
      <c r="E35" s="14"/>
      <c r="F35" s="14"/>
      <c r="G35" s="14"/>
      <c r="H35" s="14"/>
      <c r="I35" s="14"/>
      <c r="N35" s="13"/>
      <c r="O35" s="13"/>
      <c r="R35" s="31" t="s">
        <v>40</v>
      </c>
    </row>
    <row r="36">
      <c r="A36" s="11">
        <v>43923</v>
      </c>
      <c r="B36" s="5"/>
      <c r="C36" s="5"/>
      <c r="D36" s="5"/>
      <c r="E36" s="5"/>
      <c r="F36" s="5"/>
      <c r="G36" s="5"/>
      <c r="H36" s="5"/>
      <c r="I36" s="5"/>
      <c r="R36" s="31">
        <f>2030-500</f>
        <v>1530</v>
      </c>
      <c r="S36" s="31" t="s">
        <v>29</v>
      </c>
    </row>
    <row r="37">
      <c r="A37" s="11">
        <v>43924</v>
      </c>
      <c r="B37" s="14"/>
      <c r="C37" s="14"/>
      <c r="D37" s="14"/>
      <c r="E37" s="14"/>
      <c r="F37" s="14"/>
      <c r="G37" s="14"/>
      <c r="H37" s="14"/>
      <c r="I37" s="14"/>
      <c r="R37" s="31">
        <f>21000-344+2039+(23000-23000)-344-344+8164.1-4600-3300+(3000-3000)+80000+2000</f>
        <v>104271.10000000001</v>
      </c>
      <c r="S37" s="31" t="s">
        <v>31</v>
      </c>
    </row>
    <row r="38">
      <c r="A38" s="11">
        <v>43925</v>
      </c>
      <c r="B38" s="5"/>
      <c r="C38" s="5"/>
      <c r="D38" s="5"/>
      <c r="E38" s="5"/>
      <c r="F38" s="5"/>
      <c r="G38" s="5"/>
      <c r="H38" s="5"/>
      <c r="I38" s="5"/>
      <c r="R38" s="31"/>
      <c r="S38" s="31" t="s">
        <v>38</v>
      </c>
    </row>
    <row r="39">
      <c r="A39" s="11">
        <v>43926</v>
      </c>
      <c r="B39" s="14"/>
      <c r="C39" s="14"/>
      <c r="D39" s="14"/>
      <c r="E39" s="14"/>
      <c r="F39" s="14"/>
      <c r="G39" s="14"/>
      <c r="H39" s="14"/>
      <c r="I39" s="14"/>
      <c r="R39" s="31"/>
      <c r="S39" s="31" t="s">
        <v>39</v>
      </c>
    </row>
    <row r="40">
      <c r="A40" s="11">
        <v>43927</v>
      </c>
      <c r="B40" s="5"/>
      <c r="C40" s="5"/>
      <c r="D40" s="5"/>
      <c r="E40" s="5"/>
      <c r="F40" s="5"/>
      <c r="G40" s="5"/>
      <c r="H40" s="5"/>
      <c r="I40" s="5"/>
      <c r="R40" s="31"/>
      <c r="S40" s="31" t="s">
        <v>41</v>
      </c>
    </row>
    <row r="41">
      <c r="A41" s="11">
        <v>43928</v>
      </c>
      <c r="B41" s="14"/>
      <c r="C41" s="14"/>
      <c r="D41" s="14"/>
      <c r="E41" s="14"/>
      <c r="F41" s="14"/>
      <c r="G41" s="14"/>
      <c r="H41" s="14"/>
      <c r="I41" s="14"/>
      <c r="R41" s="31">
        <v>0</v>
      </c>
      <c r="S41" t="s">
        <v>42</v>
      </c>
    </row>
    <row r="42">
      <c r="A42" s="11">
        <v>43929</v>
      </c>
      <c r="B42" s="5"/>
      <c r="C42" s="5"/>
      <c r="D42" s="5"/>
      <c r="E42" s="5"/>
      <c r="F42" s="5"/>
      <c r="G42" s="5"/>
      <c r="H42" s="5"/>
      <c r="I42" s="5"/>
      <c r="R42" s="31"/>
      <c r="S42" t="s">
        <v>23</v>
      </c>
    </row>
    <row r="43">
      <c r="A43" s="11">
        <v>43930</v>
      </c>
      <c r="B43" s="15"/>
      <c r="C43" s="14"/>
      <c r="D43" s="14">
        <v>4000</v>
      </c>
      <c r="E43" s="14"/>
      <c r="F43" s="14"/>
      <c r="G43" s="14"/>
      <c r="H43" s="14"/>
      <c r="I43" s="14"/>
      <c r="R43" s="31"/>
      <c r="S43" t="s">
        <v>46</v>
      </c>
    </row>
    <row r="44">
      <c r="A44" s="11">
        <v>43931</v>
      </c>
      <c r="B44" s="5">
        <v>49660.029999999999</v>
      </c>
      <c r="C44" s="5"/>
      <c r="D44" s="5"/>
      <c r="E44" s="5"/>
      <c r="F44" s="5"/>
      <c r="G44" s="5"/>
      <c r="H44" s="5"/>
      <c r="I44" s="5"/>
    </row>
    <row r="45">
      <c r="A45" s="11">
        <v>43932</v>
      </c>
      <c r="B45" s="14"/>
      <c r="C45" s="14"/>
      <c r="D45" s="14"/>
      <c r="E45" s="14"/>
      <c r="F45" s="14"/>
      <c r="G45" s="14"/>
      <c r="H45" s="14"/>
      <c r="I45" s="14"/>
    </row>
    <row r="46">
      <c r="A46" s="11">
        <v>43933</v>
      </c>
      <c r="B46" s="5"/>
      <c r="C46" s="5"/>
      <c r="D46" s="5"/>
      <c r="E46" s="5"/>
      <c r="F46" s="5"/>
      <c r="G46" s="5"/>
      <c r="H46" s="5"/>
      <c r="I46" s="5"/>
    </row>
    <row r="47">
      <c r="A47" s="11">
        <v>43934</v>
      </c>
      <c r="B47" s="14"/>
      <c r="C47" s="14"/>
      <c r="D47" s="14"/>
      <c r="E47" s="14"/>
      <c r="F47" s="14"/>
      <c r="G47" s="14"/>
      <c r="H47" s="14"/>
      <c r="I47" s="14"/>
    </row>
    <row r="48">
      <c r="A48" s="11">
        <v>43935</v>
      </c>
      <c r="B48" s="5"/>
      <c r="C48" s="5"/>
      <c r="D48" s="5"/>
      <c r="E48" s="5"/>
      <c r="F48" s="5"/>
      <c r="G48" s="5"/>
      <c r="H48" s="5"/>
      <c r="I48" s="5"/>
    </row>
    <row r="49">
      <c r="A49" s="11">
        <v>43936</v>
      </c>
      <c r="B49" s="14"/>
      <c r="C49" s="14"/>
      <c r="D49" s="14"/>
      <c r="E49" s="14"/>
      <c r="F49" s="14"/>
      <c r="G49" s="14"/>
      <c r="H49" s="14"/>
      <c r="I49" s="14"/>
    </row>
    <row r="50">
      <c r="A50" s="11">
        <v>43937</v>
      </c>
      <c r="B50" s="5"/>
      <c r="C50" s="5"/>
      <c r="D50" s="5"/>
      <c r="E50" s="5"/>
      <c r="F50" s="5"/>
      <c r="G50" s="5"/>
      <c r="H50" s="5"/>
      <c r="I50" s="5"/>
    </row>
    <row r="51">
      <c r="A51" s="11">
        <v>43938</v>
      </c>
      <c r="B51" s="14"/>
      <c r="C51" s="14"/>
      <c r="D51" s="14"/>
      <c r="E51" s="14"/>
      <c r="F51" s="14"/>
      <c r="G51" s="14"/>
      <c r="H51" s="14"/>
      <c r="I51" s="14"/>
    </row>
    <row r="52">
      <c r="A52" s="11">
        <v>43939</v>
      </c>
      <c r="B52" s="5"/>
      <c r="C52" s="5"/>
      <c r="D52" s="5"/>
      <c r="E52" s="5"/>
      <c r="F52" s="5"/>
      <c r="G52" s="5"/>
      <c r="H52" s="5"/>
      <c r="I52" s="5"/>
    </row>
    <row r="53">
      <c r="A53" s="11">
        <v>43940</v>
      </c>
      <c r="B53" s="14"/>
      <c r="C53" s="14"/>
      <c r="D53" s="14"/>
      <c r="E53" s="14"/>
      <c r="F53" s="14"/>
      <c r="G53" s="14"/>
      <c r="H53" s="14"/>
      <c r="I53" s="14"/>
    </row>
    <row r="54">
      <c r="A54" s="11">
        <v>43941</v>
      </c>
      <c r="B54" s="5"/>
      <c r="C54" s="5"/>
      <c r="D54" s="5"/>
      <c r="E54" s="5"/>
      <c r="F54" s="5"/>
      <c r="G54" s="5"/>
      <c r="H54" s="5"/>
      <c r="I54" s="5"/>
    </row>
    <row r="55">
      <c r="A55" s="11">
        <v>43942</v>
      </c>
      <c r="B55" s="14"/>
      <c r="C55" s="14"/>
      <c r="D55" s="14"/>
      <c r="E55" s="14"/>
      <c r="F55" s="14"/>
      <c r="G55" s="14"/>
      <c r="H55" s="14"/>
      <c r="I55" s="14"/>
    </row>
    <row r="56">
      <c r="A56" s="11">
        <v>43943</v>
      </c>
      <c r="B56" s="5"/>
      <c r="C56" s="5"/>
      <c r="D56" s="5"/>
      <c r="E56" s="5"/>
      <c r="F56" s="5"/>
      <c r="G56" s="5"/>
      <c r="H56" s="5"/>
      <c r="I56" s="5"/>
    </row>
    <row r="57">
      <c r="A57" s="11">
        <v>43944</v>
      </c>
      <c r="B57" s="14">
        <v>15988.01</v>
      </c>
      <c r="C57" s="14"/>
      <c r="D57" s="14"/>
      <c r="E57" s="14"/>
      <c r="F57" s="14"/>
      <c r="G57" s="14"/>
      <c r="H57" s="14"/>
      <c r="I57" s="14"/>
    </row>
    <row r="58">
      <c r="A58" s="11">
        <v>43945</v>
      </c>
      <c r="B58" s="5">
        <v>6400</v>
      </c>
      <c r="C58" s="5"/>
      <c r="D58" s="5"/>
      <c r="E58" s="5"/>
      <c r="F58" s="5"/>
      <c r="G58" s="5"/>
      <c r="H58" s="5"/>
      <c r="I58" s="5"/>
    </row>
    <row r="59">
      <c r="A59" s="11">
        <v>43946</v>
      </c>
      <c r="B59" s="14"/>
      <c r="C59" s="14"/>
      <c r="D59" s="14"/>
      <c r="E59" s="14"/>
      <c r="F59" s="14"/>
      <c r="G59" s="14"/>
      <c r="H59" s="14"/>
      <c r="I59" s="14"/>
    </row>
    <row r="60">
      <c r="A60" s="11">
        <v>43947</v>
      </c>
      <c r="B60" s="5"/>
      <c r="C60" s="5"/>
      <c r="D60" s="5"/>
      <c r="E60" s="5"/>
      <c r="F60" s="5"/>
      <c r="G60" s="5"/>
      <c r="H60" s="5"/>
      <c r="I60" s="5"/>
    </row>
    <row r="61">
      <c r="A61" s="11">
        <v>43948</v>
      </c>
      <c r="B61" s="14"/>
      <c r="C61" s="14"/>
      <c r="D61" s="14"/>
      <c r="E61" s="14"/>
      <c r="F61" s="14"/>
      <c r="G61" s="14"/>
      <c r="H61" s="14"/>
      <c r="I61" s="14"/>
    </row>
    <row r="62">
      <c r="A62" s="11">
        <v>43949</v>
      </c>
      <c r="B62" s="5"/>
      <c r="C62" s="5"/>
      <c r="D62" s="5"/>
      <c r="E62" s="5"/>
      <c r="F62" s="5"/>
      <c r="G62" s="5"/>
      <c r="H62" s="5"/>
      <c r="I62" s="5"/>
    </row>
    <row r="63">
      <c r="A63" s="11">
        <v>43950</v>
      </c>
      <c r="B63" s="14"/>
      <c r="C63" s="14"/>
      <c r="D63" s="14"/>
      <c r="E63" s="14"/>
      <c r="F63" s="14"/>
      <c r="G63" s="14"/>
      <c r="H63" s="14"/>
      <c r="I63" s="14"/>
    </row>
    <row r="64">
      <c r="A64" s="11">
        <v>43951</v>
      </c>
      <c r="B64" s="3"/>
      <c r="C64" s="3"/>
      <c r="D64" s="3"/>
      <c r="E64" s="3">
        <v>168.81</v>
      </c>
      <c r="F64" s="3"/>
      <c r="G64" s="3"/>
      <c r="H64" s="3"/>
      <c r="I64" s="3"/>
    </row>
    <row r="65">
      <c r="A65" s="7"/>
      <c r="B65" s="7">
        <f t="shared" ref="B65:H65" si="22">SUM(B35:B64)</f>
        <v>72048.039999999994</v>
      </c>
      <c r="C65" s="7">
        <f t="shared" si="22"/>
        <v>0</v>
      </c>
      <c r="D65" s="7">
        <f t="shared" si="22"/>
        <v>4000</v>
      </c>
      <c r="E65" s="7">
        <f t="shared" si="22"/>
        <v>168.81</v>
      </c>
      <c r="F65" s="7">
        <f t="shared" si="22"/>
        <v>0</v>
      </c>
      <c r="G65" s="7">
        <f t="shared" si="22"/>
        <v>0</v>
      </c>
      <c r="H65" s="7">
        <f t="shared" si="22"/>
        <v>0</v>
      </c>
      <c r="I65" s="7">
        <f>SUM(B65:H65)</f>
        <v>76216.849999999991</v>
      </c>
      <c r="R65" s="33">
        <f>SUM(R36:R64)</f>
        <v>105801.10000000001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S33" activeCellId="0" sqref="S33"/>
    </sheetView>
  </sheetViews>
  <sheetFormatPr defaultRowHeight="14.25"/>
  <cols>
    <col bestFit="1" customWidth="1" min="1" max="1" width="14.8554687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
      <c r="R1" s="1"/>
      <c r="S1" s="1"/>
    </row>
    <row r="2">
      <c r="A2" s="11">
        <v>43952</v>
      </c>
      <c r="B2" s="14"/>
      <c r="C2" s="14"/>
      <c r="D2" s="14"/>
      <c r="E2" s="14"/>
      <c r="F2" s="14"/>
      <c r="G2" s="14"/>
      <c r="H2" s="14"/>
      <c r="I2" s="14"/>
      <c r="J2" s="14"/>
      <c r="K2" s="14">
        <v>409</v>
      </c>
      <c r="L2" s="14"/>
      <c r="M2" s="14"/>
      <c r="N2" s="14"/>
      <c r="O2" s="14"/>
      <c r="P2" s="14"/>
      <c r="Q2" s="14"/>
      <c r="R2" s="14"/>
      <c r="S2" s="14"/>
    </row>
    <row r="3">
      <c r="A3" s="11">
        <v>43953</v>
      </c>
      <c r="B3" s="5"/>
      <c r="C3" s="5">
        <f>64.9+136.7</f>
        <v>201.59999999999999</v>
      </c>
      <c r="D3" s="5">
        <v>98</v>
      </c>
      <c r="E3" s="5"/>
      <c r="F3" s="5"/>
      <c r="G3" s="5"/>
      <c r="H3" s="5"/>
      <c r="I3" s="5"/>
      <c r="J3" s="5">
        <v>245</v>
      </c>
      <c r="K3" s="5"/>
      <c r="L3" s="5"/>
      <c r="M3" s="5"/>
      <c r="N3" s="5"/>
      <c r="O3" s="5"/>
      <c r="P3" s="5"/>
      <c r="Q3" s="5"/>
      <c r="R3" s="5"/>
      <c r="S3" s="5"/>
    </row>
    <row r="4">
      <c r="A4" s="11">
        <v>43954</v>
      </c>
      <c r="B4" s="14"/>
      <c r="C4" s="14"/>
      <c r="D4" s="14"/>
      <c r="E4" s="14"/>
      <c r="F4" s="14"/>
      <c r="G4" s="14"/>
      <c r="H4" s="14"/>
      <c r="I4" s="14"/>
      <c r="J4" s="14"/>
      <c r="K4" s="14"/>
      <c r="L4" s="14"/>
      <c r="M4" s="14"/>
      <c r="N4" s="14"/>
      <c r="O4" s="14"/>
      <c r="P4" s="14"/>
      <c r="Q4" s="14"/>
      <c r="R4" s="14"/>
      <c r="S4" s="14"/>
    </row>
    <row r="5">
      <c r="A5" s="11">
        <v>43955</v>
      </c>
      <c r="B5" s="5"/>
      <c r="C5" s="5"/>
      <c r="D5" s="5"/>
      <c r="E5" s="5"/>
      <c r="F5" s="5"/>
      <c r="G5" s="5"/>
      <c r="H5" s="5"/>
      <c r="I5" s="5"/>
      <c r="J5" s="5"/>
      <c r="K5" s="5"/>
      <c r="L5" s="5"/>
      <c r="M5" s="5"/>
      <c r="N5" s="5"/>
      <c r="O5" s="5"/>
      <c r="P5" s="5"/>
      <c r="Q5" s="5"/>
      <c r="R5" s="5"/>
      <c r="S5" s="5"/>
    </row>
    <row r="6">
      <c r="A6" s="11">
        <v>43956</v>
      </c>
      <c r="B6" s="14">
        <v>40</v>
      </c>
      <c r="C6" s="14">
        <v>211.30000000000001</v>
      </c>
      <c r="D6" s="14">
        <v>550</v>
      </c>
      <c r="E6" s="14"/>
      <c r="F6" s="14"/>
      <c r="G6" s="14"/>
      <c r="H6" s="14"/>
      <c r="I6" s="14"/>
      <c r="J6" s="14"/>
      <c r="K6" s="14"/>
      <c r="L6" s="14"/>
      <c r="M6" s="14"/>
      <c r="N6" s="14"/>
      <c r="O6" s="14"/>
      <c r="P6" s="14"/>
      <c r="Q6" s="14"/>
      <c r="R6" s="14"/>
      <c r="S6" s="14"/>
    </row>
    <row r="7">
      <c r="A7" s="11">
        <v>43957</v>
      </c>
      <c r="B7" s="5"/>
      <c r="C7" s="5">
        <v>64.989999999999995</v>
      </c>
      <c r="D7" s="5"/>
      <c r="E7" s="5"/>
      <c r="F7" s="5"/>
      <c r="G7" s="5"/>
      <c r="H7" s="5"/>
      <c r="I7" s="5"/>
      <c r="J7" s="5"/>
      <c r="K7" s="5"/>
      <c r="L7" s="5"/>
      <c r="M7" s="5">
        <v>260</v>
      </c>
      <c r="N7" s="5"/>
      <c r="O7" s="5"/>
      <c r="P7" s="5"/>
      <c r="Q7" s="5"/>
      <c r="R7" s="5"/>
      <c r="S7" s="5"/>
    </row>
    <row r="8">
      <c r="A8" s="11">
        <v>43958</v>
      </c>
      <c r="B8" s="14"/>
      <c r="C8" s="14">
        <v>603.72000000000003</v>
      </c>
      <c r="D8" s="14">
        <v>200</v>
      </c>
      <c r="E8" s="14">
        <f>5500-5000</f>
        <v>500</v>
      </c>
      <c r="F8" s="14"/>
      <c r="G8" s="14"/>
      <c r="H8" s="14"/>
      <c r="I8" s="14">
        <v>50</v>
      </c>
      <c r="J8" s="14"/>
      <c r="K8" s="14"/>
      <c r="L8" s="14"/>
      <c r="M8" s="14"/>
      <c r="N8" s="14"/>
      <c r="O8" s="14"/>
      <c r="P8" s="14"/>
      <c r="Q8" s="14"/>
      <c r="R8" s="14"/>
      <c r="S8" s="14"/>
    </row>
    <row r="9">
      <c r="A9" s="11">
        <v>43959</v>
      </c>
      <c r="B9" s="5"/>
      <c r="C9" s="5"/>
      <c r="D9" s="5">
        <v>210</v>
      </c>
      <c r="E9" s="5"/>
      <c r="F9" s="5"/>
      <c r="G9" s="5"/>
      <c r="H9" s="5"/>
      <c r="I9" s="5"/>
      <c r="J9" s="5"/>
      <c r="K9" s="5"/>
      <c r="L9" s="5"/>
      <c r="M9" s="5"/>
      <c r="N9" s="5"/>
      <c r="O9" s="5"/>
      <c r="P9" s="5"/>
      <c r="Q9" s="5"/>
      <c r="R9" s="5"/>
      <c r="S9" s="5"/>
    </row>
    <row r="10">
      <c r="A10" s="11">
        <v>43960</v>
      </c>
      <c r="B10" s="14"/>
      <c r="C10" s="14"/>
      <c r="D10" s="14"/>
      <c r="E10" s="14">
        <f>1750-2000</f>
        <v>-250</v>
      </c>
      <c r="F10" s="14"/>
      <c r="G10" s="14"/>
      <c r="H10" s="14"/>
      <c r="I10" s="14"/>
      <c r="J10" s="14"/>
      <c r="K10" s="14"/>
      <c r="L10" s="14"/>
      <c r="M10" s="14"/>
      <c r="N10" s="14"/>
      <c r="O10" s="14"/>
      <c r="P10" s="14"/>
      <c r="Q10" s="14"/>
      <c r="R10" s="14"/>
      <c r="S10" s="14"/>
    </row>
    <row r="11">
      <c r="A11" s="11">
        <v>43961</v>
      </c>
      <c r="B11" s="5"/>
      <c r="C11" s="5"/>
      <c r="D11" s="5"/>
      <c r="E11" s="5"/>
      <c r="F11" s="5"/>
      <c r="G11" s="5"/>
      <c r="H11" s="5"/>
      <c r="I11" s="5"/>
      <c r="J11" s="5"/>
      <c r="K11" s="5"/>
      <c r="L11" s="5"/>
      <c r="M11" s="5"/>
      <c r="N11" s="5"/>
      <c r="O11" s="5"/>
      <c r="P11" s="5">
        <v>199</v>
      </c>
      <c r="Q11" s="5"/>
      <c r="R11" s="5"/>
      <c r="S11" s="5"/>
    </row>
    <row r="12">
      <c r="A12" s="11">
        <v>43962</v>
      </c>
      <c r="B12" s="14"/>
      <c r="C12" s="14">
        <f>164.9+64</f>
        <v>228.90000000000001</v>
      </c>
      <c r="D12" s="14"/>
      <c r="E12" s="14"/>
      <c r="F12" s="14"/>
      <c r="G12" s="14"/>
      <c r="H12" s="14"/>
      <c r="I12" s="14"/>
      <c r="J12" s="14"/>
      <c r="K12" s="14"/>
      <c r="L12" s="14"/>
      <c r="M12" s="14"/>
      <c r="N12" s="14"/>
      <c r="O12" s="14"/>
      <c r="P12" s="14"/>
      <c r="Q12" s="14"/>
      <c r="R12" s="14"/>
      <c r="S12" s="14"/>
    </row>
    <row r="13">
      <c r="A13" s="11">
        <v>43963</v>
      </c>
      <c r="B13" s="5"/>
      <c r="C13" s="5">
        <v>335.88999999999999</v>
      </c>
      <c r="D13" s="5">
        <v>424</v>
      </c>
      <c r="E13" s="5"/>
      <c r="F13" s="5"/>
      <c r="G13" s="5"/>
      <c r="H13" s="5">
        <f>399+400</f>
        <v>799</v>
      </c>
      <c r="I13" s="5"/>
      <c r="J13" s="5"/>
      <c r="K13" s="5"/>
      <c r="L13" s="5"/>
      <c r="M13" s="5"/>
      <c r="N13" s="5"/>
      <c r="O13" s="5"/>
      <c r="P13" s="5"/>
      <c r="Q13" s="5"/>
      <c r="R13" s="5"/>
      <c r="S13" s="5"/>
    </row>
    <row r="14">
      <c r="A14" s="11">
        <v>43964</v>
      </c>
      <c r="B14" s="14"/>
      <c r="C14" s="14"/>
      <c r="D14" s="14"/>
      <c r="E14" s="14"/>
      <c r="F14" s="14"/>
      <c r="G14" s="14"/>
      <c r="H14" s="14"/>
      <c r="I14" s="14"/>
      <c r="J14" s="14"/>
      <c r="K14" s="14"/>
      <c r="L14" s="14"/>
      <c r="M14" s="14"/>
      <c r="N14" s="14"/>
      <c r="O14" s="14"/>
      <c r="P14" s="14"/>
      <c r="Q14" s="14"/>
      <c r="R14" s="14"/>
      <c r="S14" s="14"/>
    </row>
    <row r="15">
      <c r="A15" s="11">
        <v>43965</v>
      </c>
      <c r="B15" s="5"/>
      <c r="C15" s="5">
        <v>204.16999999999999</v>
      </c>
      <c r="D15" s="5"/>
      <c r="E15" s="5"/>
      <c r="F15" s="5"/>
      <c r="G15" s="5"/>
      <c r="H15" s="5"/>
      <c r="J15" s="5"/>
      <c r="K15" s="5"/>
      <c r="L15" s="5"/>
      <c r="M15" s="5"/>
      <c r="N15" s="5"/>
      <c r="O15" s="5"/>
      <c r="P15" s="5"/>
      <c r="Q15" s="5"/>
      <c r="R15" s="5"/>
      <c r="S15" s="5"/>
    </row>
    <row r="16">
      <c r="A16" s="11">
        <v>43966</v>
      </c>
      <c r="B16" s="14"/>
      <c r="C16" s="14"/>
      <c r="D16" s="14"/>
      <c r="E16" s="14"/>
      <c r="F16" s="14"/>
      <c r="G16" s="14"/>
      <c r="H16" s="14"/>
      <c r="I16" s="14"/>
      <c r="J16" s="14"/>
      <c r="K16" s="14"/>
      <c r="L16" s="14"/>
      <c r="M16" s="14"/>
      <c r="N16" s="14"/>
      <c r="O16" s="14"/>
      <c r="P16" s="14"/>
      <c r="Q16" s="14"/>
      <c r="R16" s="14"/>
      <c r="S16" s="14"/>
    </row>
    <row r="17">
      <c r="A17" s="11">
        <v>43967</v>
      </c>
      <c r="B17" s="5"/>
      <c r="C17" s="5">
        <v>101.25</v>
      </c>
      <c r="D17" s="5">
        <v>150</v>
      </c>
      <c r="E17" s="5"/>
      <c r="F17" s="5"/>
      <c r="G17" s="5"/>
      <c r="H17" s="5"/>
      <c r="I17" s="5"/>
      <c r="J17" s="5"/>
      <c r="K17" s="5"/>
      <c r="L17" s="5"/>
      <c r="M17" s="5"/>
      <c r="N17" s="5"/>
      <c r="O17" s="5"/>
      <c r="P17" s="5"/>
      <c r="Q17" s="5"/>
      <c r="R17" s="5"/>
      <c r="S17" s="5"/>
    </row>
    <row r="18">
      <c r="A18" s="11">
        <v>43968</v>
      </c>
      <c r="B18" s="14"/>
      <c r="C18" s="14"/>
      <c r="D18" s="14"/>
      <c r="E18" s="14"/>
      <c r="F18" s="14"/>
      <c r="G18" s="14"/>
      <c r="H18" s="14"/>
      <c r="I18" s="14"/>
      <c r="J18" s="14"/>
      <c r="K18" s="14"/>
      <c r="L18" s="14"/>
      <c r="M18" s="14"/>
      <c r="N18" s="14"/>
      <c r="O18" s="14"/>
      <c r="P18" s="14"/>
      <c r="Q18" s="14"/>
      <c r="R18" s="14"/>
      <c r="S18" s="14"/>
    </row>
    <row r="19">
      <c r="A19" s="11">
        <v>43969</v>
      </c>
      <c r="B19" s="5"/>
      <c r="C19" s="5"/>
      <c r="D19" s="5"/>
      <c r="E19" s="5"/>
      <c r="F19" s="5"/>
      <c r="G19" s="5"/>
      <c r="H19" s="5"/>
      <c r="I19" s="5"/>
      <c r="J19" s="5"/>
      <c r="K19" s="5"/>
      <c r="L19" s="5"/>
      <c r="M19" s="5"/>
      <c r="N19" s="5"/>
      <c r="O19" s="5"/>
      <c r="P19" s="5"/>
      <c r="Q19" s="5"/>
      <c r="R19" s="5"/>
      <c r="S19" s="5"/>
    </row>
    <row r="20">
      <c r="A20" s="11">
        <v>43970</v>
      </c>
      <c r="B20" s="14"/>
      <c r="C20" s="14"/>
      <c r="D20" s="14"/>
      <c r="E20" s="14"/>
      <c r="F20" s="14"/>
      <c r="G20" s="14"/>
      <c r="H20" s="14"/>
      <c r="I20" s="14"/>
      <c r="J20" s="14"/>
      <c r="K20" s="14"/>
      <c r="L20" s="14"/>
      <c r="M20" s="14"/>
      <c r="N20" s="14"/>
      <c r="O20" s="14"/>
      <c r="P20" s="34"/>
      <c r="Q20" s="14"/>
      <c r="R20" s="14"/>
      <c r="S20" s="14"/>
    </row>
    <row r="21">
      <c r="A21" s="11">
        <v>43971</v>
      </c>
      <c r="B21" s="35"/>
      <c r="C21" s="5">
        <f>49.9+406.1+240.9</f>
        <v>696.89999999999998</v>
      </c>
      <c r="D21" s="5"/>
      <c r="E21" s="5"/>
      <c r="F21" s="5"/>
      <c r="G21" s="5"/>
      <c r="H21" s="5"/>
      <c r="I21" s="5"/>
      <c r="J21" s="5"/>
      <c r="K21" s="5"/>
      <c r="L21" s="5"/>
      <c r="M21" s="5"/>
      <c r="N21" s="5"/>
      <c r="O21" s="5"/>
      <c r="P21" s="5"/>
      <c r="Q21" s="5"/>
      <c r="R21" s="5"/>
      <c r="S21" s="5"/>
    </row>
    <row r="22">
      <c r="A22" s="11">
        <v>43972</v>
      </c>
      <c r="B22" s="14"/>
      <c r="C22" s="36">
        <f>22.99+45.98</f>
        <v>68.969999999999999</v>
      </c>
      <c r="D22" s="36">
        <v>290</v>
      </c>
      <c r="E22" s="14"/>
      <c r="F22" s="14"/>
      <c r="G22" s="14"/>
      <c r="H22" s="14"/>
      <c r="I22" s="14"/>
      <c r="J22" s="14"/>
      <c r="K22" s="14"/>
      <c r="L22" s="14">
        <v>1900</v>
      </c>
      <c r="M22" s="14"/>
      <c r="N22" s="14"/>
      <c r="O22" s="14"/>
      <c r="P22" s="14"/>
      <c r="Q22" s="14"/>
      <c r="R22" s="14"/>
      <c r="S22" s="14"/>
    </row>
    <row r="23">
      <c r="A23" s="11">
        <v>43973</v>
      </c>
      <c r="B23" s="5"/>
      <c r="D23">
        <v>100</v>
      </c>
      <c r="E23" s="5"/>
      <c r="F23" s="5"/>
      <c r="G23" s="5"/>
      <c r="H23" s="5"/>
      <c r="I23" s="5"/>
      <c r="J23" s="5"/>
      <c r="K23" s="5"/>
      <c r="L23" s="5"/>
      <c r="M23" s="5"/>
      <c r="N23" s="5"/>
      <c r="O23" s="5"/>
      <c r="P23" s="5"/>
      <c r="Q23" s="5"/>
      <c r="R23" s="5"/>
      <c r="S23" s="5"/>
    </row>
    <row r="24">
      <c r="A24" s="11">
        <v>43974</v>
      </c>
      <c r="B24" s="14"/>
      <c r="C24" s="14">
        <v>31.870000000000001</v>
      </c>
      <c r="D24" s="14"/>
      <c r="E24" s="14"/>
      <c r="F24" s="14"/>
      <c r="G24" s="14"/>
      <c r="H24" s="14"/>
      <c r="I24" s="14"/>
      <c r="J24" s="14"/>
      <c r="K24" s="14"/>
      <c r="L24" s="14"/>
      <c r="M24" s="14"/>
      <c r="N24" s="14"/>
      <c r="O24" s="14"/>
      <c r="P24" s="14"/>
      <c r="Q24" s="14"/>
      <c r="R24" s="14"/>
      <c r="S24" s="14"/>
    </row>
    <row r="25">
      <c r="A25" s="11">
        <v>43975</v>
      </c>
      <c r="C25" s="5"/>
      <c r="D25" s="5"/>
      <c r="E25" s="5"/>
      <c r="F25" s="5"/>
      <c r="G25" s="5"/>
      <c r="H25" s="5"/>
      <c r="I25" s="5"/>
      <c r="J25" s="5"/>
      <c r="K25" s="5"/>
      <c r="L25" s="5"/>
      <c r="M25" s="5"/>
      <c r="N25" s="5"/>
      <c r="O25" s="5"/>
      <c r="P25" s="5"/>
      <c r="Q25" s="5"/>
      <c r="R25" s="5"/>
      <c r="S25" s="5"/>
    </row>
    <row r="26">
      <c r="A26" s="11">
        <v>43976</v>
      </c>
      <c r="B26" s="14"/>
      <c r="C26" s="14">
        <v>19.989999999999998</v>
      </c>
      <c r="D26" s="14">
        <v>305</v>
      </c>
      <c r="E26" s="14"/>
      <c r="F26" s="14"/>
      <c r="G26" s="14"/>
      <c r="H26" s="14"/>
      <c r="I26" s="14"/>
      <c r="J26" s="14"/>
      <c r="K26" s="14">
        <v>11214.5</v>
      </c>
      <c r="L26" s="14"/>
      <c r="M26" s="14"/>
      <c r="N26" s="14"/>
      <c r="O26" s="14"/>
      <c r="P26" s="14"/>
      <c r="Q26" s="14"/>
      <c r="R26" s="14"/>
      <c r="S26" s="14"/>
    </row>
    <row r="27">
      <c r="A27" s="11">
        <v>43977</v>
      </c>
      <c r="B27" s="5"/>
      <c r="C27" s="5">
        <v>293.99000000000001</v>
      </c>
      <c r="D27" s="5"/>
      <c r="E27" s="5"/>
      <c r="F27" s="5"/>
      <c r="G27" s="5"/>
      <c r="H27" s="5"/>
      <c r="I27" s="5"/>
      <c r="J27" s="5"/>
      <c r="K27" s="5"/>
      <c r="L27" s="5"/>
      <c r="M27" s="5"/>
      <c r="N27" s="5"/>
      <c r="O27" s="5"/>
      <c r="P27" s="5"/>
      <c r="Q27" s="5"/>
      <c r="R27" s="5"/>
      <c r="S27" s="5"/>
    </row>
    <row r="28">
      <c r="A28" s="11">
        <v>43978</v>
      </c>
      <c r="B28" s="14">
        <v>20</v>
      </c>
      <c r="C28" s="14"/>
      <c r="D28" s="14"/>
      <c r="E28" s="14"/>
      <c r="F28" s="14"/>
      <c r="G28" s="14"/>
      <c r="H28" s="14"/>
      <c r="I28" s="14"/>
      <c r="J28" s="14"/>
      <c r="K28" s="14"/>
      <c r="L28" s="14"/>
      <c r="M28" s="14"/>
      <c r="N28" s="14"/>
      <c r="O28" s="14"/>
      <c r="P28" s="14"/>
      <c r="Q28" s="14"/>
      <c r="R28" s="14"/>
      <c r="S28" s="14"/>
    </row>
    <row r="29">
      <c r="A29" s="11">
        <v>43979</v>
      </c>
      <c r="B29" s="5"/>
      <c r="C29" s="5"/>
      <c r="D29" s="5"/>
      <c r="E29" s="5"/>
      <c r="F29" s="5"/>
      <c r="G29" s="5"/>
      <c r="H29" s="5"/>
      <c r="I29" s="5"/>
      <c r="J29" s="5"/>
      <c r="K29" s="5"/>
      <c r="L29" s="5"/>
      <c r="M29" s="5"/>
      <c r="N29" s="5"/>
      <c r="O29" s="5"/>
      <c r="P29" s="5"/>
      <c r="Q29" s="5"/>
      <c r="R29" s="5"/>
      <c r="S29" s="5"/>
    </row>
    <row r="30">
      <c r="A30" s="11">
        <v>43980</v>
      </c>
      <c r="B30" s="14"/>
      <c r="C30" s="14">
        <f>130+41.2+103.5+236.98</f>
        <v>511.67999999999995</v>
      </c>
      <c r="D30" s="14"/>
      <c r="E30" s="14"/>
      <c r="F30" s="14"/>
      <c r="G30" s="14"/>
      <c r="H30" s="14"/>
      <c r="I30" s="14"/>
      <c r="J30" s="14"/>
      <c r="K30" s="14"/>
      <c r="L30" s="14"/>
      <c r="M30" s="14"/>
      <c r="N30" s="14"/>
      <c r="O30" s="14"/>
      <c r="P30" s="14"/>
      <c r="Q30" s="14"/>
      <c r="R30" s="14"/>
      <c r="S30" s="14"/>
    </row>
    <row r="31">
      <c r="A31" s="11">
        <v>43981</v>
      </c>
      <c r="B31" s="3"/>
      <c r="C31" s="3">
        <v>275.36000000000001</v>
      </c>
      <c r="D31" s="3"/>
      <c r="E31" s="3"/>
      <c r="F31" s="3"/>
      <c r="G31" s="3"/>
      <c r="H31" s="3"/>
      <c r="I31" s="3"/>
      <c r="J31" s="3"/>
      <c r="K31" s="3"/>
      <c r="L31" s="3"/>
      <c r="M31" s="3"/>
      <c r="N31" s="3"/>
      <c r="O31" s="3"/>
      <c r="P31" s="3"/>
      <c r="Q31" s="3"/>
      <c r="R31" s="3"/>
      <c r="S31" s="3"/>
    </row>
    <row r="32">
      <c r="A32" s="11">
        <v>43982</v>
      </c>
      <c r="B32" s="22">
        <f>20+20+121</f>
        <v>161</v>
      </c>
      <c r="C32" s="22"/>
      <c r="D32" s="22"/>
      <c r="E32" s="22"/>
      <c r="F32" s="22"/>
      <c r="G32" s="22"/>
      <c r="H32" s="22"/>
      <c r="I32" s="22"/>
      <c r="J32" s="22"/>
      <c r="K32" s="22"/>
      <c r="L32" s="22"/>
      <c r="M32" s="22"/>
      <c r="N32" s="22"/>
      <c r="O32" s="22"/>
      <c r="P32" s="22"/>
      <c r="Q32" s="22"/>
      <c r="R32" s="22"/>
      <c r="S32" s="22"/>
    </row>
    <row r="33">
      <c r="A33" s="7"/>
      <c r="B33" s="7">
        <f>SUM(B2:B32)</f>
        <v>221</v>
      </c>
      <c r="C33" s="7">
        <f t="shared" ref="C33:Q33" si="23">SUM(C2:C32)</f>
        <v>3850.5799999999999</v>
      </c>
      <c r="D33" s="7">
        <f t="shared" si="23"/>
        <v>2327</v>
      </c>
      <c r="E33" s="7">
        <f t="shared" si="23"/>
        <v>250</v>
      </c>
      <c r="F33" s="7">
        <f t="shared" si="23"/>
        <v>0</v>
      </c>
      <c r="G33" s="7">
        <f t="shared" si="23"/>
        <v>0</v>
      </c>
      <c r="H33" s="7">
        <f t="shared" si="23"/>
        <v>799</v>
      </c>
      <c r="I33" s="7">
        <f t="shared" si="23"/>
        <v>50</v>
      </c>
      <c r="J33" s="7">
        <f t="shared" si="23"/>
        <v>245</v>
      </c>
      <c r="K33" s="7">
        <f t="shared" si="23"/>
        <v>11623.5</v>
      </c>
      <c r="L33" s="7">
        <f t="shared" si="23"/>
        <v>1900</v>
      </c>
      <c r="M33" s="7">
        <f t="shared" si="23"/>
        <v>260</v>
      </c>
      <c r="N33" s="7">
        <f t="shared" si="23"/>
        <v>0</v>
      </c>
      <c r="O33" s="7">
        <f t="shared" si="23"/>
        <v>0</v>
      </c>
      <c r="P33" s="7">
        <f t="shared" si="23"/>
        <v>199</v>
      </c>
      <c r="Q33" s="7">
        <f t="shared" si="23"/>
        <v>0</v>
      </c>
      <c r="R33" s="7" t="s">
        <v>14</v>
      </c>
      <c r="S33" s="7">
        <f>SUM(B33:Q33)</f>
        <v>21725.080000000002</v>
      </c>
    </row>
    <row r="34">
      <c r="A34" s="8"/>
      <c r="B34" s="8"/>
      <c r="C34" s="8"/>
      <c r="D34" s="8"/>
      <c r="E34" s="8"/>
      <c r="F34" s="8"/>
      <c r="G34" s="8"/>
      <c r="H34" s="8"/>
      <c r="I34" s="8"/>
      <c r="J34" s="9"/>
      <c r="K34" s="9"/>
      <c r="L34" s="9"/>
      <c r="M34" s="9"/>
      <c r="N34" s="9"/>
      <c r="O34" s="9"/>
      <c r="P34" s="9"/>
      <c r="Q34" s="9"/>
      <c r="R34" s="9"/>
      <c r="S34" s="9"/>
    </row>
    <row r="35">
      <c r="A35" s="10" t="s">
        <v>0</v>
      </c>
      <c r="B35" s="10" t="s">
        <v>15</v>
      </c>
      <c r="C35" s="10" t="s">
        <v>16</v>
      </c>
      <c r="D35" s="10" t="s">
        <v>17</v>
      </c>
      <c r="E35" s="10" t="s">
        <v>18</v>
      </c>
      <c r="F35" s="10" t="s">
        <v>21</v>
      </c>
      <c r="G35" s="10" t="s">
        <v>26</v>
      </c>
      <c r="H35" s="10" t="s">
        <v>27</v>
      </c>
      <c r="I35" s="1"/>
    </row>
    <row r="36">
      <c r="A36" s="11">
        <v>43952</v>
      </c>
      <c r="B36" s="14"/>
      <c r="C36" s="14"/>
      <c r="D36" s="14"/>
      <c r="E36" s="14"/>
      <c r="F36" s="14"/>
      <c r="G36" s="14"/>
      <c r="H36" s="14"/>
      <c r="I36" s="14"/>
      <c r="N36" s="13"/>
      <c r="O36" s="13"/>
      <c r="R36" s="31" t="s">
        <v>40</v>
      </c>
    </row>
    <row r="37">
      <c r="A37" s="11">
        <v>43953</v>
      </c>
      <c r="B37" s="5"/>
      <c r="C37" s="5"/>
      <c r="D37" s="5"/>
      <c r="E37" s="5"/>
      <c r="F37" s="5"/>
      <c r="G37" s="5"/>
      <c r="H37" s="5"/>
      <c r="I37" s="5"/>
      <c r="R37" s="31">
        <f>2030-500-600</f>
        <v>930</v>
      </c>
      <c r="S37" s="31" t="s">
        <v>29</v>
      </c>
    </row>
    <row r="38">
      <c r="A38" s="11">
        <v>43954</v>
      </c>
      <c r="B38" s="14"/>
      <c r="C38" s="14"/>
      <c r="D38" s="14"/>
      <c r="E38" s="14"/>
      <c r="F38" s="14"/>
      <c r="G38" s="14"/>
      <c r="H38" s="14"/>
      <c r="I38" s="14"/>
      <c r="R38" s="31">
        <f>21000-344+2039+(23000-23000)-344-344+8164.1-4600-3300+(3000-3000)+80000+2000+(5500-5000)</f>
        <v>104771.10000000001</v>
      </c>
      <c r="S38" s="31" t="s">
        <v>31</v>
      </c>
    </row>
    <row r="39">
      <c r="A39" s="11">
        <v>43955</v>
      </c>
      <c r="B39" s="5"/>
      <c r="C39" s="5"/>
      <c r="D39" s="5"/>
      <c r="E39" s="5"/>
      <c r="F39" s="5"/>
      <c r="G39" s="5"/>
      <c r="H39" s="5"/>
      <c r="I39" s="5"/>
      <c r="R39" s="31"/>
      <c r="S39" s="31" t="s">
        <v>38</v>
      </c>
    </row>
    <row r="40">
      <c r="A40" s="11">
        <v>43956</v>
      </c>
      <c r="B40" s="14"/>
      <c r="C40" s="14"/>
      <c r="D40" s="14"/>
      <c r="E40" s="14"/>
      <c r="F40" s="14"/>
      <c r="G40" s="14"/>
      <c r="H40" s="14"/>
      <c r="I40" s="14"/>
      <c r="R40" s="31"/>
      <c r="S40" s="31" t="s">
        <v>39</v>
      </c>
    </row>
    <row r="41">
      <c r="A41" s="11">
        <v>43957</v>
      </c>
      <c r="B41" s="5"/>
      <c r="C41" s="5"/>
      <c r="D41" s="5"/>
      <c r="E41" s="5"/>
      <c r="F41" s="5"/>
      <c r="G41" s="5"/>
      <c r="H41" s="5"/>
      <c r="I41" s="5"/>
      <c r="R41" s="31"/>
      <c r="S41" s="31" t="s">
        <v>41</v>
      </c>
    </row>
    <row r="42">
      <c r="A42" s="11">
        <v>43958</v>
      </c>
      <c r="B42" s="14"/>
      <c r="C42" s="14"/>
      <c r="D42" s="14"/>
      <c r="E42" s="14"/>
      <c r="F42" s="14"/>
      <c r="G42" s="14"/>
      <c r="H42" s="14"/>
      <c r="I42" s="14"/>
      <c r="R42" s="31">
        <v>0</v>
      </c>
      <c r="S42" t="s">
        <v>42</v>
      </c>
    </row>
    <row r="43">
      <c r="A43" s="11">
        <v>43959</v>
      </c>
      <c r="B43" s="5">
        <f>2174.29+1806</f>
        <v>3980.29</v>
      </c>
      <c r="C43" s="5"/>
      <c r="D43" s="5"/>
      <c r="E43" s="5"/>
      <c r="F43" s="5"/>
      <c r="G43" s="5"/>
      <c r="H43" s="5"/>
      <c r="I43" s="5"/>
      <c r="R43" s="31"/>
      <c r="S43" t="s">
        <v>23</v>
      </c>
    </row>
    <row r="44">
      <c r="A44" s="11">
        <v>43960</v>
      </c>
      <c r="B44" s="15"/>
      <c r="C44" s="14"/>
      <c r="D44" s="14"/>
      <c r="E44" s="14"/>
      <c r="F44" s="14"/>
      <c r="G44" s="14"/>
      <c r="H44" s="14"/>
      <c r="I44" s="14"/>
      <c r="R44" s="31"/>
      <c r="S44" t="s">
        <v>46</v>
      </c>
    </row>
    <row r="45">
      <c r="A45" s="11">
        <v>43961</v>
      </c>
      <c r="B45" s="5"/>
      <c r="C45" s="5"/>
      <c r="D45" s="5"/>
      <c r="E45" s="5"/>
      <c r="F45" s="5"/>
      <c r="G45" s="5"/>
      <c r="H45" s="5"/>
      <c r="I45" s="5"/>
    </row>
    <row r="46">
      <c r="A46" s="11">
        <v>43962</v>
      </c>
      <c r="B46" s="14"/>
      <c r="C46" s="14"/>
      <c r="D46" s="14"/>
      <c r="E46" s="14"/>
      <c r="F46" s="14"/>
      <c r="G46" s="14"/>
      <c r="H46" s="14"/>
      <c r="I46" s="14"/>
    </row>
    <row r="47">
      <c r="A47" s="11">
        <v>43963</v>
      </c>
      <c r="B47" s="5"/>
      <c r="C47" s="5">
        <v>600</v>
      </c>
      <c r="D47" s="5"/>
      <c r="E47" s="5"/>
      <c r="F47" s="5"/>
      <c r="G47" s="5"/>
      <c r="H47" s="5"/>
      <c r="I47" s="5"/>
    </row>
    <row r="48">
      <c r="A48" s="11">
        <v>43964</v>
      </c>
      <c r="B48" s="14">
        <v>7975.7299999999996</v>
      </c>
      <c r="C48" s="14"/>
      <c r="D48" s="14"/>
      <c r="E48" s="14"/>
      <c r="F48" s="14"/>
      <c r="G48" s="14"/>
      <c r="H48" s="14"/>
      <c r="I48" s="14"/>
    </row>
    <row r="49">
      <c r="A49" s="11">
        <v>43965</v>
      </c>
      <c r="B49" s="5"/>
      <c r="C49" s="5"/>
      <c r="D49" s="5"/>
      <c r="E49" s="5"/>
      <c r="F49" s="5"/>
      <c r="G49" s="5"/>
      <c r="H49" s="5"/>
      <c r="I49" s="5"/>
    </row>
    <row r="50">
      <c r="A50" s="11">
        <v>43966</v>
      </c>
      <c r="B50" s="14"/>
      <c r="C50" s="14"/>
      <c r="D50" s="14"/>
      <c r="E50" s="14"/>
      <c r="F50" s="14"/>
      <c r="G50" s="14"/>
      <c r="H50" s="14"/>
      <c r="I50" s="14"/>
    </row>
    <row r="51">
      <c r="A51" s="11">
        <v>43967</v>
      </c>
      <c r="B51" s="5"/>
      <c r="C51" s="5"/>
      <c r="D51" s="5"/>
      <c r="E51" s="5"/>
      <c r="F51" s="5"/>
      <c r="G51" s="5"/>
      <c r="H51" s="5"/>
      <c r="I51" s="5"/>
    </row>
    <row r="52">
      <c r="A52" s="11">
        <v>43968</v>
      </c>
      <c r="B52" s="14"/>
      <c r="C52" s="14"/>
      <c r="D52" s="14"/>
      <c r="E52" s="14"/>
      <c r="F52" s="14"/>
      <c r="G52" s="14"/>
      <c r="H52" s="14"/>
      <c r="I52" s="14"/>
    </row>
    <row r="53">
      <c r="A53" s="11">
        <v>43969</v>
      </c>
      <c r="B53" s="5"/>
      <c r="C53" s="5"/>
      <c r="D53" s="5"/>
      <c r="E53" s="5"/>
      <c r="F53" s="5"/>
      <c r="G53" s="5"/>
      <c r="H53" s="5"/>
      <c r="I53" s="5"/>
    </row>
    <row r="54">
      <c r="A54" s="11">
        <v>43970</v>
      </c>
      <c r="B54" s="14"/>
      <c r="C54" s="14"/>
      <c r="D54" s="14"/>
      <c r="E54" s="14"/>
      <c r="F54" s="14"/>
      <c r="G54" s="14"/>
      <c r="H54" s="14"/>
      <c r="I54" s="14"/>
    </row>
    <row r="55">
      <c r="A55" s="11">
        <v>43971</v>
      </c>
      <c r="B55" s="5"/>
      <c r="C55" s="5"/>
      <c r="D55" s="5"/>
      <c r="E55" s="5"/>
      <c r="F55" s="5"/>
      <c r="G55" s="5"/>
      <c r="H55" s="5"/>
      <c r="I55" s="5"/>
    </row>
    <row r="56">
      <c r="A56" s="11">
        <v>43972</v>
      </c>
      <c r="B56" s="14"/>
      <c r="C56" s="14"/>
      <c r="D56" s="14"/>
      <c r="E56" s="14"/>
      <c r="F56" s="14"/>
      <c r="G56" s="14"/>
      <c r="H56" s="14"/>
      <c r="I56" s="14"/>
    </row>
    <row r="57">
      <c r="A57" s="11">
        <v>43973</v>
      </c>
      <c r="B57" s="5"/>
      <c r="C57" s="5"/>
      <c r="D57" s="5"/>
      <c r="E57" s="5"/>
      <c r="F57" s="5"/>
      <c r="G57" s="5"/>
      <c r="H57" s="5"/>
      <c r="I57" s="5"/>
    </row>
    <row r="58">
      <c r="A58" s="11">
        <v>43974</v>
      </c>
      <c r="B58" s="14"/>
      <c r="C58" s="14"/>
      <c r="D58" s="14">
        <v>1000</v>
      </c>
      <c r="E58" s="14"/>
      <c r="F58" s="14"/>
      <c r="G58" s="14"/>
      <c r="H58" s="14"/>
      <c r="I58" s="14"/>
    </row>
    <row r="59">
      <c r="A59" s="11">
        <v>43975</v>
      </c>
      <c r="B59" s="5"/>
      <c r="C59" s="5"/>
      <c r="D59" s="5"/>
      <c r="E59" s="5"/>
      <c r="F59" s="5"/>
      <c r="G59" s="5"/>
      <c r="H59" s="5"/>
      <c r="I59" s="5"/>
    </row>
    <row r="60">
      <c r="A60" s="11">
        <v>43976</v>
      </c>
      <c r="B60" s="14">
        <v>7000</v>
      </c>
      <c r="C60" s="14"/>
      <c r="D60" s="14"/>
      <c r="E60" s="14"/>
      <c r="F60" s="14"/>
      <c r="G60" s="14"/>
      <c r="H60" s="14"/>
      <c r="I60" s="14"/>
    </row>
    <row r="61">
      <c r="A61" s="11">
        <v>43977</v>
      </c>
      <c r="B61" s="5"/>
      <c r="C61" s="5"/>
      <c r="D61" s="5"/>
      <c r="E61" s="5"/>
      <c r="F61" s="5"/>
      <c r="G61" s="5"/>
      <c r="H61" s="5"/>
      <c r="I61" s="5"/>
    </row>
    <row r="62">
      <c r="A62" s="11">
        <v>43978</v>
      </c>
      <c r="B62" s="14"/>
      <c r="C62" s="14"/>
      <c r="D62" s="14"/>
      <c r="E62" s="14"/>
      <c r="F62" s="14"/>
      <c r="G62" s="14"/>
      <c r="H62" s="14"/>
      <c r="I62" s="14"/>
    </row>
    <row r="63">
      <c r="A63" s="11">
        <v>43979</v>
      </c>
      <c r="B63" s="5"/>
      <c r="C63" s="5"/>
      <c r="D63" s="5"/>
      <c r="E63" s="5"/>
      <c r="F63" s="5"/>
      <c r="G63" s="5"/>
      <c r="H63" s="5"/>
      <c r="I63" s="5"/>
    </row>
    <row r="64">
      <c r="A64" s="11">
        <v>43980</v>
      </c>
      <c r="B64" s="14"/>
      <c r="C64" s="14"/>
      <c r="D64" s="14"/>
      <c r="E64" s="14"/>
      <c r="F64" s="14"/>
      <c r="G64" s="14"/>
      <c r="H64" s="14"/>
      <c r="I64" s="14"/>
    </row>
    <row r="65">
      <c r="A65" s="11">
        <v>43981</v>
      </c>
      <c r="B65" s="3"/>
      <c r="C65" s="3"/>
      <c r="D65" s="3"/>
      <c r="E65" s="3"/>
      <c r="F65" s="3"/>
      <c r="G65" s="3"/>
      <c r="H65" s="3"/>
      <c r="I65" s="3"/>
    </row>
    <row r="66">
      <c r="A66" s="11">
        <v>43982</v>
      </c>
      <c r="B66" s="22"/>
      <c r="C66" s="22"/>
      <c r="D66" s="22"/>
      <c r="E66" s="22">
        <f>362.77+24.72</f>
        <v>387.49000000000001</v>
      </c>
      <c r="F66" s="22"/>
      <c r="G66" s="22"/>
      <c r="H66" s="22"/>
      <c r="I66" s="22"/>
    </row>
    <row r="67">
      <c r="A67" s="7"/>
      <c r="B67" s="7">
        <f t="shared" ref="B67:H67" si="24">SUM(B36:B65)</f>
        <v>18956.02</v>
      </c>
      <c r="C67" s="7">
        <f t="shared" si="24"/>
        <v>600</v>
      </c>
      <c r="D67" s="7">
        <f t="shared" si="24"/>
        <v>1000</v>
      </c>
      <c r="E67" s="7">
        <f t="shared" si="24"/>
        <v>0</v>
      </c>
      <c r="F67" s="7">
        <f t="shared" si="24"/>
        <v>0</v>
      </c>
      <c r="G67" s="7">
        <f t="shared" si="24"/>
        <v>0</v>
      </c>
      <c r="H67" s="7">
        <f t="shared" si="24"/>
        <v>0</v>
      </c>
      <c r="I67" s="7">
        <f>SUM(B67:H67)</f>
        <v>20556.02</v>
      </c>
      <c r="R67" s="33">
        <f>SUM(R37:R65)</f>
        <v>105701.10000000001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2" activeCellId="0" sqref="B32"/>
    </sheetView>
  </sheetViews>
  <sheetFormatPr defaultRowHeight="14.25"/>
  <cols>
    <col bestFit="1" customWidth="1" min="1" max="1" width="13.570312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
      <c r="R1" s="1"/>
      <c r="S1" s="1"/>
    </row>
    <row r="2">
      <c r="A2" s="11">
        <v>43983</v>
      </c>
      <c r="B2" s="14">
        <v>20</v>
      </c>
      <c r="C2" s="14">
        <v>351.75</v>
      </c>
      <c r="D2" s="14"/>
      <c r="E2" s="14"/>
      <c r="F2" s="14"/>
      <c r="G2" s="14"/>
      <c r="H2" s="14"/>
      <c r="I2" s="14"/>
      <c r="J2" s="14"/>
      <c r="K2" s="14"/>
      <c r="L2" s="14"/>
      <c r="M2" s="14"/>
      <c r="N2" s="14"/>
      <c r="O2" s="14"/>
      <c r="P2" s="14"/>
      <c r="Q2" s="14"/>
      <c r="R2" s="14"/>
      <c r="S2" s="14"/>
    </row>
    <row r="3">
      <c r="A3" s="11">
        <v>43984</v>
      </c>
      <c r="B3" s="5">
        <v>20</v>
      </c>
      <c r="C3" s="5"/>
      <c r="D3" s="5"/>
      <c r="E3" s="5"/>
      <c r="F3" s="5"/>
      <c r="G3" s="5"/>
      <c r="H3" s="5"/>
      <c r="I3" s="5"/>
      <c r="J3" s="5">
        <v>61</v>
      </c>
      <c r="K3" s="5"/>
      <c r="L3" s="5"/>
      <c r="M3" s="5"/>
      <c r="N3" s="5"/>
      <c r="O3" s="5"/>
      <c r="P3" s="5"/>
      <c r="Q3" s="5"/>
      <c r="R3" s="5"/>
      <c r="S3" s="5"/>
    </row>
    <row r="4">
      <c r="A4" s="11">
        <v>43985</v>
      </c>
      <c r="B4" s="14">
        <v>20</v>
      </c>
      <c r="C4" s="14"/>
      <c r="D4" s="14">
        <v>245</v>
      </c>
      <c r="E4" s="14"/>
      <c r="F4" s="14"/>
      <c r="G4" s="14"/>
      <c r="H4" s="14"/>
      <c r="I4" s="14"/>
      <c r="J4" s="14"/>
      <c r="K4" s="14"/>
      <c r="L4" s="14"/>
      <c r="M4" s="14"/>
      <c r="N4" s="14"/>
      <c r="O4" s="14"/>
      <c r="P4" s="14"/>
      <c r="Q4" s="14"/>
      <c r="R4" s="14"/>
      <c r="S4" s="14"/>
    </row>
    <row r="5">
      <c r="A5" s="11">
        <v>43986</v>
      </c>
      <c r="B5" s="5"/>
      <c r="C5" s="5">
        <f>357.2+774.78</f>
        <v>1131.98</v>
      </c>
      <c r="D5" s="5"/>
      <c r="E5" s="5"/>
      <c r="F5" s="5"/>
      <c r="G5" s="5"/>
      <c r="H5" s="5"/>
      <c r="I5" s="5"/>
      <c r="J5" s="5"/>
      <c r="K5" s="5"/>
      <c r="L5" s="5"/>
      <c r="M5" s="5"/>
      <c r="N5" s="5"/>
      <c r="O5" s="5"/>
      <c r="P5" s="5"/>
      <c r="Q5" s="5"/>
      <c r="R5" s="5"/>
      <c r="S5" s="5"/>
    </row>
    <row r="6">
      <c r="A6" s="11">
        <v>43987</v>
      </c>
      <c r="B6" s="14"/>
      <c r="C6" s="14"/>
      <c r="D6" s="14"/>
      <c r="E6" s="14"/>
      <c r="F6" s="14"/>
      <c r="G6" s="14"/>
      <c r="H6" s="14"/>
      <c r="I6" s="14"/>
      <c r="J6" s="14"/>
      <c r="K6" s="14"/>
      <c r="L6" s="14"/>
      <c r="M6" s="14"/>
      <c r="N6" s="14"/>
      <c r="O6" s="14"/>
      <c r="P6" s="14"/>
      <c r="Q6" s="14"/>
      <c r="R6" s="14"/>
      <c r="S6" s="14"/>
    </row>
    <row r="7">
      <c r="A7" s="11">
        <v>43988</v>
      </c>
      <c r="B7" s="5">
        <v>20</v>
      </c>
      <c r="C7" s="5"/>
      <c r="D7" s="5">
        <v>140</v>
      </c>
      <c r="E7" s="5"/>
      <c r="F7" s="5"/>
      <c r="G7" s="5"/>
      <c r="H7" s="5"/>
      <c r="I7" s="5"/>
      <c r="J7" s="5"/>
      <c r="K7" s="5"/>
      <c r="L7" s="5"/>
      <c r="M7" s="5">
        <v>375</v>
      </c>
      <c r="N7" s="5"/>
      <c r="O7" s="5"/>
      <c r="P7" s="5"/>
      <c r="Q7" s="5"/>
      <c r="R7" s="5"/>
      <c r="S7" s="5"/>
    </row>
    <row r="8">
      <c r="A8" s="11">
        <v>43989</v>
      </c>
      <c r="B8" s="14">
        <f t="shared" ref="B8:B19" si="25">20+20</f>
        <v>40</v>
      </c>
      <c r="C8" s="14">
        <v>730.12</v>
      </c>
      <c r="D8" s="14">
        <v>135</v>
      </c>
      <c r="E8" s="14"/>
      <c r="F8" s="14"/>
      <c r="G8" s="14"/>
      <c r="H8" s="14"/>
      <c r="I8" s="14"/>
      <c r="J8" s="14">
        <v>20</v>
      </c>
      <c r="K8" s="14"/>
      <c r="L8" s="14"/>
      <c r="M8" s="14"/>
      <c r="N8" s="14"/>
      <c r="O8" s="14"/>
      <c r="P8" s="14"/>
      <c r="Q8" s="14"/>
      <c r="R8" s="14"/>
      <c r="S8" s="14"/>
    </row>
    <row r="9">
      <c r="A9" s="11">
        <v>43990</v>
      </c>
      <c r="B9" s="5">
        <f t="shared" si="25"/>
        <v>40</v>
      </c>
      <c r="C9" s="5"/>
      <c r="D9" s="5"/>
      <c r="E9" s="5"/>
      <c r="F9" s="5"/>
      <c r="G9" s="5"/>
      <c r="H9" s="5"/>
      <c r="I9" s="5"/>
      <c r="J9" s="5"/>
      <c r="K9" s="5"/>
      <c r="L9" s="5"/>
      <c r="M9" s="5"/>
      <c r="N9" s="5"/>
      <c r="O9" s="5"/>
      <c r="P9" s="5"/>
      <c r="Q9" s="5"/>
      <c r="R9" s="5"/>
      <c r="S9" s="5"/>
    </row>
    <row r="10">
      <c r="A10" s="11">
        <v>43991</v>
      </c>
      <c r="B10" s="14"/>
      <c r="C10" s="14" t="s">
        <v>47</v>
      </c>
      <c r="D10" s="14">
        <v>368</v>
      </c>
      <c r="E10" s="14"/>
      <c r="F10" s="14"/>
      <c r="G10" s="14"/>
      <c r="H10" s="14"/>
      <c r="I10" s="14">
        <v>104</v>
      </c>
      <c r="J10" s="14"/>
      <c r="K10" s="14"/>
      <c r="L10" s="14"/>
      <c r="M10" s="14"/>
      <c r="N10" s="14"/>
      <c r="O10" s="14"/>
      <c r="P10" s="14"/>
      <c r="Q10" s="14"/>
      <c r="R10" s="14"/>
      <c r="S10" s="14"/>
    </row>
    <row r="11">
      <c r="A11" s="11">
        <v>43992</v>
      </c>
      <c r="B11" s="5">
        <f t="shared" si="25"/>
        <v>40</v>
      </c>
      <c r="C11" s="5">
        <f>82.3+279.95+119.98</f>
        <v>482.23000000000002</v>
      </c>
      <c r="D11" s="5"/>
      <c r="E11" s="5"/>
      <c r="F11" s="5"/>
      <c r="G11" s="5"/>
      <c r="H11" s="5"/>
      <c r="I11" s="5"/>
      <c r="J11" s="5"/>
      <c r="K11" s="5"/>
      <c r="L11" s="5"/>
      <c r="M11" s="5"/>
      <c r="N11" s="5"/>
      <c r="O11" s="5"/>
      <c r="P11" s="5">
        <v>199</v>
      </c>
      <c r="Q11" s="5"/>
      <c r="R11" s="5"/>
      <c r="S11" s="5"/>
    </row>
    <row r="12">
      <c r="A12" s="11">
        <v>43993</v>
      </c>
      <c r="B12" s="14">
        <v>20</v>
      </c>
      <c r="C12" s="14">
        <v>238.30000000000001</v>
      </c>
      <c r="D12" s="14"/>
      <c r="E12" s="14"/>
      <c r="F12" s="14"/>
      <c r="G12" s="14"/>
      <c r="H12" s="14"/>
      <c r="I12" s="14"/>
      <c r="J12" s="14"/>
      <c r="K12" s="14"/>
      <c r="L12" s="14"/>
      <c r="M12" s="14"/>
      <c r="N12" s="14"/>
      <c r="O12" s="14"/>
      <c r="P12" s="14"/>
      <c r="Q12" s="14"/>
      <c r="R12" s="14"/>
      <c r="S12" s="14"/>
    </row>
    <row r="13">
      <c r="A13" s="11">
        <v>43994</v>
      </c>
      <c r="B13" s="5">
        <f t="shared" si="25"/>
        <v>40</v>
      </c>
      <c r="C13" s="5">
        <f>249.07+21.79</f>
        <v>270.86000000000001</v>
      </c>
      <c r="D13" s="5"/>
      <c r="E13" s="5"/>
      <c r="F13" s="5"/>
      <c r="G13" s="5"/>
      <c r="H13" s="5"/>
      <c r="I13" s="5"/>
      <c r="J13" s="5"/>
      <c r="K13" s="5"/>
      <c r="L13" s="5"/>
      <c r="M13" s="5"/>
      <c r="N13" s="5"/>
      <c r="O13" s="5"/>
      <c r="P13" s="5"/>
      <c r="Q13" s="5"/>
      <c r="R13" s="5"/>
      <c r="S13" s="5"/>
    </row>
    <row r="14">
      <c r="A14" s="11">
        <v>43995</v>
      </c>
      <c r="B14" s="14"/>
      <c r="C14" s="14">
        <v>193.88</v>
      </c>
      <c r="D14" s="14"/>
      <c r="E14" s="14"/>
      <c r="F14" s="14"/>
      <c r="G14" s="14"/>
      <c r="H14" s="14"/>
      <c r="I14" s="14"/>
      <c r="J14" s="14"/>
      <c r="K14" s="14"/>
      <c r="L14" s="14"/>
      <c r="M14" s="14"/>
      <c r="N14" s="14"/>
      <c r="O14" s="14">
        <v>800</v>
      </c>
      <c r="P14" s="14"/>
      <c r="Q14" s="14"/>
      <c r="R14" s="14"/>
      <c r="S14" s="14"/>
    </row>
    <row r="15">
      <c r="A15" s="11">
        <v>43996</v>
      </c>
      <c r="B15" s="5">
        <f t="shared" si="25"/>
        <v>40</v>
      </c>
      <c r="C15" s="5">
        <v>927.25999999999999</v>
      </c>
      <c r="D15" s="5">
        <v>161</v>
      </c>
      <c r="E15" s="5"/>
      <c r="F15" s="5"/>
      <c r="G15" s="5"/>
      <c r="H15" s="5"/>
      <c r="J15" s="5"/>
      <c r="K15" s="5"/>
      <c r="L15" s="5"/>
      <c r="M15" s="5"/>
      <c r="N15" s="5"/>
      <c r="O15" s="5"/>
      <c r="P15" s="5"/>
      <c r="Q15" s="5"/>
      <c r="R15" s="5"/>
      <c r="S15" s="5"/>
    </row>
    <row r="16">
      <c r="A16" s="11">
        <v>43997</v>
      </c>
      <c r="B16" s="14">
        <f t="shared" si="25"/>
        <v>40</v>
      </c>
      <c r="C16" s="14">
        <v>51.149999999999999</v>
      </c>
      <c r="D16" s="14"/>
      <c r="E16" s="14"/>
      <c r="F16" s="14"/>
      <c r="G16" s="14"/>
      <c r="H16" s="14"/>
      <c r="I16" s="14"/>
      <c r="J16" s="14">
        <v>135</v>
      </c>
      <c r="K16" s="14"/>
      <c r="L16" s="14"/>
      <c r="M16" s="14"/>
      <c r="N16" s="14"/>
      <c r="O16" s="14"/>
      <c r="P16" s="14"/>
      <c r="Q16" s="14"/>
      <c r="R16" s="14"/>
      <c r="S16" s="14"/>
    </row>
    <row r="17">
      <c r="A17" s="11">
        <v>43998</v>
      </c>
      <c r="B17" s="5">
        <v>20</v>
      </c>
      <c r="C17" s="5"/>
      <c r="D17" s="5">
        <v>200</v>
      </c>
      <c r="E17" s="5"/>
      <c r="F17" s="5"/>
      <c r="G17" s="5"/>
      <c r="H17" s="5"/>
      <c r="I17" s="5"/>
      <c r="J17" s="5"/>
      <c r="K17" s="5">
        <v>939.83000000000004</v>
      </c>
      <c r="L17" s="5"/>
      <c r="M17" s="5"/>
      <c r="N17" s="5"/>
      <c r="O17" s="5"/>
      <c r="P17" s="5"/>
      <c r="Q17" s="5"/>
      <c r="R17" s="5"/>
      <c r="S17" s="5"/>
    </row>
    <row r="18">
      <c r="A18" s="11">
        <v>43999</v>
      </c>
      <c r="B18" s="14">
        <v>20</v>
      </c>
      <c r="C18" s="14"/>
      <c r="D18" s="14"/>
      <c r="E18" s="14"/>
      <c r="F18" s="14"/>
      <c r="G18" s="14"/>
      <c r="H18" s="14"/>
      <c r="I18" s="14"/>
      <c r="J18" s="14"/>
      <c r="K18" s="14"/>
      <c r="L18" s="14"/>
      <c r="M18" s="14"/>
      <c r="N18" s="14"/>
      <c r="O18" s="14"/>
      <c r="P18" s="14"/>
      <c r="Q18" s="14"/>
      <c r="R18" s="14"/>
      <c r="S18" s="14"/>
    </row>
    <row r="19">
      <c r="A19" s="11">
        <v>44000</v>
      </c>
      <c r="B19" s="5">
        <f t="shared" si="25"/>
        <v>40</v>
      </c>
      <c r="C19" s="5">
        <v>745.67999999999995</v>
      </c>
      <c r="D19" s="5"/>
      <c r="E19" s="5"/>
      <c r="F19" s="5"/>
      <c r="G19" s="5"/>
      <c r="H19" s="5"/>
      <c r="I19" s="5">
        <f>400+78.5</f>
        <v>478.5</v>
      </c>
      <c r="J19" s="5"/>
      <c r="K19" s="5"/>
      <c r="L19" s="5"/>
      <c r="M19" s="5"/>
      <c r="N19" s="5"/>
      <c r="O19" s="5"/>
      <c r="P19" s="5"/>
      <c r="Q19" s="5"/>
      <c r="R19" s="5"/>
      <c r="S19" s="5"/>
    </row>
    <row r="20">
      <c r="A20" s="11">
        <v>44001</v>
      </c>
      <c r="B20" s="14">
        <v>20</v>
      </c>
      <c r="C20" s="14">
        <v>169.90000000000001</v>
      </c>
      <c r="D20" s="14">
        <v>70</v>
      </c>
      <c r="E20" s="14"/>
      <c r="F20" s="14"/>
      <c r="G20" s="14"/>
      <c r="H20" s="14"/>
      <c r="I20" s="14"/>
      <c r="J20" s="14"/>
      <c r="K20" s="14"/>
      <c r="L20" s="14"/>
      <c r="M20" s="14"/>
      <c r="N20" s="14"/>
      <c r="O20" s="14"/>
      <c r="P20" s="34"/>
      <c r="Q20" s="14"/>
      <c r="R20" s="14"/>
      <c r="S20" s="14"/>
    </row>
    <row r="21">
      <c r="A21" s="11">
        <v>44002</v>
      </c>
      <c r="B21" s="5">
        <f>229+20+20</f>
        <v>269</v>
      </c>
      <c r="C21" s="5"/>
      <c r="D21" s="5"/>
      <c r="E21" s="5"/>
      <c r="F21" s="5"/>
      <c r="G21" s="5"/>
      <c r="H21" s="5"/>
      <c r="I21" s="5"/>
      <c r="J21" s="5"/>
      <c r="K21" s="5"/>
      <c r="L21" s="5"/>
      <c r="M21" s="5"/>
      <c r="N21" s="5"/>
      <c r="O21" s="5"/>
      <c r="P21" s="5"/>
      <c r="Q21" s="5"/>
      <c r="R21" s="5"/>
      <c r="S21" s="5"/>
    </row>
    <row r="22">
      <c r="A22" s="11">
        <v>44003</v>
      </c>
      <c r="B22" s="14"/>
      <c r="C22" s="22">
        <f>115.18+546.79</f>
        <v>661.97000000000003</v>
      </c>
      <c r="D22" s="22">
        <f>284+540</f>
        <v>824</v>
      </c>
      <c r="E22" s="14"/>
      <c r="F22" s="14">
        <v>210.59999999999999</v>
      </c>
      <c r="G22" s="14"/>
      <c r="H22" s="14"/>
      <c r="I22" s="14"/>
      <c r="J22" s="14"/>
      <c r="K22" s="14"/>
      <c r="L22" s="14"/>
      <c r="M22" s="14"/>
      <c r="N22" s="14"/>
      <c r="O22" s="14"/>
      <c r="P22" s="14"/>
      <c r="Q22" s="14"/>
      <c r="R22" s="14"/>
      <c r="S22" s="14"/>
    </row>
    <row r="23">
      <c r="A23" s="11">
        <v>44004</v>
      </c>
      <c r="B23" s="5">
        <v>40</v>
      </c>
      <c r="E23" s="5"/>
      <c r="F23" s="5"/>
      <c r="G23" s="5"/>
      <c r="H23" s="5"/>
      <c r="I23" s="5"/>
      <c r="J23" s="5"/>
      <c r="K23" s="5"/>
      <c r="L23" s="5"/>
      <c r="M23" s="5"/>
      <c r="N23" s="5"/>
      <c r="O23" s="5"/>
      <c r="P23" s="5"/>
      <c r="Q23" s="5"/>
      <c r="R23" s="5"/>
      <c r="S23" s="5"/>
    </row>
    <row r="24">
      <c r="A24" s="11">
        <v>44005</v>
      </c>
      <c r="B24" s="14">
        <v>40</v>
      </c>
      <c r="C24" s="14">
        <v>438.31</v>
      </c>
      <c r="D24" s="14"/>
      <c r="E24" s="14"/>
      <c r="F24" s="14"/>
      <c r="G24" s="14"/>
      <c r="H24" s="14"/>
      <c r="I24" s="14"/>
      <c r="J24" s="14"/>
      <c r="K24" s="14"/>
      <c r="L24" s="14"/>
      <c r="M24" s="14"/>
      <c r="N24" s="14"/>
      <c r="O24" s="14"/>
      <c r="P24" s="14"/>
      <c r="Q24" s="14"/>
      <c r="R24" s="14"/>
      <c r="S24" s="14"/>
    </row>
    <row r="25">
      <c r="A25" s="11">
        <v>44006</v>
      </c>
      <c r="C25" s="5"/>
      <c r="D25" s="5"/>
      <c r="E25" s="5"/>
      <c r="F25" s="5"/>
      <c r="G25" s="5"/>
      <c r="H25" s="5"/>
      <c r="I25" s="5"/>
      <c r="J25" s="5"/>
      <c r="K25" s="5"/>
      <c r="L25" s="5"/>
      <c r="M25" s="5"/>
      <c r="N25" s="5"/>
      <c r="O25" s="5"/>
      <c r="P25" s="5"/>
      <c r="Q25" s="5"/>
      <c r="R25" s="5"/>
      <c r="S25" s="5"/>
    </row>
    <row r="26">
      <c r="A26" s="11">
        <v>44007</v>
      </c>
      <c r="B26" s="14"/>
      <c r="C26" s="14"/>
      <c r="D26" s="14">
        <f>90+417</f>
        <v>507</v>
      </c>
      <c r="E26" s="14"/>
      <c r="F26" s="14"/>
      <c r="G26" s="14"/>
      <c r="H26" s="14"/>
      <c r="I26" s="14"/>
      <c r="J26" s="14"/>
      <c r="K26" s="14">
        <v>6000</v>
      </c>
      <c r="L26" s="14"/>
      <c r="M26" s="14"/>
      <c r="N26" s="14"/>
      <c r="O26" s="14"/>
      <c r="P26" s="14"/>
      <c r="Q26" s="14"/>
      <c r="R26" s="14"/>
      <c r="S26" s="14"/>
    </row>
    <row r="27">
      <c r="A27" s="11">
        <v>44008</v>
      </c>
      <c r="B27" s="5">
        <v>40</v>
      </c>
      <c r="C27" s="5"/>
      <c r="D27" s="5">
        <v>200</v>
      </c>
      <c r="E27" s="5"/>
      <c r="F27" s="5"/>
      <c r="G27" s="5"/>
      <c r="H27" s="5"/>
      <c r="I27" s="5"/>
      <c r="J27" s="5"/>
      <c r="K27" s="5"/>
      <c r="L27" s="5"/>
      <c r="M27" s="5"/>
      <c r="N27" s="5"/>
      <c r="O27" s="5"/>
      <c r="P27" s="5"/>
      <c r="Q27" s="5"/>
      <c r="R27" s="5"/>
      <c r="S27" s="5"/>
    </row>
    <row r="28">
      <c r="A28" s="11">
        <v>44009</v>
      </c>
      <c r="B28" s="14">
        <v>20</v>
      </c>
      <c r="C28" s="14">
        <v>408.51999999999998</v>
      </c>
      <c r="D28" s="14"/>
      <c r="E28" s="14"/>
      <c r="F28" s="14"/>
      <c r="G28" s="14"/>
      <c r="H28" s="14"/>
      <c r="I28" s="14"/>
      <c r="J28" s="14"/>
      <c r="K28" s="14"/>
      <c r="L28" s="14"/>
      <c r="M28" s="14"/>
      <c r="N28" s="14"/>
      <c r="O28" s="14"/>
      <c r="P28" s="14"/>
      <c r="Q28" s="14"/>
      <c r="R28" s="14"/>
      <c r="S28" s="14"/>
    </row>
    <row r="29">
      <c r="A29" s="11">
        <v>44010</v>
      </c>
      <c r="B29" s="5">
        <v>40</v>
      </c>
      <c r="C29" s="5">
        <v>115.69</v>
      </c>
      <c r="D29" s="5"/>
      <c r="E29" s="5"/>
      <c r="F29" s="5"/>
      <c r="G29" s="5"/>
      <c r="H29" s="5"/>
      <c r="I29" s="5"/>
      <c r="J29" s="5"/>
      <c r="K29" s="5"/>
      <c r="L29" s="5"/>
      <c r="M29" s="5"/>
      <c r="N29" s="5"/>
      <c r="O29" s="5"/>
      <c r="P29" s="5"/>
      <c r="Q29" s="5"/>
      <c r="R29" s="5"/>
      <c r="S29" s="5"/>
    </row>
    <row r="30">
      <c r="A30" s="11">
        <v>44011</v>
      </c>
      <c r="B30" s="14"/>
      <c r="C30" s="14"/>
      <c r="D30" s="14">
        <f>780+340</f>
        <v>1120</v>
      </c>
      <c r="E30" s="14"/>
      <c r="F30" s="14"/>
      <c r="G30" s="14"/>
      <c r="H30" s="14"/>
      <c r="I30" s="14"/>
      <c r="J30" s="14"/>
      <c r="K30" s="14"/>
      <c r="L30" s="14"/>
      <c r="M30" s="14"/>
      <c r="N30" s="14"/>
      <c r="O30" s="14"/>
      <c r="P30" s="14"/>
      <c r="Q30" s="14"/>
      <c r="R30" s="14"/>
      <c r="S30" s="14"/>
    </row>
    <row r="31">
      <c r="A31" s="11">
        <v>44012</v>
      </c>
      <c r="B31" s="3">
        <v>20</v>
      </c>
      <c r="C31" s="3"/>
      <c r="D31" s="3"/>
      <c r="E31" s="3"/>
      <c r="F31" s="3"/>
      <c r="G31" s="3"/>
      <c r="H31" s="3"/>
      <c r="I31" s="3"/>
      <c r="J31" s="3"/>
      <c r="K31" s="3"/>
      <c r="L31" s="3"/>
      <c r="M31" s="3"/>
      <c r="N31" s="3"/>
      <c r="O31" s="3"/>
      <c r="P31" s="3"/>
      <c r="Q31" s="3"/>
      <c r="R31" s="3"/>
      <c r="S31" s="3"/>
    </row>
    <row r="32">
      <c r="A32" s="7"/>
      <c r="B32" s="7">
        <f t="shared" ref="B32:Q32" si="26">SUM(B2:B31)</f>
        <v>909</v>
      </c>
      <c r="C32" s="7">
        <f t="shared" si="26"/>
        <v>6917.5999999999995</v>
      </c>
      <c r="D32" s="7">
        <f t="shared" si="26"/>
        <v>3970</v>
      </c>
      <c r="E32" s="7">
        <f t="shared" si="26"/>
        <v>0</v>
      </c>
      <c r="F32" s="7">
        <f t="shared" si="26"/>
        <v>210.59999999999999</v>
      </c>
      <c r="G32" s="7">
        <f t="shared" si="26"/>
        <v>0</v>
      </c>
      <c r="H32" s="7">
        <f t="shared" si="26"/>
        <v>0</v>
      </c>
      <c r="I32" s="7">
        <f t="shared" si="26"/>
        <v>582.5</v>
      </c>
      <c r="J32" s="7">
        <f t="shared" si="26"/>
        <v>216</v>
      </c>
      <c r="K32" s="7">
        <f t="shared" si="26"/>
        <v>6939.8299999999999</v>
      </c>
      <c r="L32" s="7">
        <f t="shared" si="26"/>
        <v>0</v>
      </c>
      <c r="M32" s="7">
        <f t="shared" si="26"/>
        <v>375</v>
      </c>
      <c r="N32" s="7">
        <f t="shared" si="26"/>
        <v>0</v>
      </c>
      <c r="O32" s="7">
        <f t="shared" si="26"/>
        <v>800</v>
      </c>
      <c r="P32" s="7">
        <f t="shared" si="26"/>
        <v>199</v>
      </c>
      <c r="Q32" s="7">
        <f t="shared" si="26"/>
        <v>0</v>
      </c>
      <c r="R32" s="7" t="s">
        <v>14</v>
      </c>
      <c r="S32" s="7">
        <f>SUM(B32:Q32)</f>
        <v>21119.529999999999</v>
      </c>
    </row>
    <row r="33">
      <c r="A33" s="8"/>
      <c r="B33" s="8"/>
      <c r="C33" s="8"/>
      <c r="D33" s="8"/>
      <c r="E33" s="8"/>
      <c r="F33" s="8"/>
      <c r="G33" s="8"/>
      <c r="H33" s="8"/>
      <c r="I33" s="8"/>
      <c r="J33" s="9"/>
      <c r="K33" s="9"/>
      <c r="L33" s="9"/>
      <c r="M33" s="9"/>
      <c r="N33" s="9"/>
      <c r="O33" s="9"/>
      <c r="P33" s="9"/>
      <c r="Q33" s="9"/>
      <c r="R33" s="9"/>
      <c r="S33" s="9"/>
    </row>
    <row r="34">
      <c r="A34" s="10" t="s">
        <v>0</v>
      </c>
      <c r="B34" s="10" t="s">
        <v>15</v>
      </c>
      <c r="C34" s="10" t="s">
        <v>16</v>
      </c>
      <c r="D34" s="10" t="s">
        <v>17</v>
      </c>
      <c r="E34" s="10" t="s">
        <v>18</v>
      </c>
      <c r="F34" s="10" t="s">
        <v>21</v>
      </c>
      <c r="G34" s="10" t="s">
        <v>26</v>
      </c>
      <c r="H34" s="10" t="s">
        <v>27</v>
      </c>
      <c r="I34" s="1"/>
    </row>
    <row r="35">
      <c r="A35" s="11">
        <v>43983</v>
      </c>
      <c r="B35" s="14"/>
      <c r="C35" s="14"/>
      <c r="D35" s="14"/>
      <c r="E35" s="14"/>
      <c r="F35" s="14"/>
      <c r="G35" s="14"/>
      <c r="H35" s="14"/>
      <c r="I35" s="14"/>
      <c r="N35" s="13"/>
      <c r="O35" s="13"/>
      <c r="R35" s="31" t="s">
        <v>40</v>
      </c>
    </row>
    <row r="36">
      <c r="A36" s="11">
        <v>43984</v>
      </c>
      <c r="B36" s="5"/>
      <c r="C36" s="5"/>
      <c r="D36" s="5"/>
      <c r="E36" s="5"/>
      <c r="F36" s="5"/>
      <c r="G36" s="5"/>
      <c r="H36" s="5"/>
      <c r="I36" s="5"/>
      <c r="R36" s="31">
        <f>2030-500-600</f>
        <v>930</v>
      </c>
      <c r="S36" s="31" t="s">
        <v>29</v>
      </c>
    </row>
    <row r="37">
      <c r="A37" s="11">
        <v>43985</v>
      </c>
      <c r="B37" s="14"/>
      <c r="C37" s="14"/>
      <c r="D37" s="14"/>
      <c r="E37" s="14"/>
      <c r="F37" s="14"/>
      <c r="G37" s="14">
        <v>250</v>
      </c>
      <c r="H37" s="14"/>
      <c r="I37" s="14"/>
      <c r="R37" s="31">
        <f>21000-344+2039+(23000-23000)-344-344+8164.1-4600-3300+(3000-3000)+80000+2000+(5500-5000)</f>
        <v>104771.10000000001</v>
      </c>
      <c r="S37" s="31" t="s">
        <v>31</v>
      </c>
    </row>
    <row r="38">
      <c r="A38" s="11">
        <v>43986</v>
      </c>
      <c r="B38" s="5"/>
      <c r="C38" s="5"/>
      <c r="D38" s="5"/>
      <c r="E38" s="5"/>
      <c r="F38" s="5"/>
      <c r="G38" s="5"/>
      <c r="H38" s="5"/>
      <c r="I38" s="5"/>
      <c r="R38" s="31"/>
      <c r="S38" s="31" t="s">
        <v>38</v>
      </c>
    </row>
    <row r="39">
      <c r="A39" s="11">
        <v>43987</v>
      </c>
      <c r="B39" s="14"/>
      <c r="C39" s="14"/>
      <c r="D39" s="14"/>
      <c r="E39" s="14"/>
      <c r="F39" s="14"/>
      <c r="G39" s="14"/>
      <c r="H39" s="14"/>
      <c r="I39" s="14"/>
      <c r="R39" s="31"/>
      <c r="S39" s="31" t="s">
        <v>39</v>
      </c>
    </row>
    <row r="40">
      <c r="A40" s="11">
        <v>43988</v>
      </c>
      <c r="B40" s="5"/>
      <c r="C40" s="5"/>
      <c r="D40" s="5"/>
      <c r="E40" s="5"/>
      <c r="F40" s="5"/>
      <c r="G40" s="5"/>
      <c r="H40" s="5"/>
      <c r="I40" s="5"/>
      <c r="R40" s="31"/>
      <c r="S40" s="31" t="s">
        <v>41</v>
      </c>
    </row>
    <row r="41">
      <c r="A41" s="11">
        <v>43989</v>
      </c>
      <c r="B41" s="14"/>
      <c r="C41" s="14"/>
      <c r="D41" s="14"/>
      <c r="E41" s="14"/>
      <c r="F41" s="14"/>
      <c r="G41" s="14"/>
      <c r="H41" s="14">
        <v>1000</v>
      </c>
      <c r="I41" s="14"/>
      <c r="R41" s="31">
        <v>0</v>
      </c>
      <c r="S41" t="s">
        <v>42</v>
      </c>
    </row>
    <row r="42">
      <c r="A42" s="11">
        <v>43990</v>
      </c>
      <c r="B42" s="5"/>
      <c r="C42" s="5"/>
      <c r="D42" s="5"/>
      <c r="E42" s="5"/>
      <c r="F42" s="5"/>
      <c r="G42" s="5"/>
      <c r="H42" s="5"/>
      <c r="I42" s="5"/>
      <c r="R42" s="31"/>
      <c r="S42" t="s">
        <v>23</v>
      </c>
    </row>
    <row r="43">
      <c r="A43" s="11">
        <v>43991</v>
      </c>
      <c r="B43" s="15"/>
      <c r="C43" s="14"/>
      <c r="D43" s="14"/>
      <c r="E43" s="14"/>
      <c r="F43" s="14"/>
      <c r="G43" s="14"/>
      <c r="H43" s="14"/>
      <c r="I43" s="14"/>
      <c r="R43" s="31"/>
      <c r="S43" t="s">
        <v>46</v>
      </c>
    </row>
    <row r="44">
      <c r="A44" s="11">
        <v>43992</v>
      </c>
      <c r="B44" s="5">
        <v>10024.549999999999</v>
      </c>
      <c r="C44" s="5"/>
      <c r="D44" s="5"/>
      <c r="E44" s="5"/>
      <c r="F44" s="5"/>
      <c r="G44" s="5"/>
      <c r="H44" s="5"/>
      <c r="I44" s="5"/>
    </row>
    <row r="45">
      <c r="A45" s="11">
        <v>43993</v>
      </c>
      <c r="B45" s="14"/>
      <c r="C45" s="14"/>
      <c r="D45" s="14"/>
      <c r="E45" s="14"/>
      <c r="F45" s="14"/>
      <c r="G45" s="14"/>
      <c r="H45" s="14"/>
      <c r="I45" s="14"/>
    </row>
    <row r="46">
      <c r="A46" s="11">
        <v>43994</v>
      </c>
      <c r="B46" s="5"/>
      <c r="C46" s="5"/>
      <c r="D46" s="5"/>
      <c r="E46" s="5"/>
      <c r="F46" s="5"/>
      <c r="G46" s="5"/>
      <c r="H46" s="5"/>
      <c r="I46" s="5"/>
    </row>
    <row r="47">
      <c r="A47" s="11">
        <v>43995</v>
      </c>
      <c r="B47" s="14"/>
      <c r="C47" s="14"/>
      <c r="D47" s="14"/>
      <c r="E47" s="14"/>
      <c r="F47" s="14"/>
      <c r="G47" s="14"/>
      <c r="H47" s="14"/>
      <c r="I47" s="14"/>
    </row>
    <row r="48">
      <c r="A48" s="11">
        <v>43996</v>
      </c>
      <c r="B48" s="5"/>
      <c r="C48" s="5"/>
      <c r="D48" s="5"/>
      <c r="E48" s="5"/>
      <c r="F48" s="5"/>
      <c r="G48" s="5"/>
      <c r="H48" s="5"/>
      <c r="I48" s="5"/>
    </row>
    <row r="49">
      <c r="A49" s="11">
        <v>43997</v>
      </c>
      <c r="B49" s="14"/>
      <c r="C49" s="14"/>
      <c r="D49" s="14"/>
      <c r="E49" s="14"/>
      <c r="F49" s="14"/>
      <c r="G49" s="14"/>
      <c r="H49" s="14"/>
      <c r="I49" s="14"/>
    </row>
    <row r="50">
      <c r="A50" s="11">
        <v>43998</v>
      </c>
      <c r="B50" s="5"/>
      <c r="C50" s="5"/>
      <c r="D50" s="5"/>
      <c r="E50" s="5"/>
      <c r="F50" s="5"/>
      <c r="G50" s="5"/>
      <c r="H50" s="5"/>
      <c r="I50" s="5"/>
    </row>
    <row r="51">
      <c r="A51" s="11">
        <v>43999</v>
      </c>
      <c r="B51" s="14"/>
      <c r="C51" s="14"/>
      <c r="D51" s="14"/>
      <c r="E51" s="14"/>
      <c r="F51" s="14"/>
      <c r="G51" s="14">
        <v>50</v>
      </c>
      <c r="H51" s="14"/>
      <c r="I51" s="14"/>
    </row>
    <row r="52">
      <c r="A52" s="11">
        <v>44000</v>
      </c>
      <c r="B52" s="5"/>
      <c r="C52" s="5"/>
      <c r="D52" s="5"/>
      <c r="E52" s="5"/>
      <c r="F52" s="5"/>
      <c r="G52" s="5"/>
      <c r="H52" s="5"/>
      <c r="I52" s="5"/>
    </row>
    <row r="53">
      <c r="A53" s="11">
        <v>44001</v>
      </c>
      <c r="B53" s="14"/>
      <c r="C53" s="14"/>
      <c r="D53" s="14"/>
      <c r="E53" s="14"/>
      <c r="F53" s="14"/>
      <c r="G53" s="14"/>
      <c r="H53" s="14"/>
      <c r="I53" s="14"/>
    </row>
    <row r="54">
      <c r="A54" s="11">
        <v>44002</v>
      </c>
      <c r="B54" s="5"/>
      <c r="C54" s="5"/>
      <c r="D54" s="5"/>
      <c r="E54" s="5"/>
      <c r="F54" s="5"/>
      <c r="G54" s="5"/>
      <c r="H54" s="5"/>
      <c r="I54" s="5"/>
    </row>
    <row r="55">
      <c r="A55" s="11">
        <v>44003</v>
      </c>
      <c r="B55" s="14"/>
      <c r="C55" s="14"/>
      <c r="D55" s="14"/>
      <c r="E55" s="14"/>
      <c r="F55" s="14"/>
      <c r="G55" s="14"/>
      <c r="H55" s="14"/>
      <c r="I55" s="14"/>
    </row>
    <row r="56">
      <c r="A56" s="11">
        <v>44004</v>
      </c>
      <c r="B56" s="5"/>
      <c r="C56" s="5"/>
      <c r="D56" s="5"/>
      <c r="E56" s="5"/>
      <c r="F56" s="5"/>
      <c r="G56" s="5"/>
      <c r="H56" s="5"/>
      <c r="I56" s="5"/>
    </row>
    <row r="57">
      <c r="A57" s="11">
        <v>44005</v>
      </c>
      <c r="B57" s="14"/>
      <c r="C57" s="14"/>
      <c r="D57" s="14"/>
      <c r="E57" s="14"/>
      <c r="F57" s="14"/>
      <c r="G57" s="14"/>
      <c r="H57" s="14"/>
      <c r="I57" s="14"/>
    </row>
    <row r="58">
      <c r="A58" s="11">
        <v>44006</v>
      </c>
      <c r="B58" s="5"/>
      <c r="C58" s="5"/>
      <c r="D58" s="5"/>
      <c r="E58" s="5"/>
      <c r="F58" s="5"/>
      <c r="G58" s="5"/>
      <c r="H58" s="5"/>
      <c r="I58" s="5"/>
    </row>
    <row r="59">
      <c r="A59" s="11">
        <v>44007</v>
      </c>
      <c r="B59" s="14">
        <v>7000</v>
      </c>
      <c r="C59" s="14"/>
      <c r="D59" s="14"/>
      <c r="E59" s="14"/>
      <c r="F59" s="14"/>
      <c r="G59" s="14"/>
      <c r="H59" s="14"/>
      <c r="I59" s="14"/>
    </row>
    <row r="60">
      <c r="A60" s="11">
        <v>44008</v>
      </c>
      <c r="B60" s="5"/>
      <c r="C60" s="5"/>
      <c r="D60" s="5"/>
      <c r="E60" s="5"/>
      <c r="F60" s="5"/>
      <c r="G60" s="5"/>
      <c r="H60" s="5"/>
      <c r="I60" s="5"/>
    </row>
    <row r="61">
      <c r="A61" s="11">
        <v>44009</v>
      </c>
      <c r="B61" s="14"/>
      <c r="C61" s="14"/>
      <c r="D61" s="14"/>
      <c r="E61" s="14"/>
      <c r="F61" s="14"/>
      <c r="G61" s="14"/>
      <c r="H61" s="14"/>
      <c r="I61" s="14"/>
    </row>
    <row r="62">
      <c r="A62" s="11">
        <v>44010</v>
      </c>
      <c r="B62" s="5"/>
      <c r="C62" s="5"/>
      <c r="D62" s="5"/>
      <c r="E62" s="5"/>
      <c r="F62" s="5"/>
      <c r="G62" s="5"/>
      <c r="H62" s="5"/>
      <c r="I62" s="5"/>
    </row>
    <row r="63">
      <c r="A63" s="11">
        <v>44011</v>
      </c>
      <c r="B63" s="14"/>
      <c r="C63" s="14"/>
      <c r="D63" s="14"/>
      <c r="E63" s="14"/>
      <c r="F63" s="14"/>
      <c r="G63" s="14"/>
      <c r="H63" s="14"/>
      <c r="I63" s="14"/>
    </row>
    <row r="64">
      <c r="A64" s="11">
        <v>44012</v>
      </c>
      <c r="B64" s="3"/>
      <c r="C64" s="3"/>
      <c r="D64" s="3"/>
      <c r="E64" s="3">
        <v>296.75</v>
      </c>
      <c r="F64" s="3"/>
      <c r="G64" s="3"/>
      <c r="H64" s="3"/>
      <c r="I64" s="3"/>
    </row>
    <row r="65">
      <c r="A65" s="7"/>
      <c r="B65" s="7">
        <f t="shared" ref="B65:H65" si="27">SUM(B35:B64)</f>
        <v>17024.549999999999</v>
      </c>
      <c r="C65" s="7">
        <f t="shared" si="27"/>
        <v>0</v>
      </c>
      <c r="D65" s="7">
        <f t="shared" si="27"/>
        <v>0</v>
      </c>
      <c r="E65" s="7">
        <f t="shared" si="27"/>
        <v>296.75</v>
      </c>
      <c r="F65" s="7">
        <f t="shared" si="27"/>
        <v>0</v>
      </c>
      <c r="G65" s="7">
        <f t="shared" si="27"/>
        <v>300</v>
      </c>
      <c r="H65" s="7">
        <f t="shared" si="27"/>
        <v>1000</v>
      </c>
      <c r="I65" s="7">
        <f>SUM(B65:H65)</f>
        <v>18621.299999999999</v>
      </c>
      <c r="R65" s="33">
        <f>SUM(R36:R64)</f>
        <v>105701.10000000001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3" activeCellId="0" sqref="B33:Q33"/>
    </sheetView>
  </sheetViews>
  <sheetFormatPr defaultRowHeight="14.25"/>
  <cols>
    <col bestFit="1" customWidth="1" min="1" max="1" width="13.4257812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
      <c r="R1" s="1"/>
      <c r="S1" s="1"/>
    </row>
    <row r="2">
      <c r="A2" s="11">
        <v>44013</v>
      </c>
      <c r="B2" s="14">
        <v>40</v>
      </c>
      <c r="C2" s="14">
        <v>286.06999999999999</v>
      </c>
      <c r="D2" s="14"/>
      <c r="E2" s="14"/>
      <c r="F2" s="14"/>
      <c r="G2" s="14"/>
      <c r="H2" s="14"/>
      <c r="I2" s="14"/>
      <c r="J2" s="14"/>
      <c r="K2" s="14"/>
      <c r="L2" s="14"/>
      <c r="M2" s="14"/>
      <c r="N2" s="14"/>
      <c r="O2" s="14"/>
      <c r="P2" s="14"/>
      <c r="Q2" s="14"/>
      <c r="R2" s="14"/>
      <c r="S2" s="14"/>
    </row>
    <row r="3">
      <c r="A3" s="11">
        <v>44014</v>
      </c>
      <c r="B3" s="5">
        <v>40</v>
      </c>
      <c r="C3" s="5"/>
      <c r="D3" s="5">
        <v>224</v>
      </c>
      <c r="E3" s="5"/>
      <c r="F3" s="5"/>
      <c r="G3" s="5"/>
      <c r="H3" s="5"/>
      <c r="I3" s="5"/>
      <c r="J3" s="5"/>
      <c r="K3" s="5"/>
      <c r="L3" s="5"/>
      <c r="M3" s="5"/>
      <c r="N3" s="5"/>
      <c r="O3" s="5"/>
      <c r="P3" s="5"/>
      <c r="Q3" s="5"/>
      <c r="R3" s="5"/>
      <c r="S3" s="5"/>
    </row>
    <row r="4">
      <c r="A4" s="11">
        <v>44015</v>
      </c>
      <c r="B4" s="14">
        <v>40</v>
      </c>
      <c r="C4" s="14"/>
      <c r="D4" s="14">
        <v>140</v>
      </c>
      <c r="E4" s="14"/>
      <c r="F4" s="14"/>
      <c r="G4" s="14"/>
      <c r="H4" s="14"/>
      <c r="I4" s="14"/>
      <c r="J4" s="14"/>
      <c r="K4" s="14"/>
      <c r="L4" s="14"/>
      <c r="M4" s="14"/>
      <c r="N4" s="14"/>
      <c r="O4" s="14"/>
      <c r="P4" s="14"/>
      <c r="Q4" s="14"/>
      <c r="R4" s="14"/>
      <c r="S4" s="14"/>
    </row>
    <row r="5">
      <c r="A5" s="11">
        <v>44016</v>
      </c>
      <c r="B5" s="5"/>
      <c r="C5" s="5">
        <v>59.990000000000002</v>
      </c>
      <c r="D5" s="5">
        <v>304</v>
      </c>
      <c r="E5" s="5"/>
      <c r="F5" s="5"/>
      <c r="G5" s="5"/>
      <c r="H5" s="5"/>
      <c r="I5" s="5"/>
      <c r="J5" s="5"/>
      <c r="K5" s="5"/>
      <c r="L5" s="5"/>
      <c r="M5" s="5"/>
      <c r="N5" s="5"/>
      <c r="O5" s="5"/>
      <c r="P5" s="5"/>
      <c r="Q5" s="5"/>
      <c r="R5" s="5"/>
      <c r="S5" s="5"/>
    </row>
    <row r="6">
      <c r="A6" s="11">
        <v>44017</v>
      </c>
      <c r="B6" s="14">
        <v>80</v>
      </c>
      <c r="C6" s="14">
        <f>49.99+29.99</f>
        <v>79.980000000000004</v>
      </c>
      <c r="D6" s="14"/>
      <c r="E6" s="14"/>
      <c r="F6" s="14"/>
      <c r="G6" s="14"/>
      <c r="H6" s="14"/>
      <c r="I6" s="14"/>
      <c r="J6" s="14"/>
      <c r="K6" s="14"/>
      <c r="L6" s="14"/>
      <c r="M6" s="14">
        <v>375</v>
      </c>
      <c r="N6" s="14"/>
      <c r="O6" s="14"/>
      <c r="P6" s="14"/>
      <c r="Q6" s="14"/>
      <c r="R6" s="14"/>
      <c r="S6" s="14"/>
    </row>
    <row r="7">
      <c r="A7" s="11">
        <v>44018</v>
      </c>
      <c r="B7" s="5">
        <v>40</v>
      </c>
      <c r="C7" s="5">
        <v>79.180000000000007</v>
      </c>
      <c r="D7" s="5">
        <v>219</v>
      </c>
      <c r="E7" s="5"/>
      <c r="F7" s="5"/>
      <c r="G7" s="5"/>
      <c r="H7" s="5"/>
      <c r="I7" s="5"/>
      <c r="J7" s="5"/>
      <c r="K7" s="5"/>
      <c r="L7" s="5"/>
      <c r="M7" s="5"/>
      <c r="N7" s="5"/>
      <c r="O7" s="5"/>
      <c r="P7" s="5"/>
      <c r="Q7" s="5"/>
      <c r="R7" s="5"/>
      <c r="S7" s="5"/>
    </row>
    <row r="8">
      <c r="A8" s="11">
        <v>44019</v>
      </c>
      <c r="B8" s="14"/>
      <c r="C8" s="14"/>
      <c r="D8" s="14"/>
      <c r="E8" s="14"/>
      <c r="F8" s="14"/>
      <c r="G8" s="14"/>
      <c r="H8" s="14"/>
      <c r="I8" s="14"/>
      <c r="J8" s="14"/>
      <c r="K8" s="14"/>
      <c r="L8" s="14"/>
      <c r="M8" s="14"/>
      <c r="N8" s="14"/>
      <c r="O8" s="14"/>
      <c r="P8" s="14"/>
      <c r="Q8" s="14"/>
      <c r="R8" s="14"/>
      <c r="S8" s="14"/>
    </row>
    <row r="9">
      <c r="A9" s="11">
        <v>44020</v>
      </c>
      <c r="B9" s="5"/>
      <c r="C9" s="5"/>
      <c r="D9" s="5"/>
      <c r="E9" s="5"/>
      <c r="F9" s="5"/>
      <c r="G9" s="5"/>
      <c r="H9" s="5"/>
      <c r="I9" s="5"/>
      <c r="J9" s="5"/>
      <c r="K9" s="5"/>
      <c r="L9" s="5">
        <v>897.5</v>
      </c>
      <c r="M9" s="5"/>
      <c r="N9" s="5"/>
      <c r="O9" s="5"/>
      <c r="P9" s="5"/>
      <c r="Q9" s="5"/>
      <c r="R9" s="5"/>
      <c r="S9" s="5"/>
    </row>
    <row r="10">
      <c r="A10" s="11">
        <v>44021</v>
      </c>
      <c r="B10" s="14"/>
      <c r="C10" s="14">
        <v>31.989999999999998</v>
      </c>
      <c r="D10" s="14">
        <v>264</v>
      </c>
      <c r="E10" s="14"/>
      <c r="F10" s="14"/>
      <c r="G10" s="14"/>
      <c r="H10" s="14"/>
      <c r="I10" s="14"/>
      <c r="J10" s="14"/>
      <c r="K10" s="14"/>
      <c r="L10" s="14"/>
      <c r="M10" s="14"/>
      <c r="N10" s="14"/>
      <c r="O10" s="14"/>
      <c r="P10" s="14"/>
      <c r="Q10" s="14"/>
      <c r="R10" s="14"/>
      <c r="S10" s="14"/>
    </row>
    <row r="11">
      <c r="A11" s="11">
        <v>44022</v>
      </c>
      <c r="B11" s="5">
        <v>40</v>
      </c>
      <c r="C11" s="5">
        <v>152.47999999999999</v>
      </c>
      <c r="D11" s="5"/>
      <c r="E11" s="5"/>
      <c r="F11" s="5"/>
      <c r="G11" s="5"/>
      <c r="H11" s="5"/>
      <c r="I11" s="5"/>
      <c r="J11" s="5"/>
      <c r="K11" s="5">
        <v>1430</v>
      </c>
      <c r="L11" s="5"/>
      <c r="M11" s="5"/>
      <c r="N11" s="5"/>
      <c r="O11" s="5"/>
      <c r="P11" s="5">
        <v>199</v>
      </c>
      <c r="Q11" s="5"/>
      <c r="R11" s="5"/>
      <c r="S11" s="5"/>
    </row>
    <row r="12">
      <c r="A12" s="11">
        <v>44023</v>
      </c>
      <c r="B12" s="14">
        <f>20+20+191</f>
        <v>231</v>
      </c>
      <c r="C12" s="14"/>
      <c r="D12" s="14"/>
      <c r="E12" s="14">
        <v>550</v>
      </c>
      <c r="F12" s="14"/>
      <c r="G12" s="14"/>
      <c r="H12" s="14"/>
      <c r="I12" s="14"/>
      <c r="J12" s="14"/>
      <c r="K12" s="14"/>
      <c r="L12" s="14"/>
      <c r="M12" s="14"/>
      <c r="N12" s="14"/>
      <c r="O12" s="14"/>
      <c r="P12" s="14"/>
      <c r="Q12" s="14"/>
      <c r="R12" s="14"/>
      <c r="S12" s="14"/>
    </row>
    <row r="13">
      <c r="A13" s="11">
        <v>44024</v>
      </c>
      <c r="B13" s="5">
        <f>169+20</f>
        <v>189</v>
      </c>
      <c r="C13" s="5"/>
      <c r="D13" s="5"/>
      <c r="E13" s="5"/>
      <c r="F13" s="5"/>
      <c r="G13" s="5"/>
      <c r="H13" s="5"/>
      <c r="I13" s="5"/>
      <c r="J13" s="5"/>
      <c r="K13" s="5"/>
      <c r="L13" s="5"/>
      <c r="M13" s="5"/>
      <c r="N13" s="5"/>
      <c r="O13" s="5"/>
      <c r="P13" s="5"/>
      <c r="Q13" s="5"/>
      <c r="R13" s="5"/>
      <c r="S13" s="5"/>
    </row>
    <row r="14">
      <c r="A14" s="11">
        <v>44025</v>
      </c>
      <c r="B14" s="14">
        <f>246+156+20+20</f>
        <v>442</v>
      </c>
      <c r="C14" s="14">
        <f>739.67+42.99</f>
        <v>782.65999999999997</v>
      </c>
      <c r="D14" s="14"/>
      <c r="E14" s="14"/>
      <c r="F14" s="14"/>
      <c r="G14" s="14"/>
      <c r="H14" s="14"/>
      <c r="I14" s="14"/>
      <c r="J14" s="14"/>
      <c r="K14" s="14"/>
      <c r="L14" s="14"/>
      <c r="M14" s="14"/>
      <c r="N14" s="14"/>
      <c r="O14" s="14"/>
      <c r="P14" s="14"/>
      <c r="Q14" s="14"/>
      <c r="R14" s="14"/>
      <c r="S14" s="14"/>
    </row>
    <row r="15">
      <c r="A15" s="11">
        <v>44026</v>
      </c>
      <c r="B15" s="5">
        <v>40</v>
      </c>
      <c r="C15" s="5"/>
      <c r="D15" s="5"/>
      <c r="E15" s="5"/>
      <c r="F15" s="5"/>
      <c r="G15" s="5"/>
      <c r="H15" s="5"/>
      <c r="J15" s="5"/>
      <c r="K15" s="5"/>
      <c r="L15" s="5"/>
      <c r="M15" s="5"/>
      <c r="N15" s="5"/>
      <c r="O15" s="5"/>
      <c r="P15" s="5"/>
      <c r="Q15" s="5"/>
      <c r="R15" s="5"/>
      <c r="S15" s="5"/>
    </row>
    <row r="16">
      <c r="A16" s="11">
        <v>44027</v>
      </c>
      <c r="B16" s="14">
        <v>40</v>
      </c>
      <c r="C16" s="14"/>
      <c r="D16" s="14"/>
      <c r="E16" s="14"/>
      <c r="F16" s="14"/>
      <c r="G16" s="14"/>
      <c r="H16" s="14"/>
      <c r="I16" s="14"/>
      <c r="J16" s="14"/>
      <c r="K16" s="14"/>
      <c r="L16" s="14"/>
      <c r="M16" s="14"/>
      <c r="N16" s="14"/>
      <c r="O16" s="14"/>
      <c r="P16" s="14"/>
      <c r="Q16" s="14"/>
      <c r="R16" s="14"/>
      <c r="S16" s="14"/>
    </row>
    <row r="17">
      <c r="A17" s="11">
        <v>44028</v>
      </c>
      <c r="B17" s="5">
        <v>20</v>
      </c>
      <c r="C17" s="5">
        <v>94.890000000000001</v>
      </c>
      <c r="D17" s="5">
        <v>260</v>
      </c>
      <c r="E17" s="5"/>
      <c r="F17" s="5"/>
      <c r="G17" s="5"/>
      <c r="H17" s="5"/>
      <c r="I17" s="5"/>
      <c r="J17" s="5"/>
      <c r="K17" s="5"/>
      <c r="L17" s="5"/>
      <c r="M17" s="5"/>
      <c r="N17" s="5"/>
      <c r="O17" s="5"/>
      <c r="P17" s="5"/>
      <c r="Q17" s="5"/>
      <c r="R17" s="5"/>
      <c r="S17" s="5"/>
    </row>
    <row r="18">
      <c r="A18" s="11">
        <v>44029</v>
      </c>
      <c r="B18" s="14"/>
      <c r="C18" s="14">
        <f>346.59+88.9+213</f>
        <v>648.49000000000001</v>
      </c>
      <c r="D18" s="14">
        <v>280</v>
      </c>
      <c r="E18" s="14"/>
      <c r="F18" s="14"/>
      <c r="G18" s="14"/>
      <c r="H18" s="14"/>
      <c r="I18" s="14"/>
      <c r="J18" s="14"/>
      <c r="K18" s="14"/>
      <c r="L18" s="14"/>
      <c r="M18" s="14"/>
      <c r="N18" s="14"/>
      <c r="O18" s="14"/>
      <c r="P18" s="14"/>
      <c r="Q18" s="14"/>
      <c r="R18" s="14"/>
      <c r="S18" s="14"/>
    </row>
    <row r="19">
      <c r="A19" s="11">
        <v>44030</v>
      </c>
      <c r="B19" s="5"/>
      <c r="C19" s="5"/>
      <c r="D19" s="5"/>
      <c r="E19" s="5"/>
      <c r="F19" s="5"/>
      <c r="G19" s="5"/>
      <c r="H19" s="5"/>
      <c r="I19" s="5"/>
      <c r="J19" s="5"/>
      <c r="K19" s="5"/>
      <c r="L19" s="5"/>
      <c r="M19" s="5"/>
      <c r="N19" s="5"/>
      <c r="O19" s="5"/>
      <c r="P19" s="5"/>
      <c r="Q19" s="5"/>
      <c r="R19" s="5"/>
      <c r="S19" s="5"/>
    </row>
    <row r="20">
      <c r="A20" s="11">
        <v>44031</v>
      </c>
      <c r="B20" s="14">
        <v>40</v>
      </c>
      <c r="C20" s="14">
        <v>391.13999999999999</v>
      </c>
      <c r="D20" s="14"/>
      <c r="E20" s="14"/>
      <c r="F20" s="14"/>
      <c r="G20" s="14"/>
      <c r="H20" s="14"/>
      <c r="I20" s="14"/>
      <c r="J20" s="14"/>
      <c r="K20" s="14"/>
      <c r="L20" s="14"/>
      <c r="M20" s="14"/>
      <c r="N20" s="14"/>
      <c r="O20" s="14"/>
      <c r="P20" s="34"/>
      <c r="Q20" s="14"/>
      <c r="R20" s="14"/>
      <c r="S20" s="14"/>
    </row>
    <row r="21">
      <c r="A21" s="11">
        <v>44032</v>
      </c>
      <c r="B21" s="5">
        <v>40</v>
      </c>
      <c r="C21" s="5"/>
      <c r="D21" s="5">
        <v>228</v>
      </c>
      <c r="E21" s="5"/>
      <c r="F21" s="5"/>
      <c r="G21" s="5"/>
      <c r="H21" s="5"/>
      <c r="I21" s="5"/>
      <c r="J21" s="5"/>
      <c r="K21" s="5"/>
      <c r="L21" s="5">
        <v>2350</v>
      </c>
      <c r="M21" s="5"/>
      <c r="N21" s="5"/>
      <c r="O21" s="5"/>
      <c r="P21" s="5"/>
      <c r="Q21" s="5"/>
      <c r="R21" s="5"/>
      <c r="S21" s="5"/>
    </row>
    <row r="22">
      <c r="A22" s="11">
        <v>44033</v>
      </c>
      <c r="B22" s="14">
        <v>20</v>
      </c>
      <c r="C22" s="22">
        <v>64.989999999999995</v>
      </c>
      <c r="D22" s="22">
        <f>245.98+160</f>
        <v>405.98000000000002</v>
      </c>
      <c r="E22" s="14"/>
      <c r="F22" s="14"/>
      <c r="G22" s="14"/>
      <c r="H22" s="14"/>
      <c r="I22" s="14"/>
      <c r="J22" s="14"/>
      <c r="K22" s="14"/>
      <c r="L22" s="14"/>
      <c r="M22" s="14"/>
      <c r="N22" s="14"/>
      <c r="O22" s="14"/>
      <c r="P22" s="14"/>
      <c r="Q22" s="14"/>
      <c r="R22" s="14"/>
      <c r="S22" s="14"/>
    </row>
    <row r="23">
      <c r="A23" s="11">
        <v>44034</v>
      </c>
      <c r="B23" s="5">
        <v>40</v>
      </c>
      <c r="E23" s="5"/>
      <c r="F23" s="5"/>
      <c r="G23" s="5"/>
      <c r="H23" s="5"/>
      <c r="I23" s="5"/>
      <c r="J23" s="5"/>
      <c r="K23" s="5"/>
      <c r="L23" s="5"/>
      <c r="M23" s="5"/>
      <c r="N23" s="5"/>
      <c r="O23" s="5"/>
      <c r="P23" s="5"/>
      <c r="Q23" s="5"/>
      <c r="R23" s="5"/>
      <c r="S23" s="5"/>
    </row>
    <row r="24">
      <c r="A24" s="11">
        <v>44035</v>
      </c>
      <c r="B24" s="14">
        <v>40</v>
      </c>
      <c r="C24" s="14">
        <v>262.44</v>
      </c>
      <c r="D24" s="14">
        <v>245</v>
      </c>
      <c r="E24" s="14"/>
      <c r="F24" s="14"/>
      <c r="G24" s="14"/>
      <c r="H24" s="14"/>
      <c r="I24" s="14"/>
      <c r="J24" s="14"/>
      <c r="K24" s="14"/>
      <c r="L24" s="14"/>
      <c r="M24" s="14"/>
      <c r="N24" s="14"/>
      <c r="O24" s="14"/>
      <c r="P24" s="14"/>
      <c r="Q24" s="14"/>
      <c r="R24" s="14"/>
      <c r="S24" s="14"/>
    </row>
    <row r="25">
      <c r="A25" s="11">
        <v>44036</v>
      </c>
      <c r="C25" s="5"/>
      <c r="D25" s="5">
        <f>140+750</f>
        <v>890</v>
      </c>
      <c r="E25" s="5"/>
      <c r="F25" s="5"/>
      <c r="G25" s="5"/>
      <c r="H25" s="5"/>
      <c r="I25" s="5"/>
      <c r="J25" s="5"/>
      <c r="K25" s="5"/>
      <c r="L25" s="5"/>
      <c r="M25" s="5"/>
      <c r="N25" s="5"/>
      <c r="O25" s="5"/>
      <c r="P25" s="5"/>
      <c r="Q25" s="5"/>
      <c r="R25" s="5"/>
      <c r="S25" s="5"/>
    </row>
    <row r="26">
      <c r="A26" s="11">
        <v>44037</v>
      </c>
      <c r="B26" s="14">
        <v>40</v>
      </c>
      <c r="C26" s="14">
        <v>49.990000000000002</v>
      </c>
      <c r="D26" s="14">
        <v>175</v>
      </c>
      <c r="E26" s="14"/>
      <c r="F26" s="14"/>
      <c r="G26" s="14"/>
      <c r="H26" s="14"/>
      <c r="I26" s="14"/>
      <c r="J26" s="14"/>
      <c r="K26" s="14">
        <v>5500</v>
      </c>
      <c r="L26" s="14"/>
      <c r="M26" s="14"/>
      <c r="N26" s="14"/>
      <c r="O26" s="14"/>
      <c r="P26" s="14"/>
      <c r="Q26" s="14"/>
      <c r="R26" s="14"/>
      <c r="S26" s="14"/>
    </row>
    <row r="27">
      <c r="A27" s="11">
        <v>44038</v>
      </c>
      <c r="B27" s="5"/>
      <c r="C27" s="5">
        <f>737.01+90.44</f>
        <v>827.45000000000005</v>
      </c>
      <c r="D27" s="5"/>
      <c r="E27" s="5"/>
      <c r="F27" s="5"/>
      <c r="G27" s="5"/>
      <c r="H27" s="5"/>
      <c r="I27" s="5"/>
      <c r="J27" s="5">
        <v>528</v>
      </c>
      <c r="K27" s="5"/>
      <c r="L27" s="5"/>
      <c r="M27" s="5"/>
      <c r="N27" s="5"/>
      <c r="O27" s="5"/>
      <c r="P27" s="5"/>
      <c r="Q27" s="5"/>
      <c r="R27" s="5"/>
      <c r="S27" s="5"/>
    </row>
    <row r="28">
      <c r="A28" s="11">
        <v>44039</v>
      </c>
      <c r="B28" s="14">
        <v>40</v>
      </c>
      <c r="C28" s="14">
        <v>603.49000000000001</v>
      </c>
      <c r="D28" s="14"/>
      <c r="E28" s="14"/>
      <c r="F28" s="14"/>
      <c r="G28" s="14"/>
      <c r="H28" s="14">
        <f>649+200</f>
        <v>849</v>
      </c>
      <c r="I28" s="14"/>
      <c r="J28" s="14"/>
      <c r="K28" s="14"/>
      <c r="L28" s="14">
        <f>2148+376</f>
        <v>2524</v>
      </c>
      <c r="M28" s="14"/>
      <c r="N28" s="14"/>
      <c r="O28" s="14"/>
      <c r="P28" s="14"/>
      <c r="Q28" s="14"/>
      <c r="R28" s="14"/>
      <c r="S28" s="14"/>
    </row>
    <row r="29">
      <c r="A29" s="11">
        <v>44040</v>
      </c>
      <c r="B29" s="5">
        <v>20</v>
      </c>
      <c r="C29" s="5">
        <v>88.730000000000004</v>
      </c>
      <c r="D29" s="5">
        <v>50</v>
      </c>
      <c r="E29" s="5"/>
      <c r="F29" s="5"/>
      <c r="G29" s="5"/>
      <c r="H29" s="5"/>
      <c r="I29" s="5"/>
      <c r="J29" s="5">
        <v>1353</v>
      </c>
      <c r="K29" s="5"/>
      <c r="L29" s="5">
        <v>-2350</v>
      </c>
      <c r="M29" s="5"/>
      <c r="N29" s="5"/>
      <c r="O29" s="5"/>
      <c r="P29" s="5"/>
      <c r="Q29" s="5"/>
      <c r="R29" s="5"/>
      <c r="S29" s="5"/>
    </row>
    <row r="30">
      <c r="A30" s="11">
        <v>44041</v>
      </c>
      <c r="B30" s="14">
        <v>20</v>
      </c>
      <c r="C30" s="14">
        <v>27.989999999999998</v>
      </c>
      <c r="D30" s="14">
        <v>435</v>
      </c>
      <c r="E30" s="14"/>
      <c r="F30" s="14"/>
      <c r="G30" s="14"/>
      <c r="H30" s="14"/>
      <c r="I30" s="14"/>
      <c r="J30" s="14"/>
      <c r="K30" s="14"/>
      <c r="L30" s="14"/>
      <c r="M30" s="14"/>
      <c r="N30" s="14"/>
      <c r="O30" s="14"/>
      <c r="P30" s="14"/>
      <c r="Q30" s="14"/>
      <c r="R30" s="14"/>
      <c r="S30" s="14"/>
    </row>
    <row r="31">
      <c r="A31" s="11">
        <v>44042</v>
      </c>
      <c r="B31" s="3"/>
      <c r="C31" s="3">
        <v>169.47</v>
      </c>
      <c r="D31" s="3"/>
      <c r="E31" s="3"/>
      <c r="F31" s="3"/>
      <c r="G31" s="3"/>
      <c r="H31" s="3"/>
      <c r="I31" s="3"/>
      <c r="J31" s="3"/>
      <c r="K31" s="3"/>
      <c r="L31" s="3"/>
      <c r="M31" s="3"/>
      <c r="N31" s="3"/>
      <c r="O31" s="3"/>
      <c r="P31" s="3"/>
      <c r="Q31" s="3"/>
      <c r="R31" s="3"/>
      <c r="S31" s="3"/>
    </row>
    <row r="32">
      <c r="A32" s="11">
        <v>44043</v>
      </c>
      <c r="B32" s="22">
        <v>40</v>
      </c>
      <c r="C32" s="22"/>
      <c r="D32" s="22"/>
      <c r="E32" s="22"/>
      <c r="F32" s="22"/>
      <c r="G32" s="22"/>
      <c r="H32" s="22"/>
      <c r="I32" s="22"/>
      <c r="J32" s="22"/>
      <c r="K32" s="22"/>
      <c r="L32" s="22"/>
      <c r="M32" s="22">
        <v>50</v>
      </c>
      <c r="N32" s="22"/>
      <c r="O32" s="22"/>
      <c r="P32" s="22"/>
      <c r="Q32" s="22"/>
      <c r="R32" s="22"/>
      <c r="S32" s="22"/>
    </row>
    <row r="33">
      <c r="A33" s="7"/>
      <c r="B33" s="7">
        <f>SUM(B2:B32)</f>
        <v>1582</v>
      </c>
      <c r="C33" s="7">
        <f t="shared" ref="C33:Q33" si="28">SUM(C2:C32)</f>
        <v>4701.4199999999992</v>
      </c>
      <c r="D33" s="7">
        <f t="shared" si="28"/>
        <v>4119.9799999999996</v>
      </c>
      <c r="E33" s="7">
        <f t="shared" si="28"/>
        <v>550</v>
      </c>
      <c r="F33" s="7">
        <f t="shared" si="28"/>
        <v>0</v>
      </c>
      <c r="G33" s="7">
        <f t="shared" si="28"/>
        <v>0</v>
      </c>
      <c r="H33" s="7">
        <f t="shared" si="28"/>
        <v>849</v>
      </c>
      <c r="I33" s="7">
        <f t="shared" si="28"/>
        <v>0</v>
      </c>
      <c r="J33" s="7">
        <f t="shared" si="28"/>
        <v>1881</v>
      </c>
      <c r="K33" s="7">
        <f t="shared" si="28"/>
        <v>6930</v>
      </c>
      <c r="L33" s="7">
        <f t="shared" si="28"/>
        <v>3421.5</v>
      </c>
      <c r="M33" s="7">
        <f t="shared" si="28"/>
        <v>425</v>
      </c>
      <c r="N33" s="7">
        <f t="shared" si="28"/>
        <v>0</v>
      </c>
      <c r="O33" s="7">
        <f t="shared" si="28"/>
        <v>0</v>
      </c>
      <c r="P33" s="7">
        <f t="shared" si="28"/>
        <v>199</v>
      </c>
      <c r="Q33" s="7">
        <f t="shared" si="28"/>
        <v>0</v>
      </c>
      <c r="R33" s="7" t="s">
        <v>14</v>
      </c>
      <c r="S33" s="7">
        <f>SUM(B33:Q33)</f>
        <v>24658.899999999998</v>
      </c>
    </row>
    <row r="34">
      <c r="A34" s="8"/>
      <c r="B34" s="8"/>
      <c r="C34" s="8"/>
      <c r="D34" s="8"/>
      <c r="E34" s="8"/>
      <c r="F34" s="8"/>
      <c r="G34" s="8"/>
      <c r="H34" s="8"/>
      <c r="I34" s="8"/>
      <c r="J34" s="9"/>
      <c r="K34" s="9"/>
      <c r="L34" s="9"/>
      <c r="M34" s="9"/>
      <c r="N34" s="9"/>
      <c r="O34" s="9"/>
      <c r="P34" s="9"/>
      <c r="Q34" s="9"/>
      <c r="R34" s="9"/>
      <c r="S34" s="9"/>
    </row>
    <row r="35">
      <c r="A35" s="10" t="s">
        <v>0</v>
      </c>
      <c r="B35" s="10" t="s">
        <v>15</v>
      </c>
      <c r="C35" s="10" t="s">
        <v>16</v>
      </c>
      <c r="D35" s="10" t="s">
        <v>17</v>
      </c>
      <c r="E35" s="10" t="s">
        <v>18</v>
      </c>
      <c r="F35" s="10" t="s">
        <v>21</v>
      </c>
      <c r="G35" s="10" t="s">
        <v>26</v>
      </c>
      <c r="H35" s="10" t="s">
        <v>27</v>
      </c>
      <c r="I35" s="1"/>
    </row>
    <row r="36">
      <c r="A36" s="11">
        <v>44013</v>
      </c>
      <c r="B36" s="14"/>
      <c r="C36" s="14"/>
      <c r="D36" s="14"/>
      <c r="E36" s="14"/>
      <c r="F36" s="14"/>
      <c r="G36" s="14"/>
      <c r="H36" s="14"/>
      <c r="I36" s="14"/>
      <c r="N36" s="13"/>
      <c r="O36" s="13"/>
      <c r="R36" s="31" t="s">
        <v>40</v>
      </c>
    </row>
    <row r="37">
      <c r="A37" s="11">
        <v>44014</v>
      </c>
      <c r="B37" s="5"/>
      <c r="C37" s="5"/>
      <c r="D37" s="5"/>
      <c r="E37" s="5"/>
      <c r="F37" s="5"/>
      <c r="G37" s="5"/>
      <c r="H37" s="5"/>
      <c r="I37" s="5"/>
      <c r="R37" s="31">
        <f>2030-500-600</f>
        <v>930</v>
      </c>
      <c r="S37" s="31" t="s">
        <v>29</v>
      </c>
    </row>
    <row r="38">
      <c r="A38" s="11">
        <v>44015</v>
      </c>
      <c r="B38" s="14"/>
      <c r="C38" s="14"/>
      <c r="D38" s="14"/>
      <c r="E38" s="14"/>
      <c r="F38" s="14"/>
      <c r="G38" s="14"/>
      <c r="H38" s="14"/>
      <c r="I38" s="14"/>
      <c r="R38" s="31">
        <f>21000-344+2039+(23000-23000)-344-344+8164.1-4600-3300+(3000-3000)+80000+2000+(5500-5000)+(5650-5100)</f>
        <v>105321.10000000001</v>
      </c>
      <c r="S38" s="31" t="s">
        <v>31</v>
      </c>
    </row>
    <row r="39">
      <c r="A39" s="11">
        <v>44016</v>
      </c>
      <c r="B39" s="5"/>
      <c r="C39" s="5"/>
      <c r="D39" s="5"/>
      <c r="E39" s="5"/>
      <c r="F39" s="5">
        <v>1290.4000000000001</v>
      </c>
      <c r="G39" s="5"/>
      <c r="H39" s="5"/>
      <c r="I39" s="5"/>
      <c r="R39" s="31"/>
      <c r="S39" s="31" t="s">
        <v>38</v>
      </c>
    </row>
    <row r="40">
      <c r="A40" s="11">
        <v>44017</v>
      </c>
      <c r="B40" s="14"/>
      <c r="C40" s="14"/>
      <c r="D40" s="14"/>
      <c r="E40" s="14"/>
      <c r="F40" s="14"/>
      <c r="G40" s="14"/>
      <c r="H40" s="14"/>
      <c r="I40" s="14"/>
      <c r="R40" s="31"/>
      <c r="S40" s="31" t="s">
        <v>39</v>
      </c>
    </row>
    <row r="41">
      <c r="A41" s="11">
        <v>44018</v>
      </c>
      <c r="B41" s="5"/>
      <c r="C41" s="5"/>
      <c r="D41" s="5"/>
      <c r="E41" s="5"/>
      <c r="F41" s="5"/>
      <c r="G41" s="5"/>
      <c r="H41" s="5"/>
      <c r="I41" s="5"/>
      <c r="R41" s="31"/>
      <c r="S41" s="31" t="s">
        <v>41</v>
      </c>
    </row>
    <row r="42">
      <c r="A42" s="11">
        <v>44019</v>
      </c>
      <c r="B42" s="14"/>
      <c r="C42" s="14"/>
      <c r="D42" s="14"/>
      <c r="E42" s="14"/>
      <c r="F42" s="14"/>
      <c r="G42" s="14"/>
      <c r="H42" s="14"/>
      <c r="I42" s="14"/>
      <c r="R42" s="31">
        <v>0</v>
      </c>
      <c r="S42" t="s">
        <v>42</v>
      </c>
    </row>
    <row r="43">
      <c r="A43" s="11">
        <v>44020</v>
      </c>
      <c r="B43" s="5"/>
      <c r="C43" s="5"/>
      <c r="D43" s="5"/>
      <c r="E43" s="5"/>
      <c r="F43" s="5"/>
      <c r="G43" s="5"/>
      <c r="H43" s="5"/>
      <c r="I43" s="5"/>
      <c r="R43" s="31"/>
      <c r="S43" t="s">
        <v>23</v>
      </c>
    </row>
    <row r="44">
      <c r="A44" s="11">
        <v>44021</v>
      </c>
      <c r="B44" s="15"/>
      <c r="C44" s="14"/>
      <c r="D44" s="14"/>
      <c r="E44" s="14"/>
      <c r="F44" s="14"/>
      <c r="G44" s="14"/>
      <c r="H44" s="14"/>
      <c r="I44" s="14"/>
      <c r="R44" s="31"/>
      <c r="S44" t="s">
        <v>46</v>
      </c>
    </row>
    <row r="45">
      <c r="A45" s="11">
        <v>44022</v>
      </c>
      <c r="B45" s="5">
        <v>26561.950000000001</v>
      </c>
      <c r="C45" s="5"/>
      <c r="D45" s="5"/>
      <c r="E45" s="5"/>
      <c r="F45" s="5"/>
      <c r="G45" s="5"/>
      <c r="H45" s="5"/>
      <c r="I45" s="5"/>
    </row>
    <row r="46">
      <c r="A46" s="11">
        <v>44023</v>
      </c>
      <c r="B46" s="14"/>
      <c r="C46" s="14"/>
      <c r="D46" s="14"/>
      <c r="E46" s="14"/>
      <c r="F46" s="14"/>
      <c r="G46" s="14"/>
      <c r="H46" s="14"/>
      <c r="I46" s="14"/>
    </row>
    <row r="47">
      <c r="A47" s="11">
        <v>44024</v>
      </c>
      <c r="B47" s="5"/>
      <c r="C47" s="5"/>
      <c r="D47" s="5"/>
      <c r="E47" s="5"/>
      <c r="F47" s="5"/>
      <c r="G47" s="5"/>
      <c r="H47" s="5"/>
      <c r="I47" s="5"/>
    </row>
    <row r="48">
      <c r="A48" s="11">
        <v>44025</v>
      </c>
      <c r="B48" s="14"/>
      <c r="C48" s="14"/>
      <c r="D48" s="14"/>
      <c r="E48" s="14"/>
      <c r="F48" s="14"/>
      <c r="G48" s="14"/>
      <c r="H48" s="14"/>
      <c r="I48" s="14"/>
    </row>
    <row r="49">
      <c r="A49" s="11">
        <v>44026</v>
      </c>
      <c r="B49" s="5"/>
      <c r="C49" s="5"/>
      <c r="D49" s="5">
        <v>2000</v>
      </c>
      <c r="E49" s="5"/>
      <c r="F49" s="5"/>
      <c r="G49" s="5"/>
      <c r="H49" s="5"/>
      <c r="I49" s="5"/>
    </row>
    <row r="50">
      <c r="A50" s="11">
        <v>44027</v>
      </c>
      <c r="B50" s="14"/>
      <c r="C50" s="14"/>
      <c r="D50" s="14"/>
      <c r="E50" s="14"/>
      <c r="F50" s="14"/>
      <c r="G50" s="14"/>
      <c r="H50" s="14"/>
      <c r="I50" s="14"/>
    </row>
    <row r="51">
      <c r="A51" s="11">
        <v>44028</v>
      </c>
      <c r="B51" s="5"/>
      <c r="C51" s="5"/>
      <c r="D51" s="5"/>
      <c r="E51" s="5"/>
      <c r="F51" s="5"/>
      <c r="G51" s="5"/>
      <c r="H51" s="5">
        <v>200</v>
      </c>
      <c r="I51" s="5"/>
    </row>
    <row r="52">
      <c r="A52" s="11">
        <v>44029</v>
      </c>
      <c r="B52" s="14"/>
      <c r="C52" s="14"/>
      <c r="D52" s="14"/>
      <c r="E52" s="14"/>
      <c r="F52" s="14"/>
      <c r="G52" s="14"/>
      <c r="H52" s="14"/>
      <c r="I52" s="14"/>
    </row>
    <row r="53">
      <c r="A53" s="11">
        <v>44030</v>
      </c>
      <c r="B53" s="5"/>
      <c r="C53" s="5"/>
      <c r="D53" s="5"/>
      <c r="E53" s="5"/>
      <c r="F53" s="5"/>
      <c r="G53" s="5"/>
      <c r="H53" s="5"/>
      <c r="I53" s="5"/>
    </row>
    <row r="54">
      <c r="A54" s="11">
        <v>44031</v>
      </c>
      <c r="B54" s="14"/>
      <c r="C54" s="14"/>
      <c r="D54" s="14"/>
      <c r="E54" s="14"/>
      <c r="F54" s="14"/>
      <c r="G54" s="14"/>
      <c r="H54" s="14"/>
      <c r="I54" s="14"/>
    </row>
    <row r="55">
      <c r="A55" s="11">
        <v>44032</v>
      </c>
      <c r="B55" s="5"/>
      <c r="C55" s="5"/>
      <c r="D55" s="5"/>
      <c r="E55" s="5"/>
      <c r="F55" s="5"/>
      <c r="G55" s="5"/>
      <c r="H55" s="5"/>
      <c r="I55" s="5"/>
    </row>
    <row r="56">
      <c r="A56" s="11">
        <v>44033</v>
      </c>
      <c r="B56" s="14"/>
      <c r="C56" s="14"/>
      <c r="D56" s="14"/>
      <c r="E56" s="14"/>
      <c r="F56" s="14"/>
      <c r="G56" s="14"/>
      <c r="H56" s="14"/>
      <c r="I56" s="14"/>
    </row>
    <row r="57">
      <c r="A57" s="11">
        <v>44034</v>
      </c>
      <c r="B57" s="5"/>
      <c r="C57" s="5"/>
      <c r="D57" s="5"/>
      <c r="E57" s="5"/>
      <c r="F57" s="5"/>
      <c r="G57" s="5"/>
      <c r="H57" s="5">
        <v>1500</v>
      </c>
      <c r="I57" s="5"/>
    </row>
    <row r="58">
      <c r="A58" s="11">
        <v>44035</v>
      </c>
      <c r="B58" s="14"/>
      <c r="C58" s="14"/>
      <c r="D58" s="14"/>
      <c r="E58" s="14"/>
      <c r="F58" s="14"/>
      <c r="G58" s="14"/>
      <c r="H58" s="14"/>
      <c r="I58" s="14"/>
    </row>
    <row r="59">
      <c r="A59" s="11">
        <v>44036</v>
      </c>
      <c r="B59" s="5">
        <v>7000</v>
      </c>
      <c r="C59" s="5"/>
      <c r="D59" s="5"/>
      <c r="E59" s="5"/>
      <c r="F59" s="5"/>
      <c r="G59" s="5"/>
      <c r="H59" s="5"/>
      <c r="I59" s="5"/>
    </row>
    <row r="60">
      <c r="A60" s="11">
        <v>44037</v>
      </c>
      <c r="B60" s="14"/>
      <c r="C60" s="14"/>
      <c r="D60" s="14"/>
      <c r="E60" s="14"/>
      <c r="F60" s="14"/>
      <c r="G60" s="14"/>
      <c r="H60" s="14"/>
      <c r="I60" s="14"/>
    </row>
    <row r="61">
      <c r="A61" s="11">
        <v>44038</v>
      </c>
      <c r="B61" s="5"/>
      <c r="C61" s="5"/>
      <c r="D61" s="5"/>
      <c r="E61" s="5"/>
      <c r="F61" s="5"/>
      <c r="G61" s="5"/>
      <c r="H61" s="5"/>
      <c r="I61" s="5"/>
    </row>
    <row r="62">
      <c r="A62" s="11">
        <v>44039</v>
      </c>
      <c r="B62" s="14"/>
      <c r="C62" s="14"/>
      <c r="D62" s="14"/>
      <c r="E62" s="14"/>
      <c r="F62" s="14"/>
      <c r="G62" s="14"/>
      <c r="H62" s="14"/>
      <c r="I62" s="14"/>
    </row>
    <row r="63">
      <c r="A63" s="11">
        <v>44040</v>
      </c>
      <c r="B63" s="5"/>
      <c r="C63" s="5"/>
      <c r="D63" s="5"/>
      <c r="E63" s="5"/>
      <c r="F63" s="5"/>
      <c r="G63" s="5"/>
      <c r="H63" s="5"/>
      <c r="I63" s="5"/>
    </row>
    <row r="64">
      <c r="A64" s="11">
        <v>44041</v>
      </c>
      <c r="B64" s="14"/>
      <c r="C64" s="14"/>
      <c r="D64" s="14"/>
      <c r="E64" s="14"/>
      <c r="F64" s="14"/>
      <c r="G64" s="14"/>
      <c r="H64" s="14"/>
      <c r="I64" s="14"/>
    </row>
    <row r="65">
      <c r="A65" s="11">
        <v>44042</v>
      </c>
      <c r="B65" s="3"/>
      <c r="C65" s="3"/>
      <c r="D65" s="3"/>
      <c r="E65" s="3"/>
      <c r="F65" s="3"/>
      <c r="G65" s="3"/>
      <c r="H65" s="3"/>
      <c r="I65" s="3"/>
    </row>
    <row r="66">
      <c r="A66" s="11">
        <v>44043</v>
      </c>
      <c r="B66" s="22"/>
      <c r="C66" s="22"/>
      <c r="D66" s="22"/>
      <c r="E66" s="22">
        <f>330.8+0.68</f>
        <v>331.48000000000002</v>
      </c>
      <c r="F66" s="22"/>
      <c r="G66" s="22"/>
      <c r="H66" s="22"/>
      <c r="I66" s="22"/>
    </row>
    <row r="67">
      <c r="A67" s="7"/>
      <c r="B67" s="7">
        <f t="shared" ref="B67:H67" si="29">SUM(B36:B65)</f>
        <v>33561.949999999997</v>
      </c>
      <c r="C67" s="7">
        <f t="shared" si="29"/>
        <v>0</v>
      </c>
      <c r="D67" s="7">
        <f t="shared" si="29"/>
        <v>2000</v>
      </c>
      <c r="E67" s="7">
        <f t="shared" si="29"/>
        <v>0</v>
      </c>
      <c r="F67" s="7">
        <f t="shared" si="29"/>
        <v>1290.4000000000001</v>
      </c>
      <c r="G67" s="7">
        <f t="shared" si="29"/>
        <v>0</v>
      </c>
      <c r="H67" s="7">
        <f t="shared" si="29"/>
        <v>1700</v>
      </c>
      <c r="I67" s="7">
        <f>SUM(B67:H67)</f>
        <v>38552.349999999999</v>
      </c>
      <c r="R67" s="33">
        <f>SUM(R37:R65)</f>
        <v>106251.10000000001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3" activeCellId="0" sqref="B33:Q33"/>
    </sheetView>
  </sheetViews>
  <sheetFormatPr defaultRowHeight="14.25"/>
  <cols>
    <col bestFit="1" customWidth="1" min="1" max="1" width="11.14062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
      <c r="R1" s="1"/>
      <c r="S1" s="1"/>
    </row>
    <row r="2">
      <c r="A2" s="11">
        <v>44044</v>
      </c>
      <c r="B2" s="14">
        <f>176+20-200</f>
        <v>-4</v>
      </c>
      <c r="C2" s="14"/>
      <c r="D2" s="14">
        <v>214</v>
      </c>
      <c r="E2" s="14"/>
      <c r="F2" s="14"/>
      <c r="G2" s="14"/>
      <c r="H2" s="14"/>
      <c r="I2" s="14"/>
      <c r="J2" s="14"/>
      <c r="K2" s="14"/>
      <c r="L2" s="14"/>
      <c r="M2" s="14"/>
      <c r="N2" s="14"/>
      <c r="O2" s="14"/>
      <c r="P2" s="14"/>
      <c r="Q2" s="14"/>
      <c r="R2" s="14"/>
      <c r="S2" s="14"/>
    </row>
    <row r="3">
      <c r="A3" s="11">
        <v>44045</v>
      </c>
      <c r="B3" s="5">
        <v>40</v>
      </c>
      <c r="C3" s="5">
        <v>180.18000000000001</v>
      </c>
      <c r="D3" s="5"/>
      <c r="E3" s="5"/>
      <c r="F3" s="5"/>
      <c r="G3" s="5"/>
      <c r="H3" s="5"/>
      <c r="I3" s="5"/>
      <c r="J3" s="5"/>
      <c r="K3" s="5"/>
      <c r="L3" s="5"/>
      <c r="M3" s="5"/>
      <c r="N3" s="5"/>
      <c r="O3" s="5"/>
      <c r="P3" s="5"/>
      <c r="Q3" s="5"/>
      <c r="R3" s="5"/>
      <c r="S3" s="5"/>
    </row>
    <row r="4">
      <c r="A4" s="11">
        <v>44046</v>
      </c>
      <c r="B4" s="14">
        <v>20</v>
      </c>
      <c r="C4" s="14"/>
      <c r="D4" s="14">
        <v>399</v>
      </c>
      <c r="E4" s="14"/>
      <c r="F4" s="14"/>
      <c r="G4" s="14"/>
      <c r="H4" s="14"/>
      <c r="I4" s="14"/>
      <c r="J4" s="14"/>
      <c r="K4" s="14"/>
      <c r="L4" s="14"/>
      <c r="M4" s="14"/>
      <c r="N4" s="14"/>
      <c r="O4" s="14"/>
      <c r="P4" s="14"/>
      <c r="Q4" s="14"/>
      <c r="R4" s="14"/>
      <c r="S4" s="14"/>
    </row>
    <row r="5">
      <c r="A5" s="11">
        <v>44047</v>
      </c>
      <c r="B5" s="5">
        <v>95</v>
      </c>
      <c r="C5" s="5"/>
      <c r="D5" s="5"/>
      <c r="E5" s="5"/>
      <c r="F5" s="5"/>
      <c r="G5" s="5"/>
      <c r="H5" s="5"/>
      <c r="I5" s="5"/>
      <c r="J5" s="5"/>
      <c r="K5" s="5"/>
      <c r="L5" s="5"/>
      <c r="M5" s="5">
        <v>150</v>
      </c>
      <c r="N5" s="5"/>
      <c r="O5" s="5"/>
      <c r="P5" s="5"/>
      <c r="Q5" s="5"/>
      <c r="R5" s="5"/>
      <c r="S5" s="5"/>
    </row>
    <row r="6">
      <c r="A6" s="11">
        <v>44048</v>
      </c>
      <c r="B6" s="14"/>
      <c r="C6" s="14">
        <v>61.990000000000002</v>
      </c>
      <c r="D6" s="14"/>
      <c r="E6" s="14"/>
      <c r="F6" s="14"/>
      <c r="G6" s="14"/>
      <c r="H6" s="14"/>
      <c r="I6" s="14"/>
      <c r="J6" s="14"/>
      <c r="K6" s="14"/>
      <c r="L6" s="14"/>
      <c r="M6" s="14"/>
      <c r="N6" s="14"/>
      <c r="O6" s="14"/>
      <c r="P6" s="14"/>
      <c r="Q6" s="14"/>
      <c r="R6" s="14"/>
      <c r="S6" s="14"/>
    </row>
    <row r="7">
      <c r="A7" s="11">
        <v>44049</v>
      </c>
      <c r="B7" s="5">
        <v>40</v>
      </c>
      <c r="C7" s="5">
        <f>88.86+67.89</f>
        <v>156.75</v>
      </c>
      <c r="D7" s="5">
        <v>90</v>
      </c>
      <c r="E7" s="5"/>
      <c r="F7" s="5"/>
      <c r="G7" s="5"/>
      <c r="H7" s="5"/>
      <c r="I7" s="5"/>
      <c r="J7" s="5"/>
      <c r="K7" s="5"/>
      <c r="L7" s="5"/>
      <c r="M7" s="5">
        <v>330</v>
      </c>
      <c r="N7" s="5"/>
      <c r="O7" s="5"/>
      <c r="P7" s="5"/>
      <c r="Q7" s="5"/>
      <c r="R7" s="5"/>
      <c r="S7" s="5"/>
    </row>
    <row r="8">
      <c r="A8" s="11">
        <v>44050</v>
      </c>
      <c r="B8" s="14">
        <v>40</v>
      </c>
      <c r="C8" s="14"/>
      <c r="D8" s="14"/>
      <c r="E8" s="14"/>
      <c r="F8" s="14"/>
      <c r="G8" s="14"/>
      <c r="H8" s="14"/>
      <c r="I8" s="14">
        <v>170</v>
      </c>
      <c r="J8" s="14"/>
      <c r="K8" s="14"/>
      <c r="L8" s="14"/>
      <c r="M8" s="14"/>
      <c r="N8" s="14"/>
      <c r="O8" s="14"/>
      <c r="P8" s="14"/>
      <c r="Q8" s="14"/>
      <c r="R8" s="14"/>
      <c r="S8" s="14"/>
    </row>
    <row r="9">
      <c r="A9" s="11">
        <v>44051</v>
      </c>
      <c r="B9" s="5">
        <v>40</v>
      </c>
      <c r="C9" s="5">
        <f>74.04+63.99</f>
        <v>138.03</v>
      </c>
      <c r="D9" s="5">
        <v>130</v>
      </c>
      <c r="E9" s="5"/>
      <c r="F9" s="5"/>
      <c r="G9" s="5"/>
      <c r="H9" s="5"/>
      <c r="I9" s="5"/>
      <c r="J9" s="5"/>
      <c r="K9" s="5"/>
      <c r="L9" s="5"/>
      <c r="M9" s="5"/>
      <c r="N9" s="5"/>
      <c r="O9" s="5"/>
      <c r="P9" s="5"/>
      <c r="Q9" s="5"/>
      <c r="R9" s="5"/>
      <c r="S9" s="5"/>
    </row>
    <row r="10">
      <c r="A10" s="11">
        <v>44052</v>
      </c>
      <c r="B10" s="14"/>
      <c r="C10" s="14">
        <v>591.17999999999995</v>
      </c>
      <c r="D10" s="14"/>
      <c r="E10" s="14"/>
      <c r="F10" s="14"/>
      <c r="G10" s="14"/>
      <c r="H10" s="14"/>
      <c r="I10" s="14"/>
      <c r="J10" s="14"/>
      <c r="K10" s="14"/>
      <c r="L10" s="14"/>
      <c r="M10" s="14"/>
      <c r="N10" s="14"/>
      <c r="O10" s="14"/>
      <c r="P10" s="14"/>
      <c r="Q10" s="14"/>
      <c r="R10" s="14"/>
      <c r="S10" s="14"/>
    </row>
    <row r="11">
      <c r="A11" s="11">
        <v>44053</v>
      </c>
      <c r="B11" s="5">
        <v>205</v>
      </c>
      <c r="C11" s="5"/>
      <c r="D11" s="5"/>
      <c r="E11" s="5"/>
      <c r="F11" s="5"/>
      <c r="G11" s="5"/>
      <c r="H11" s="5"/>
      <c r="I11" s="5"/>
      <c r="J11" s="5"/>
      <c r="K11" s="5"/>
      <c r="L11" s="5"/>
      <c r="M11" s="5"/>
      <c r="N11" s="5"/>
      <c r="O11" s="5"/>
      <c r="P11" s="5">
        <v>199</v>
      </c>
      <c r="Q11" s="5"/>
      <c r="R11" s="5"/>
      <c r="S11" s="5"/>
    </row>
    <row r="12">
      <c r="A12" s="11">
        <v>44054</v>
      </c>
      <c r="B12" s="14">
        <f>182+20+20</f>
        <v>222</v>
      </c>
      <c r="C12" s="14">
        <f>69.99+481.48</f>
        <v>551.47000000000003</v>
      </c>
      <c r="D12" s="14">
        <f>130+587</f>
        <v>717</v>
      </c>
      <c r="E12" s="14"/>
      <c r="F12" s="14"/>
      <c r="G12" s="14"/>
      <c r="H12" s="14"/>
      <c r="I12" s="14"/>
      <c r="J12" s="14"/>
      <c r="K12" s="14"/>
      <c r="L12" s="14"/>
      <c r="M12" s="14"/>
      <c r="N12" s="14"/>
      <c r="O12" s="14"/>
      <c r="P12" s="14"/>
      <c r="Q12" s="14"/>
      <c r="R12" s="14"/>
      <c r="S12" s="14"/>
    </row>
    <row r="13">
      <c r="A13" s="11">
        <v>44055</v>
      </c>
      <c r="B13" s="5">
        <v>40</v>
      </c>
      <c r="C13" s="5">
        <v>37.490000000000002</v>
      </c>
      <c r="D13" s="5"/>
      <c r="E13" s="5"/>
      <c r="F13" s="5"/>
      <c r="G13" s="5"/>
      <c r="H13" s="5"/>
      <c r="I13" s="5"/>
      <c r="J13" s="5"/>
      <c r="K13" s="5"/>
      <c r="L13" s="5"/>
      <c r="M13" s="5"/>
      <c r="N13" s="5"/>
      <c r="O13" s="5"/>
      <c r="P13" s="5"/>
      <c r="Q13" s="5"/>
      <c r="R13" s="5"/>
      <c r="S13" s="5"/>
    </row>
    <row r="14">
      <c r="A14" s="11">
        <v>44056</v>
      </c>
      <c r="B14" s="14">
        <v>40</v>
      </c>
      <c r="C14" s="14">
        <v>313.00999999999999</v>
      </c>
      <c r="D14" s="14"/>
      <c r="E14" s="14"/>
      <c r="F14" s="14"/>
      <c r="G14" s="14"/>
      <c r="H14" s="14"/>
      <c r="I14" s="14"/>
      <c r="J14" s="14"/>
      <c r="K14" s="14"/>
      <c r="L14" s="14"/>
      <c r="M14" s="14"/>
      <c r="N14" s="14"/>
      <c r="O14" s="14"/>
      <c r="P14" s="14"/>
      <c r="Q14" s="14"/>
      <c r="R14" s="14"/>
      <c r="S14" s="14"/>
    </row>
    <row r="15">
      <c r="A15" s="11">
        <v>44057</v>
      </c>
      <c r="B15" s="5">
        <v>60</v>
      </c>
      <c r="C15" s="5">
        <v>1007</v>
      </c>
      <c r="D15" s="5"/>
      <c r="E15" s="5"/>
      <c r="F15" s="5"/>
      <c r="G15" s="5"/>
      <c r="H15" s="5"/>
      <c r="J15" s="5"/>
      <c r="K15" s="5"/>
      <c r="L15" s="5"/>
      <c r="M15" s="5"/>
      <c r="N15" s="5"/>
      <c r="O15" s="5"/>
      <c r="P15" s="5"/>
      <c r="Q15" s="5"/>
      <c r="R15" s="5"/>
      <c r="S15" s="5"/>
    </row>
    <row r="16">
      <c r="A16" s="11">
        <v>44058</v>
      </c>
      <c r="B16" s="14">
        <v>40</v>
      </c>
      <c r="C16" s="14"/>
      <c r="D16" s="14">
        <f>192+250</f>
        <v>442</v>
      </c>
      <c r="E16" s="14"/>
      <c r="F16" s="14"/>
      <c r="G16" s="14"/>
      <c r="H16" s="14">
        <v>4499</v>
      </c>
      <c r="I16" s="14"/>
      <c r="J16" s="14">
        <v>379</v>
      </c>
      <c r="K16" s="14"/>
      <c r="L16" s="14"/>
      <c r="M16" s="14"/>
      <c r="N16" s="14"/>
      <c r="O16" s="14"/>
      <c r="P16" s="14"/>
      <c r="Q16" s="14"/>
      <c r="R16" s="14"/>
      <c r="S16" s="14"/>
    </row>
    <row r="17">
      <c r="A17" s="11">
        <v>44059</v>
      </c>
      <c r="B17" s="5">
        <v>40</v>
      </c>
      <c r="C17" s="5">
        <v>259</v>
      </c>
      <c r="D17" s="5"/>
      <c r="E17" s="5"/>
      <c r="F17" s="5"/>
      <c r="G17" s="5"/>
      <c r="H17" s="5"/>
      <c r="I17" s="5"/>
      <c r="J17" s="5"/>
      <c r="K17" s="5"/>
      <c r="L17" s="5"/>
      <c r="M17" s="5"/>
      <c r="N17" s="5"/>
      <c r="O17" s="5"/>
      <c r="P17" s="5"/>
      <c r="Q17" s="5"/>
      <c r="R17" s="5"/>
      <c r="S17" s="5"/>
    </row>
    <row r="18">
      <c r="A18" s="11">
        <v>44060</v>
      </c>
      <c r="B18" s="14">
        <v>40</v>
      </c>
      <c r="C18" s="14">
        <v>624.47000000000003</v>
      </c>
      <c r="D18" s="14"/>
      <c r="E18" s="14"/>
      <c r="F18" s="14"/>
      <c r="G18" s="14"/>
      <c r="H18" s="14"/>
      <c r="I18" s="14"/>
      <c r="J18" s="14"/>
      <c r="K18" s="14"/>
      <c r="L18" s="14"/>
      <c r="M18" s="14"/>
      <c r="N18" s="14"/>
      <c r="O18" s="14"/>
      <c r="P18" s="14"/>
      <c r="Q18" s="14"/>
      <c r="R18" s="14"/>
      <c r="S18" s="14"/>
    </row>
    <row r="19">
      <c r="A19" s="11">
        <v>44061</v>
      </c>
      <c r="B19" s="5">
        <v>80</v>
      </c>
      <c r="C19" s="5">
        <v>191.97999999999999</v>
      </c>
      <c r="D19" s="5"/>
      <c r="E19" s="5"/>
      <c r="F19" s="5"/>
      <c r="G19" s="5"/>
      <c r="H19" s="5"/>
      <c r="I19" s="5"/>
      <c r="J19" s="5"/>
      <c r="K19" s="5"/>
      <c r="L19" s="5"/>
      <c r="M19" s="5"/>
      <c r="N19" s="5"/>
      <c r="O19" s="5"/>
      <c r="P19" s="5"/>
      <c r="Q19" s="5"/>
      <c r="R19" s="5"/>
      <c r="S19" s="5"/>
    </row>
    <row r="20">
      <c r="A20" s="11">
        <v>44062</v>
      </c>
      <c r="B20" s="14"/>
      <c r="C20" s="14"/>
      <c r="D20" s="14"/>
      <c r="E20" s="14"/>
      <c r="F20" s="14"/>
      <c r="G20" s="14"/>
      <c r="H20" s="14"/>
      <c r="I20" s="14"/>
      <c r="J20" s="14">
        <v>2100</v>
      </c>
      <c r="K20" s="14"/>
      <c r="L20" s="14"/>
      <c r="M20" s="14"/>
      <c r="N20" s="14"/>
      <c r="O20" s="14"/>
      <c r="P20" s="14">
        <v>9</v>
      </c>
      <c r="Q20" s="14"/>
      <c r="R20" s="14"/>
      <c r="S20" s="14"/>
    </row>
    <row r="21">
      <c r="A21" s="11">
        <v>44063</v>
      </c>
      <c r="B21" s="35"/>
      <c r="C21" s="5">
        <v>127.98</v>
      </c>
      <c r="D21" s="5"/>
      <c r="E21" s="5"/>
      <c r="F21" s="5"/>
      <c r="G21" s="5"/>
      <c r="H21" s="5"/>
      <c r="I21" s="5"/>
      <c r="J21" s="5"/>
      <c r="K21" s="5"/>
      <c r="L21" s="5"/>
      <c r="M21" s="5"/>
      <c r="N21" s="5"/>
      <c r="O21" s="5"/>
      <c r="P21" s="5"/>
      <c r="Q21" s="5"/>
      <c r="R21" s="5"/>
      <c r="S21" s="5"/>
    </row>
    <row r="22">
      <c r="A22" s="11">
        <v>44064</v>
      </c>
      <c r="B22" s="14">
        <v>40</v>
      </c>
      <c r="C22" s="22"/>
      <c r="D22" s="22">
        <v>358</v>
      </c>
      <c r="E22" s="14"/>
      <c r="F22" s="14"/>
      <c r="G22" s="14"/>
      <c r="H22" s="14"/>
      <c r="I22" s="14"/>
      <c r="J22" s="14"/>
      <c r="K22" s="14"/>
      <c r="L22" s="14"/>
      <c r="M22" s="14"/>
      <c r="N22" s="14"/>
      <c r="O22" s="14"/>
      <c r="P22" s="14"/>
      <c r="Q22" s="14"/>
      <c r="R22" s="14"/>
      <c r="S22" s="14"/>
    </row>
    <row r="23">
      <c r="A23" s="11">
        <v>44065</v>
      </c>
      <c r="B23" s="5">
        <v>20</v>
      </c>
      <c r="C23">
        <v>74.980000000000004</v>
      </c>
      <c r="D23">
        <f>130+340</f>
        <v>470</v>
      </c>
      <c r="E23" s="5"/>
      <c r="F23" s="5"/>
      <c r="G23" s="5"/>
      <c r="H23" s="5"/>
      <c r="I23" s="5"/>
      <c r="J23" s="5"/>
      <c r="K23" s="5"/>
      <c r="L23" s="5"/>
      <c r="M23" s="5"/>
      <c r="N23" s="5"/>
      <c r="O23" s="5"/>
      <c r="P23" s="5"/>
      <c r="Q23" s="5"/>
      <c r="R23" s="5"/>
      <c r="S23" s="5"/>
    </row>
    <row r="24">
      <c r="A24" s="11">
        <v>44066</v>
      </c>
      <c r="B24" s="14">
        <v>40</v>
      </c>
      <c r="C24" s="14">
        <v>233.38999999999999</v>
      </c>
      <c r="D24" s="14"/>
      <c r="E24" s="14"/>
      <c r="F24" s="14"/>
      <c r="G24" s="14"/>
      <c r="H24" s="14"/>
      <c r="I24" s="14"/>
      <c r="J24" s="14"/>
      <c r="K24" s="14"/>
      <c r="L24" s="14"/>
      <c r="M24" s="14"/>
      <c r="N24" s="14"/>
      <c r="O24" s="14"/>
      <c r="P24" s="14"/>
      <c r="Q24" s="14"/>
      <c r="R24" s="14"/>
      <c r="S24" s="14"/>
    </row>
    <row r="25">
      <c r="A25" s="11">
        <v>44067</v>
      </c>
      <c r="B25">
        <v>80</v>
      </c>
      <c r="C25" s="5">
        <v>64.989999999999995</v>
      </c>
      <c r="D25" s="5">
        <v>21</v>
      </c>
      <c r="E25" s="5"/>
      <c r="F25" s="5"/>
      <c r="G25" s="5"/>
      <c r="H25" s="5"/>
      <c r="I25" s="5"/>
      <c r="J25" s="5"/>
      <c r="K25" s="5"/>
      <c r="L25" s="5"/>
      <c r="M25" s="5"/>
      <c r="N25" s="5"/>
      <c r="O25" s="5"/>
      <c r="P25" s="5"/>
      <c r="Q25" s="5"/>
      <c r="R25" s="5"/>
      <c r="S25" s="5"/>
    </row>
    <row r="26">
      <c r="A26" s="11">
        <v>44068</v>
      </c>
      <c r="B26" s="14"/>
      <c r="C26" s="14">
        <f>563.85+393.95</f>
        <v>957.79999999999995</v>
      </c>
      <c r="D26" s="14"/>
      <c r="E26" s="14"/>
      <c r="F26" s="14"/>
      <c r="G26" s="14"/>
      <c r="H26" s="14"/>
      <c r="I26" s="14"/>
      <c r="J26" s="14"/>
      <c r="K26" s="14">
        <v>7000</v>
      </c>
      <c r="L26" s="14"/>
      <c r="M26" s="14"/>
      <c r="N26" s="14"/>
      <c r="O26" s="14"/>
      <c r="P26" s="14"/>
      <c r="Q26" s="14"/>
      <c r="R26" s="14"/>
      <c r="S26" s="14"/>
    </row>
    <row r="27">
      <c r="A27" s="11">
        <v>44069</v>
      </c>
      <c r="B27" s="5">
        <v>40</v>
      </c>
      <c r="C27" s="5">
        <v>290.24000000000001</v>
      </c>
      <c r="D27" s="5"/>
      <c r="E27" s="5"/>
      <c r="F27" s="5"/>
      <c r="G27" s="5"/>
      <c r="H27" s="5"/>
      <c r="I27" s="5"/>
      <c r="J27" s="5"/>
      <c r="K27" s="5"/>
      <c r="L27" s="5"/>
      <c r="M27" s="5"/>
      <c r="N27" s="5"/>
      <c r="O27" s="5"/>
      <c r="P27" s="5"/>
      <c r="Q27" s="5"/>
      <c r="R27" s="5"/>
      <c r="S27" s="5"/>
    </row>
    <row r="28">
      <c r="A28" s="11">
        <v>44070</v>
      </c>
      <c r="B28" s="14">
        <v>40</v>
      </c>
      <c r="C28" s="14"/>
      <c r="D28" s="14"/>
      <c r="E28" s="14"/>
      <c r="F28" s="14"/>
      <c r="G28" s="14"/>
      <c r="H28" s="14"/>
      <c r="I28" s="14"/>
      <c r="J28" s="14"/>
      <c r="K28" s="14"/>
      <c r="L28" s="14"/>
      <c r="M28" s="14"/>
      <c r="N28" s="14"/>
      <c r="O28" s="14"/>
      <c r="P28" s="14"/>
      <c r="Q28" s="14"/>
      <c r="R28" s="14"/>
      <c r="S28" s="14"/>
    </row>
    <row r="29">
      <c r="A29" s="11">
        <v>44071</v>
      </c>
      <c r="B29" s="5">
        <v>40</v>
      </c>
      <c r="C29" s="5">
        <v>88.980000000000004</v>
      </c>
      <c r="D29" s="5">
        <v>188</v>
      </c>
      <c r="E29" s="5"/>
      <c r="F29" s="5"/>
      <c r="G29" s="5"/>
      <c r="H29" s="5"/>
      <c r="I29" s="5"/>
      <c r="J29" s="5"/>
      <c r="K29" s="5"/>
      <c r="L29" s="5"/>
      <c r="M29" s="5"/>
      <c r="N29" s="5"/>
      <c r="O29" s="5"/>
      <c r="P29" s="5"/>
      <c r="Q29" s="5"/>
      <c r="R29" s="5"/>
      <c r="S29" s="5"/>
    </row>
    <row r="30">
      <c r="A30" s="11">
        <v>44072</v>
      </c>
      <c r="B30" s="14"/>
      <c r="C30" s="14"/>
      <c r="D30" s="14">
        <f>247+300</f>
        <v>547</v>
      </c>
      <c r="E30" s="14"/>
      <c r="F30" s="14"/>
      <c r="G30" s="14"/>
      <c r="H30" s="14"/>
      <c r="I30" s="14"/>
      <c r="J30" s="14"/>
      <c r="K30" s="14"/>
      <c r="L30" s="14"/>
      <c r="M30" s="14"/>
      <c r="N30" s="14"/>
      <c r="O30" s="14"/>
      <c r="P30" s="14"/>
      <c r="Q30" s="14"/>
      <c r="R30" s="14"/>
      <c r="S30" s="14"/>
    </row>
    <row r="31">
      <c r="A31" s="11">
        <v>44073</v>
      </c>
      <c r="B31" s="3">
        <v>80</v>
      </c>
      <c r="C31" s="3">
        <v>339.16000000000003</v>
      </c>
      <c r="D31" s="3">
        <v>169</v>
      </c>
      <c r="E31" s="3"/>
      <c r="F31" s="3"/>
      <c r="G31" s="3"/>
      <c r="H31" s="3"/>
      <c r="I31" s="3">
        <f>44+192</f>
        <v>236</v>
      </c>
      <c r="J31" s="3"/>
      <c r="K31" s="3"/>
      <c r="L31" s="3">
        <v>1000</v>
      </c>
      <c r="M31" s="3"/>
      <c r="N31" s="3"/>
      <c r="O31" s="3">
        <v>900</v>
      </c>
      <c r="P31" s="3"/>
      <c r="Q31" s="3"/>
      <c r="R31" s="3"/>
      <c r="S31" s="3"/>
    </row>
    <row r="32">
      <c r="A32" s="11">
        <v>44074</v>
      </c>
      <c r="B32" s="22">
        <v>40</v>
      </c>
      <c r="C32" s="22"/>
      <c r="D32" s="22"/>
      <c r="E32" s="22"/>
      <c r="F32" s="22"/>
      <c r="G32" s="22"/>
      <c r="H32" s="22"/>
      <c r="I32" s="22"/>
      <c r="J32" s="22"/>
      <c r="K32" s="22"/>
      <c r="L32" s="22"/>
      <c r="M32" s="22"/>
      <c r="N32" s="22"/>
      <c r="O32" s="22"/>
      <c r="P32" s="22"/>
      <c r="Q32" s="22"/>
      <c r="R32" s="22"/>
      <c r="S32" s="22"/>
    </row>
    <row r="33">
      <c r="A33" s="7"/>
      <c r="B33" s="7">
        <f>SUM(B2:B32)</f>
        <v>1458</v>
      </c>
      <c r="C33" s="7">
        <f t="shared" ref="C33:Q33" si="30">SUM(C2:C32)</f>
        <v>6290.0699999999988</v>
      </c>
      <c r="D33" s="7">
        <f t="shared" si="30"/>
        <v>3745</v>
      </c>
      <c r="E33" s="7">
        <f t="shared" si="30"/>
        <v>0</v>
      </c>
      <c r="F33" s="7">
        <f t="shared" si="30"/>
        <v>0</v>
      </c>
      <c r="G33" s="7">
        <f t="shared" si="30"/>
        <v>0</v>
      </c>
      <c r="H33" s="7">
        <f t="shared" si="30"/>
        <v>4499</v>
      </c>
      <c r="I33" s="7">
        <f t="shared" si="30"/>
        <v>406</v>
      </c>
      <c r="J33" s="7">
        <f t="shared" si="30"/>
        <v>2479</v>
      </c>
      <c r="K33" s="7">
        <f t="shared" si="30"/>
        <v>7000</v>
      </c>
      <c r="L33" s="7">
        <f t="shared" si="30"/>
        <v>1000</v>
      </c>
      <c r="M33" s="7">
        <f t="shared" si="30"/>
        <v>480</v>
      </c>
      <c r="N33" s="7">
        <f t="shared" si="30"/>
        <v>0</v>
      </c>
      <c r="O33" s="7">
        <f t="shared" si="30"/>
        <v>900</v>
      </c>
      <c r="P33" s="7">
        <f t="shared" si="30"/>
        <v>208</v>
      </c>
      <c r="Q33" s="7">
        <f t="shared" si="30"/>
        <v>0</v>
      </c>
      <c r="R33" s="7" t="s">
        <v>14</v>
      </c>
      <c r="S33" s="7">
        <f>SUM(B33:Q33)</f>
        <v>28465.07</v>
      </c>
    </row>
    <row r="34">
      <c r="A34" s="8"/>
      <c r="B34" s="8"/>
      <c r="C34" s="8"/>
      <c r="D34" s="8"/>
      <c r="E34" s="8"/>
      <c r="F34" s="8"/>
      <c r="G34" s="8"/>
      <c r="H34" s="8"/>
      <c r="I34" s="8"/>
      <c r="J34" s="9"/>
      <c r="K34" s="9"/>
      <c r="L34" s="9"/>
      <c r="M34" s="9"/>
      <c r="N34" s="9"/>
      <c r="O34" s="9"/>
      <c r="P34" s="9"/>
      <c r="Q34" s="9"/>
      <c r="R34" s="9"/>
      <c r="S34" s="9"/>
    </row>
    <row r="35">
      <c r="A35" s="10" t="s">
        <v>0</v>
      </c>
      <c r="B35" s="10" t="s">
        <v>15</v>
      </c>
      <c r="C35" s="10" t="s">
        <v>16</v>
      </c>
      <c r="D35" s="10" t="s">
        <v>17</v>
      </c>
      <c r="E35" s="10" t="s">
        <v>18</v>
      </c>
      <c r="F35" s="10" t="s">
        <v>21</v>
      </c>
      <c r="G35" s="10" t="s">
        <v>26</v>
      </c>
      <c r="H35" s="10" t="s">
        <v>27</v>
      </c>
      <c r="I35" s="1"/>
    </row>
    <row r="36">
      <c r="A36" s="11">
        <v>44044</v>
      </c>
      <c r="B36" s="14"/>
      <c r="C36" s="14"/>
      <c r="D36" s="14">
        <v>2000</v>
      </c>
      <c r="E36" s="14"/>
      <c r="F36" s="14"/>
      <c r="G36" s="14"/>
      <c r="H36" s="14"/>
      <c r="I36" s="14"/>
      <c r="N36" s="13"/>
      <c r="O36" s="13"/>
      <c r="R36" s="31" t="s">
        <v>40</v>
      </c>
    </row>
    <row r="37">
      <c r="A37" s="11">
        <v>44045</v>
      </c>
      <c r="B37" s="5"/>
      <c r="C37" s="5"/>
      <c r="D37" s="5"/>
      <c r="E37" s="5"/>
      <c r="F37" s="5"/>
      <c r="G37" s="5"/>
      <c r="H37" s="5"/>
      <c r="I37" s="5"/>
      <c r="R37" s="31"/>
      <c r="S37" s="31" t="s">
        <v>29</v>
      </c>
    </row>
    <row r="38">
      <c r="A38" s="11">
        <v>44046</v>
      </c>
      <c r="B38" s="14"/>
      <c r="C38" s="14"/>
      <c r="D38" s="14"/>
      <c r="E38" s="14"/>
      <c r="F38" s="14"/>
      <c r="G38" s="14"/>
      <c r="H38" s="14"/>
      <c r="I38" s="14"/>
      <c r="R38" s="31">
        <f>21000-344+2039+(23000-23000)-344-344+8164.1-4600-3300+(3000-3000)+80000+2000+(5500-5000)+(5650-5100)</f>
        <v>105321.10000000001</v>
      </c>
      <c r="S38" s="31" t="s">
        <v>31</v>
      </c>
    </row>
    <row r="39">
      <c r="A39" s="11">
        <v>44047</v>
      </c>
      <c r="B39" s="5"/>
      <c r="C39" s="5"/>
      <c r="D39" s="5"/>
      <c r="E39" s="5"/>
      <c r="F39" s="5"/>
      <c r="G39" s="5"/>
      <c r="H39" s="5"/>
      <c r="I39" s="5"/>
      <c r="R39" s="31"/>
      <c r="S39" s="31" t="s">
        <v>38</v>
      </c>
    </row>
    <row r="40">
      <c r="A40" s="11">
        <v>44048</v>
      </c>
      <c r="B40" s="14"/>
      <c r="C40" s="14"/>
      <c r="D40" s="14"/>
      <c r="E40" s="14"/>
      <c r="F40" s="14"/>
      <c r="G40" s="14"/>
      <c r="H40" s="14"/>
      <c r="I40" s="14"/>
      <c r="R40" s="31"/>
      <c r="S40" s="31" t="s">
        <v>39</v>
      </c>
    </row>
    <row r="41">
      <c r="A41" s="11">
        <v>44049</v>
      </c>
      <c r="B41" s="5"/>
      <c r="C41" s="5">
        <v>1000</v>
      </c>
      <c r="D41" s="5"/>
      <c r="E41" s="5"/>
      <c r="F41" s="5"/>
      <c r="G41" s="5"/>
      <c r="H41" s="5"/>
      <c r="I41" s="5"/>
      <c r="R41" s="31"/>
      <c r="S41" s="31" t="s">
        <v>41</v>
      </c>
    </row>
    <row r="42">
      <c r="A42" s="11">
        <v>44050</v>
      </c>
      <c r="B42" s="14"/>
      <c r="C42" s="14"/>
      <c r="D42" s="14"/>
      <c r="E42" s="14"/>
      <c r="F42" s="14"/>
      <c r="G42" s="14"/>
      <c r="H42" s="14"/>
      <c r="I42" s="14"/>
      <c r="R42" s="31">
        <v>0</v>
      </c>
      <c r="S42" t="s">
        <v>42</v>
      </c>
    </row>
    <row r="43">
      <c r="A43" s="11">
        <v>44051</v>
      </c>
      <c r="B43" s="5"/>
      <c r="C43" s="5"/>
      <c r="D43" s="5"/>
      <c r="E43" s="5"/>
      <c r="F43" s="5"/>
      <c r="G43" s="5"/>
      <c r="H43" s="5"/>
      <c r="I43" s="5"/>
      <c r="R43" s="31"/>
      <c r="S43" t="s">
        <v>23</v>
      </c>
    </row>
    <row r="44">
      <c r="A44" s="11">
        <v>44052</v>
      </c>
      <c r="B44" s="15"/>
      <c r="C44" s="14"/>
      <c r="D44" s="14"/>
      <c r="E44" s="14"/>
      <c r="F44" s="14"/>
      <c r="G44" s="14"/>
      <c r="H44" s="14"/>
      <c r="I44" s="14"/>
      <c r="R44" s="31"/>
      <c r="S44" t="s">
        <v>46</v>
      </c>
    </row>
    <row r="45">
      <c r="A45" s="11">
        <v>44053</v>
      </c>
      <c r="B45" s="5">
        <v>23583.91</v>
      </c>
      <c r="C45" s="5"/>
      <c r="D45" s="5"/>
      <c r="E45" s="5"/>
      <c r="F45" s="5"/>
      <c r="G45" s="5"/>
      <c r="H45" s="5"/>
      <c r="I45" s="5"/>
    </row>
    <row r="46">
      <c r="A46" s="11">
        <v>44054</v>
      </c>
      <c r="B46" s="14"/>
      <c r="C46" s="14"/>
      <c r="D46" s="14"/>
      <c r="E46" s="14"/>
      <c r="F46" s="14"/>
      <c r="G46" s="14"/>
      <c r="H46" s="14">
        <v>500</v>
      </c>
      <c r="I46" s="14"/>
    </row>
    <row r="47">
      <c r="A47" s="11">
        <v>44055</v>
      </c>
      <c r="B47" s="5"/>
      <c r="C47" s="5"/>
      <c r="D47" s="5"/>
      <c r="E47" s="5"/>
      <c r="F47" s="5"/>
      <c r="G47" s="5"/>
      <c r="H47" s="5"/>
      <c r="I47" s="5"/>
    </row>
    <row r="48">
      <c r="A48" s="11">
        <v>44056</v>
      </c>
      <c r="B48" s="14"/>
      <c r="C48" s="14"/>
      <c r="D48" s="14"/>
      <c r="E48" s="14"/>
      <c r="F48" s="14"/>
      <c r="G48" s="14"/>
      <c r="H48" s="14"/>
      <c r="I48" s="14"/>
    </row>
    <row r="49">
      <c r="A49" s="11">
        <v>44057</v>
      </c>
      <c r="B49" s="5"/>
      <c r="C49" s="5"/>
      <c r="D49" s="5">
        <v>1000</v>
      </c>
      <c r="E49" s="5"/>
      <c r="F49" s="5"/>
      <c r="G49" s="5"/>
      <c r="H49" s="5"/>
      <c r="I49" s="5"/>
    </row>
    <row r="50">
      <c r="A50" s="11">
        <v>44058</v>
      </c>
      <c r="B50" s="14"/>
      <c r="C50" s="14"/>
      <c r="D50" s="14"/>
      <c r="E50" s="14"/>
      <c r="F50" s="14"/>
      <c r="G50" s="14"/>
      <c r="H50" s="14"/>
      <c r="I50" s="14"/>
    </row>
    <row r="51">
      <c r="A51" s="11">
        <v>44059</v>
      </c>
      <c r="B51" s="5"/>
      <c r="C51" s="5"/>
      <c r="D51" s="5"/>
      <c r="E51" s="5"/>
      <c r="F51" s="5"/>
      <c r="G51" s="5"/>
      <c r="H51" s="5"/>
      <c r="I51" s="5"/>
    </row>
    <row r="52">
      <c r="A52" s="11">
        <v>44060</v>
      </c>
      <c r="B52" s="14"/>
      <c r="C52" s="14"/>
      <c r="D52" s="14"/>
      <c r="E52" s="14"/>
      <c r="F52" s="14"/>
      <c r="G52" s="14"/>
      <c r="H52" s="14"/>
      <c r="I52" s="14"/>
    </row>
    <row r="53">
      <c r="A53" s="11">
        <v>44061</v>
      </c>
      <c r="B53" s="5"/>
      <c r="C53" s="5"/>
      <c r="D53" s="5"/>
      <c r="E53" s="5"/>
      <c r="F53" s="5"/>
      <c r="G53" s="5"/>
      <c r="H53" s="5"/>
      <c r="I53" s="5"/>
    </row>
    <row r="54">
      <c r="A54" s="11">
        <v>44062</v>
      </c>
      <c r="B54" s="14"/>
      <c r="C54" s="14"/>
      <c r="D54" s="14"/>
      <c r="E54" s="14"/>
      <c r="F54" s="14"/>
      <c r="G54" s="14"/>
      <c r="H54" s="14"/>
      <c r="I54" s="14"/>
    </row>
    <row r="55">
      <c r="A55" s="11">
        <v>44063</v>
      </c>
      <c r="B55" s="5"/>
      <c r="C55" s="5"/>
      <c r="D55" s="5"/>
      <c r="E55" s="5"/>
      <c r="F55" s="5"/>
      <c r="G55" s="5"/>
      <c r="H55" s="5"/>
      <c r="I55" s="5"/>
    </row>
    <row r="56">
      <c r="A56" s="11">
        <v>44064</v>
      </c>
      <c r="B56" s="14"/>
      <c r="C56" s="14"/>
      <c r="D56" s="14"/>
      <c r="E56" s="14"/>
      <c r="F56" s="14"/>
      <c r="G56" s="14"/>
      <c r="H56" s="14"/>
      <c r="I56" s="14"/>
    </row>
    <row r="57">
      <c r="A57" s="11">
        <v>44065</v>
      </c>
      <c r="B57" s="5"/>
      <c r="C57" s="5"/>
      <c r="D57" s="5"/>
      <c r="E57" s="5"/>
      <c r="F57" s="5"/>
      <c r="G57" s="5"/>
      <c r="H57" s="5">
        <v>100</v>
      </c>
      <c r="I57" s="5"/>
    </row>
    <row r="58">
      <c r="A58" s="11">
        <v>44066</v>
      </c>
      <c r="B58" s="14"/>
      <c r="C58" s="14"/>
      <c r="D58" s="14"/>
      <c r="E58" s="14"/>
      <c r="F58" s="14"/>
      <c r="G58" s="14"/>
      <c r="H58" s="14"/>
      <c r="I58" s="14"/>
    </row>
    <row r="59">
      <c r="A59" s="11">
        <v>44067</v>
      </c>
      <c r="B59" s="5"/>
      <c r="C59" s="5"/>
      <c r="D59" s="5"/>
      <c r="E59" s="5"/>
      <c r="F59" s="5"/>
      <c r="G59" s="5"/>
      <c r="H59" s="5"/>
      <c r="I59" s="5"/>
    </row>
    <row r="60">
      <c r="A60" s="11">
        <v>44068</v>
      </c>
      <c r="B60" s="14">
        <v>7000</v>
      </c>
      <c r="C60" s="14"/>
      <c r="D60" s="14"/>
      <c r="E60" s="14"/>
      <c r="F60" s="14"/>
      <c r="G60" s="14"/>
      <c r="H60" s="14"/>
      <c r="I60" s="14"/>
    </row>
    <row r="61">
      <c r="A61" s="11">
        <v>44069</v>
      </c>
      <c r="B61" s="5"/>
      <c r="C61" s="5"/>
      <c r="D61" s="5"/>
      <c r="E61" s="5"/>
      <c r="F61" s="5"/>
      <c r="G61" s="5"/>
      <c r="H61" s="5"/>
      <c r="I61" s="5"/>
    </row>
    <row r="62">
      <c r="A62" s="11">
        <v>44070</v>
      </c>
      <c r="B62" s="14"/>
      <c r="C62" s="14"/>
      <c r="D62" s="14"/>
      <c r="E62" s="14"/>
      <c r="F62" s="14"/>
      <c r="G62" s="14"/>
      <c r="H62" s="14">
        <v>1500</v>
      </c>
      <c r="I62" s="14"/>
    </row>
    <row r="63">
      <c r="A63" s="11">
        <v>44071</v>
      </c>
      <c r="B63" s="5">
        <f>20394.72+1179.18</f>
        <v>21573.900000000001</v>
      </c>
      <c r="C63" s="5"/>
      <c r="D63" s="5"/>
      <c r="E63" s="5"/>
      <c r="F63" s="5"/>
      <c r="G63" s="5"/>
      <c r="H63" s="5"/>
      <c r="I63" s="5"/>
    </row>
    <row r="64">
      <c r="A64" s="11">
        <v>44072</v>
      </c>
      <c r="B64" s="14"/>
      <c r="C64" s="14"/>
      <c r="D64" s="14"/>
      <c r="E64" s="14"/>
      <c r="F64" s="14"/>
      <c r="G64" s="14"/>
      <c r="H64" s="14"/>
      <c r="I64" s="14"/>
    </row>
    <row r="65">
      <c r="A65" s="11">
        <v>44073</v>
      </c>
      <c r="B65" s="3"/>
      <c r="C65" s="3"/>
      <c r="D65" s="3"/>
      <c r="E65" s="3"/>
      <c r="F65" s="3"/>
      <c r="G65" s="3"/>
      <c r="H65" s="3"/>
      <c r="I65" s="3"/>
    </row>
    <row r="66">
      <c r="A66" s="11">
        <v>44074</v>
      </c>
      <c r="B66" s="22"/>
      <c r="C66" s="22"/>
      <c r="D66" s="22"/>
      <c r="E66" s="22">
        <f>409.12+56.86</f>
        <v>465.98000000000002</v>
      </c>
      <c r="F66" s="22"/>
      <c r="G66" s="22"/>
      <c r="H66" s="22"/>
      <c r="I66" s="22"/>
    </row>
    <row r="67">
      <c r="A67" s="7"/>
      <c r="B67" s="7">
        <f t="shared" ref="B67:H67" si="31">SUM(B36:B65)</f>
        <v>52157.809999999998</v>
      </c>
      <c r="C67" s="7">
        <f t="shared" si="31"/>
        <v>1000</v>
      </c>
      <c r="D67" s="7">
        <f t="shared" si="31"/>
        <v>3000</v>
      </c>
      <c r="E67" s="7">
        <f t="shared" si="31"/>
        <v>0</v>
      </c>
      <c r="F67" s="7">
        <f t="shared" si="31"/>
        <v>0</v>
      </c>
      <c r="G67" s="7">
        <f t="shared" si="31"/>
        <v>0</v>
      </c>
      <c r="H67" s="7">
        <f t="shared" si="31"/>
        <v>2100</v>
      </c>
      <c r="I67" s="7">
        <f>SUM(B67:H67)</f>
        <v>58257.809999999998</v>
      </c>
      <c r="R67" s="33">
        <f>SUM(R37:R65)</f>
        <v>105321.10000000001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32" activeCellId="0" sqref="C32"/>
    </sheetView>
  </sheetViews>
  <sheetFormatPr defaultRowHeight="14.25"/>
  <cols>
    <col bestFit="1" customWidth="1" min="1" max="1" width="13.14062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
      <c r="R1" s="1"/>
      <c r="S1" s="1"/>
    </row>
    <row r="2">
      <c r="A2" s="11">
        <v>44075</v>
      </c>
      <c r="B2" s="14">
        <v>40</v>
      </c>
      <c r="C2" s="14">
        <v>271.74000000000001</v>
      </c>
      <c r="D2" s="14"/>
      <c r="E2" s="14"/>
      <c r="F2" s="14"/>
      <c r="G2" s="14"/>
      <c r="H2" s="14"/>
      <c r="I2" s="14"/>
      <c r="J2" s="14"/>
      <c r="K2" s="14"/>
      <c r="L2" s="14"/>
      <c r="M2" s="14"/>
      <c r="N2" s="14"/>
      <c r="O2" s="14"/>
      <c r="P2" s="14"/>
      <c r="Q2" s="14"/>
      <c r="R2" s="14"/>
      <c r="S2" s="14"/>
    </row>
    <row r="3">
      <c r="A3" s="11">
        <v>44076</v>
      </c>
      <c r="B3" s="5">
        <v>20</v>
      </c>
      <c r="C3" s="5">
        <v>476.44</v>
      </c>
      <c r="D3" s="5">
        <v>130</v>
      </c>
      <c r="E3" s="5"/>
      <c r="F3" s="5"/>
      <c r="G3" s="5"/>
      <c r="H3" s="5"/>
      <c r="I3" s="5"/>
      <c r="J3" s="5"/>
      <c r="K3" s="5"/>
      <c r="L3" s="5"/>
      <c r="M3" s="5"/>
      <c r="N3" s="5"/>
      <c r="O3" s="5"/>
      <c r="P3" s="5"/>
      <c r="Q3" s="5"/>
      <c r="R3" s="5"/>
      <c r="S3" s="5"/>
    </row>
    <row r="4">
      <c r="A4" s="11">
        <v>44077</v>
      </c>
      <c r="B4" s="14">
        <v>80</v>
      </c>
      <c r="C4" s="14"/>
      <c r="D4" s="14">
        <v>485</v>
      </c>
      <c r="E4" s="14"/>
      <c r="F4" s="14"/>
      <c r="G4" s="14"/>
      <c r="H4" s="14">
        <v>2499</v>
      </c>
      <c r="I4" s="14"/>
      <c r="J4" s="14">
        <v>27</v>
      </c>
      <c r="K4" s="14"/>
      <c r="L4" s="14">
        <f>599+1199</f>
        <v>1798</v>
      </c>
      <c r="M4" s="14"/>
      <c r="N4" s="14"/>
      <c r="O4" s="14"/>
      <c r="P4" s="14"/>
      <c r="Q4" s="14"/>
      <c r="R4" s="14"/>
      <c r="S4" s="14"/>
    </row>
    <row r="5">
      <c r="A5" s="11">
        <v>44078</v>
      </c>
      <c r="B5" s="5">
        <v>20</v>
      </c>
      <c r="C5" s="5"/>
      <c r="D5" s="5"/>
      <c r="E5" s="5"/>
      <c r="F5" s="5"/>
      <c r="G5" s="5"/>
      <c r="H5" s="5"/>
      <c r="I5" s="5"/>
      <c r="J5" s="5"/>
      <c r="K5" s="5"/>
      <c r="L5" s="5"/>
      <c r="M5" s="5">
        <v>50</v>
      </c>
      <c r="N5" s="5"/>
      <c r="O5" s="5"/>
      <c r="P5" s="5"/>
      <c r="Q5" s="5"/>
      <c r="R5" s="5"/>
      <c r="S5" s="5"/>
    </row>
    <row r="6">
      <c r="A6" s="11">
        <v>44079</v>
      </c>
      <c r="B6" s="14"/>
      <c r="C6" s="14">
        <v>361.94999999999999</v>
      </c>
      <c r="D6" s="14"/>
      <c r="E6" s="14"/>
      <c r="F6" s="14"/>
      <c r="G6" s="14"/>
      <c r="H6" s="14"/>
      <c r="I6" s="14"/>
      <c r="J6" s="14"/>
      <c r="K6" s="14"/>
      <c r="L6" s="14"/>
      <c r="M6" s="14"/>
      <c r="N6" s="14"/>
      <c r="O6" s="14"/>
      <c r="P6" s="14">
        <v>340</v>
      </c>
      <c r="Q6" s="14"/>
      <c r="R6" s="14"/>
      <c r="S6" s="14"/>
    </row>
    <row r="7">
      <c r="A7" s="11">
        <v>44080</v>
      </c>
      <c r="B7" s="5"/>
      <c r="C7" s="5"/>
      <c r="D7" s="5"/>
      <c r="E7" s="5"/>
      <c r="F7" s="5"/>
      <c r="G7" s="5"/>
      <c r="H7" s="5"/>
      <c r="I7" s="5"/>
      <c r="J7" s="5"/>
      <c r="K7" s="5"/>
      <c r="L7" s="5"/>
      <c r="M7" s="5">
        <v>330</v>
      </c>
      <c r="N7" s="5"/>
      <c r="O7" s="5"/>
      <c r="P7" s="5"/>
      <c r="Q7" s="5"/>
      <c r="R7" s="5"/>
      <c r="S7" s="5"/>
    </row>
    <row r="8">
      <c r="A8" s="11">
        <v>44081</v>
      </c>
      <c r="B8" s="14"/>
      <c r="C8" s="14">
        <v>55.890000000000001</v>
      </c>
      <c r="D8" s="14"/>
      <c r="E8" s="14"/>
      <c r="F8" s="14"/>
      <c r="G8" s="14"/>
      <c r="H8" s="14"/>
      <c r="I8" s="14">
        <v>3199</v>
      </c>
      <c r="J8" s="14"/>
      <c r="K8" s="14"/>
      <c r="L8" s="14"/>
      <c r="M8" s="14"/>
      <c r="N8" s="14"/>
      <c r="O8" s="14"/>
      <c r="P8" s="14"/>
      <c r="Q8" s="14"/>
      <c r="R8" s="14"/>
      <c r="S8" s="14"/>
    </row>
    <row r="9">
      <c r="A9" s="11">
        <v>44082</v>
      </c>
      <c r="B9" s="5"/>
      <c r="C9" s="5">
        <v>492.89999999999998</v>
      </c>
      <c r="D9" s="5"/>
      <c r="E9" s="5">
        <v>7000</v>
      </c>
      <c r="F9" s="5"/>
      <c r="G9" s="5"/>
      <c r="H9" s="5"/>
      <c r="I9" s="5"/>
      <c r="J9" s="5"/>
      <c r="K9" s="5"/>
      <c r="L9" s="5">
        <v>253.52000000000001</v>
      </c>
      <c r="M9" s="5"/>
      <c r="N9" s="5"/>
      <c r="O9" s="5"/>
      <c r="P9" s="5"/>
      <c r="Q9" s="5"/>
      <c r="R9" s="5"/>
      <c r="S9" s="5"/>
    </row>
    <row r="10">
      <c r="A10" s="11">
        <v>44083</v>
      </c>
      <c r="B10" s="14"/>
      <c r="C10" s="14"/>
      <c r="D10" s="14"/>
      <c r="E10" s="14"/>
      <c r="F10" s="14"/>
      <c r="G10" s="14"/>
      <c r="H10" s="14"/>
      <c r="I10" s="14"/>
      <c r="J10" s="14"/>
      <c r="K10" s="14"/>
      <c r="L10" s="14"/>
      <c r="M10" s="14"/>
      <c r="N10" s="14"/>
      <c r="O10" s="14"/>
      <c r="P10" s="14"/>
      <c r="Q10" s="14"/>
      <c r="R10" s="14"/>
      <c r="S10" s="14"/>
    </row>
    <row r="11">
      <c r="A11" s="11">
        <v>44084</v>
      </c>
      <c r="B11" s="5">
        <v>159</v>
      </c>
      <c r="C11" s="5">
        <v>282.97000000000003</v>
      </c>
      <c r="D11" s="5"/>
      <c r="E11" s="5"/>
      <c r="F11" s="5"/>
      <c r="G11" s="5"/>
      <c r="H11" s="5"/>
      <c r="I11" s="5"/>
      <c r="J11" s="5"/>
      <c r="K11" s="5"/>
      <c r="L11" s="5"/>
      <c r="M11" s="5"/>
      <c r="N11" s="5"/>
      <c r="O11" s="5"/>
      <c r="P11" s="5">
        <v>199</v>
      </c>
      <c r="Q11" s="5"/>
      <c r="R11" s="5"/>
      <c r="S11" s="5"/>
    </row>
    <row r="12">
      <c r="A12" s="11">
        <v>44085</v>
      </c>
      <c r="B12" s="14"/>
      <c r="C12" s="14"/>
      <c r="D12" s="14">
        <v>1490</v>
      </c>
      <c r="E12" s="14"/>
      <c r="F12" s="14"/>
      <c r="G12" s="14"/>
      <c r="H12" s="14"/>
      <c r="I12" s="14"/>
      <c r="J12" s="14"/>
      <c r="K12" s="14"/>
      <c r="L12" s="14"/>
      <c r="M12" s="14"/>
      <c r="N12" s="14"/>
      <c r="O12" s="14"/>
      <c r="P12" s="14"/>
      <c r="Q12" s="14"/>
      <c r="R12" s="14"/>
      <c r="S12" s="14"/>
    </row>
    <row r="13">
      <c r="A13" s="11">
        <v>44086</v>
      </c>
      <c r="B13" s="5"/>
      <c r="C13" s="5">
        <f>780.22+363.88</f>
        <v>1144.0999999999999</v>
      </c>
      <c r="D13" s="5"/>
      <c r="E13" s="5"/>
      <c r="F13" s="5"/>
      <c r="G13" s="5"/>
      <c r="H13" s="5"/>
      <c r="I13" s="5"/>
      <c r="J13" s="5"/>
      <c r="K13" s="5"/>
      <c r="L13" s="5"/>
      <c r="M13" s="5"/>
      <c r="N13" s="5"/>
      <c r="O13" s="5"/>
      <c r="P13" s="5"/>
      <c r="Q13" s="5"/>
      <c r="R13" s="5"/>
      <c r="S13" s="5"/>
    </row>
    <row r="14">
      <c r="A14" s="11">
        <v>44087</v>
      </c>
      <c r="B14" s="14">
        <v>80</v>
      </c>
      <c r="C14" s="14"/>
      <c r="D14" s="14"/>
      <c r="E14" s="14"/>
      <c r="F14" s="14"/>
      <c r="G14" s="14"/>
      <c r="H14" s="14"/>
      <c r="I14" s="14"/>
      <c r="J14" s="14"/>
      <c r="K14" s="14"/>
      <c r="L14" s="14"/>
      <c r="M14" s="14"/>
      <c r="N14" s="14"/>
      <c r="O14" s="14"/>
      <c r="P14" s="14"/>
      <c r="Q14" s="14"/>
      <c r="R14" s="14"/>
      <c r="S14" s="14"/>
    </row>
    <row r="15">
      <c r="A15" s="11">
        <v>44088</v>
      </c>
      <c r="B15" s="5">
        <v>20</v>
      </c>
      <c r="C15" s="5"/>
      <c r="D15" s="5"/>
      <c r="E15" s="5"/>
      <c r="F15" s="5"/>
      <c r="G15" s="5"/>
      <c r="H15" s="5"/>
      <c r="J15" s="5"/>
      <c r="K15" s="5"/>
      <c r="L15" s="5"/>
      <c r="M15" s="5"/>
      <c r="N15" s="5"/>
      <c r="O15" s="5"/>
      <c r="P15" s="5"/>
      <c r="Q15" s="5"/>
      <c r="R15" s="5"/>
      <c r="S15" s="5"/>
    </row>
    <row r="16">
      <c r="A16" s="11">
        <v>44089</v>
      </c>
      <c r="B16" s="14">
        <v>20</v>
      </c>
      <c r="C16" s="14">
        <v>49.990000000000002</v>
      </c>
      <c r="D16" s="14">
        <v>200</v>
      </c>
      <c r="E16" s="14"/>
      <c r="F16" s="14"/>
      <c r="G16" s="14"/>
      <c r="H16" s="14"/>
      <c r="I16" s="14"/>
      <c r="J16" s="14"/>
      <c r="K16" s="14"/>
      <c r="L16" s="14"/>
      <c r="M16" s="14"/>
      <c r="N16" s="14"/>
      <c r="O16" s="14"/>
      <c r="P16" s="14"/>
      <c r="Q16" s="14"/>
      <c r="R16" s="14"/>
      <c r="S16" s="14"/>
    </row>
    <row r="17">
      <c r="A17" s="11">
        <v>44090</v>
      </c>
      <c r="B17" s="5"/>
      <c r="C17" s="5"/>
      <c r="D17" s="5"/>
      <c r="E17" s="5"/>
      <c r="F17" s="5"/>
      <c r="G17" s="5"/>
      <c r="H17" s="5"/>
      <c r="I17" s="5"/>
      <c r="J17" s="5"/>
      <c r="K17" s="5"/>
      <c r="L17" s="5"/>
      <c r="M17" s="5"/>
      <c r="N17" s="5"/>
      <c r="O17" s="5"/>
      <c r="P17" s="5"/>
      <c r="Q17" s="5"/>
      <c r="R17" s="5"/>
      <c r="S17" s="5"/>
    </row>
    <row r="18">
      <c r="A18" s="11">
        <v>44091</v>
      </c>
      <c r="B18" s="14">
        <v>40</v>
      </c>
      <c r="C18" s="14"/>
      <c r="D18" s="14">
        <v>565</v>
      </c>
      <c r="E18" s="14"/>
      <c r="F18" s="14"/>
      <c r="G18" s="14"/>
      <c r="H18" s="14"/>
      <c r="I18" s="14">
        <v>150</v>
      </c>
      <c r="J18" s="14"/>
      <c r="K18" s="14"/>
      <c r="L18" s="14">
        <v>100</v>
      </c>
      <c r="M18" s="14"/>
      <c r="N18" s="14"/>
      <c r="O18" s="14"/>
      <c r="P18" s="14"/>
      <c r="Q18" s="14"/>
      <c r="R18" s="14"/>
      <c r="S18" s="14"/>
    </row>
    <row r="19">
      <c r="A19" s="11">
        <v>44092</v>
      </c>
      <c r="B19" s="5">
        <v>40</v>
      </c>
      <c r="C19" s="5"/>
      <c r="D19" s="5">
        <v>130</v>
      </c>
      <c r="E19" s="5">
        <v>-7100</v>
      </c>
      <c r="F19" s="5"/>
      <c r="G19" s="5"/>
      <c r="H19" s="5"/>
      <c r="I19" s="5"/>
      <c r="J19" s="5"/>
      <c r="K19" s="5"/>
      <c r="L19" s="5"/>
      <c r="M19" s="5"/>
      <c r="N19" s="5"/>
      <c r="O19" s="5"/>
      <c r="P19" s="5"/>
      <c r="Q19" s="5"/>
      <c r="R19" s="5"/>
      <c r="S19" s="5"/>
    </row>
    <row r="20">
      <c r="A20" s="11">
        <v>44093</v>
      </c>
      <c r="B20" s="14">
        <v>20</v>
      </c>
      <c r="C20" s="14"/>
      <c r="D20" s="14">
        <v>130</v>
      </c>
      <c r="E20" s="14"/>
      <c r="F20" s="14"/>
      <c r="G20" s="14"/>
      <c r="H20" s="14"/>
      <c r="I20" s="14"/>
      <c r="J20" s="14"/>
      <c r="K20" s="14"/>
      <c r="L20" s="14"/>
      <c r="M20" s="14"/>
      <c r="N20" s="14"/>
      <c r="O20" s="14"/>
      <c r="P20" s="34"/>
      <c r="Q20" s="14"/>
      <c r="R20" s="14"/>
      <c r="S20" s="14"/>
    </row>
    <row r="21">
      <c r="A21" s="11">
        <v>44094</v>
      </c>
      <c r="B21" s="35"/>
      <c r="C21" s="5"/>
      <c r="D21" s="5"/>
      <c r="E21" s="5"/>
      <c r="F21" s="5"/>
      <c r="G21" s="5"/>
      <c r="H21" s="5"/>
      <c r="I21" s="5"/>
      <c r="J21" s="5"/>
      <c r="K21" s="5"/>
      <c r="L21" s="5"/>
      <c r="M21" s="5">
        <v>100</v>
      </c>
      <c r="N21" s="5"/>
      <c r="O21" s="5"/>
      <c r="P21" s="5"/>
      <c r="Q21" s="5"/>
      <c r="R21" s="5"/>
      <c r="S21" s="5"/>
    </row>
    <row r="22">
      <c r="A22" s="11">
        <v>44095</v>
      </c>
      <c r="B22" s="14">
        <v>60</v>
      </c>
      <c r="C22" s="22"/>
      <c r="D22" s="22">
        <f>120+154</f>
        <v>274</v>
      </c>
      <c r="E22" s="14"/>
      <c r="F22" s="14"/>
      <c r="G22" s="14"/>
      <c r="H22" s="14"/>
      <c r="I22" s="14"/>
      <c r="J22" s="14"/>
      <c r="K22" s="14"/>
      <c r="L22" s="14"/>
      <c r="M22" s="14"/>
      <c r="N22" s="14"/>
      <c r="O22" s="14"/>
      <c r="P22" s="14"/>
      <c r="Q22" s="14"/>
      <c r="R22" s="14"/>
      <c r="S22" s="14"/>
    </row>
    <row r="23">
      <c r="A23" s="11">
        <v>44096</v>
      </c>
      <c r="B23" s="5">
        <v>40</v>
      </c>
      <c r="E23" s="5"/>
      <c r="F23" s="5"/>
      <c r="G23" s="5"/>
      <c r="H23" s="5"/>
      <c r="I23" s="5"/>
      <c r="J23" s="5"/>
      <c r="K23" s="5"/>
      <c r="L23" s="5"/>
      <c r="M23" s="5"/>
      <c r="N23" s="5"/>
      <c r="O23" s="5"/>
      <c r="P23" s="5"/>
      <c r="Q23" s="5"/>
      <c r="R23" s="5"/>
      <c r="S23" s="5"/>
    </row>
    <row r="24">
      <c r="A24" s="11">
        <v>44097</v>
      </c>
      <c r="B24" s="14">
        <v>20</v>
      </c>
      <c r="C24" s="14">
        <v>416.12</v>
      </c>
      <c r="D24" s="14">
        <v>565</v>
      </c>
      <c r="E24" s="14"/>
      <c r="F24" s="14"/>
      <c r="G24" s="14"/>
      <c r="H24" s="14"/>
      <c r="I24" s="14"/>
      <c r="J24" s="14"/>
      <c r="K24" s="14"/>
      <c r="L24" s="14"/>
      <c r="M24" s="14"/>
      <c r="N24" s="14"/>
      <c r="O24" s="14"/>
      <c r="P24" s="14"/>
      <c r="Q24" s="14"/>
      <c r="R24" s="14"/>
      <c r="S24" s="14"/>
    </row>
    <row r="25">
      <c r="A25" s="11">
        <v>44098</v>
      </c>
      <c r="B25" s="37">
        <v>40</v>
      </c>
      <c r="C25" s="5">
        <v>543.84000000000003</v>
      </c>
      <c r="D25" s="5">
        <v>260</v>
      </c>
      <c r="E25" s="5"/>
      <c r="F25" s="5"/>
      <c r="G25" s="5"/>
      <c r="H25" s="5"/>
      <c r="I25" s="5"/>
      <c r="J25" s="5"/>
      <c r="K25" s="5"/>
      <c r="L25" s="5"/>
      <c r="M25" s="5"/>
      <c r="N25" s="5"/>
      <c r="O25" s="5"/>
      <c r="P25" s="5"/>
      <c r="Q25" s="5"/>
      <c r="R25" s="5"/>
      <c r="S25" s="5"/>
    </row>
    <row r="26">
      <c r="A26" s="11">
        <v>44099</v>
      </c>
      <c r="B26" s="14"/>
      <c r="C26" s="14"/>
      <c r="D26" s="14">
        <f>240+389.96</f>
        <v>629.96000000000004</v>
      </c>
      <c r="E26" s="14"/>
      <c r="F26" s="14"/>
      <c r="G26" s="14">
        <v>49</v>
      </c>
      <c r="H26" s="14"/>
      <c r="I26" s="14"/>
      <c r="J26" s="14"/>
      <c r="K26" s="14">
        <f>5500+1500</f>
        <v>7000</v>
      </c>
      <c r="L26" s="14">
        <v>465.5</v>
      </c>
      <c r="M26" s="14"/>
      <c r="N26" s="14"/>
      <c r="O26" s="14"/>
      <c r="P26" s="14"/>
      <c r="Q26" s="14"/>
      <c r="R26" s="14"/>
      <c r="S26" s="14"/>
    </row>
    <row r="27">
      <c r="A27" s="11">
        <v>44100</v>
      </c>
      <c r="B27" s="5">
        <v>20</v>
      </c>
      <c r="C27" s="5"/>
      <c r="D27" s="5"/>
      <c r="E27" s="5"/>
      <c r="F27" s="5"/>
      <c r="G27" s="5"/>
      <c r="H27" s="5"/>
      <c r="I27" s="5"/>
      <c r="J27" s="5"/>
      <c r="K27" s="5"/>
      <c r="L27" s="5"/>
      <c r="M27" s="5"/>
      <c r="N27" s="5"/>
      <c r="O27" s="5"/>
      <c r="P27" s="5"/>
      <c r="Q27" s="5"/>
      <c r="R27" s="5"/>
      <c r="S27" s="5"/>
    </row>
    <row r="28">
      <c r="A28" s="11">
        <v>44101</v>
      </c>
      <c r="B28" s="14">
        <v>40</v>
      </c>
      <c r="C28" s="14">
        <f>33.99+277.75+267.05</f>
        <v>578.78999999999996</v>
      </c>
      <c r="D28" s="14">
        <v>166</v>
      </c>
      <c r="E28" s="14"/>
      <c r="F28" s="14"/>
      <c r="G28" s="14"/>
      <c r="H28" s="14"/>
      <c r="I28" s="14"/>
      <c r="J28" s="14"/>
      <c r="K28" s="14"/>
      <c r="L28" s="14"/>
      <c r="M28" s="14"/>
      <c r="N28" s="14"/>
      <c r="O28" s="14"/>
      <c r="P28" s="14"/>
      <c r="Q28" s="14"/>
      <c r="R28" s="14"/>
      <c r="S28" s="14"/>
    </row>
    <row r="29">
      <c r="A29" s="11">
        <v>44102</v>
      </c>
      <c r="B29" s="5">
        <v>40</v>
      </c>
      <c r="C29" s="5"/>
      <c r="D29" s="5"/>
      <c r="E29" s="5"/>
      <c r="F29" s="5"/>
      <c r="G29" s="5"/>
      <c r="H29" s="5"/>
      <c r="I29" s="5"/>
      <c r="J29" s="5"/>
      <c r="K29" s="5"/>
      <c r="L29" s="5"/>
      <c r="M29" s="5"/>
      <c r="N29" s="5"/>
      <c r="O29" s="5"/>
      <c r="P29" s="5"/>
      <c r="Q29" s="5"/>
      <c r="R29" s="5"/>
      <c r="S29" s="5"/>
    </row>
    <row r="30">
      <c r="A30" s="11">
        <v>44103</v>
      </c>
      <c r="B30" s="14">
        <v>20</v>
      </c>
      <c r="C30" s="14">
        <f>39.99+151.46</f>
        <v>191.45000000000002</v>
      </c>
      <c r="D30" s="14"/>
      <c r="E30" s="14"/>
      <c r="F30" s="14"/>
      <c r="G30" s="14"/>
      <c r="H30" s="14"/>
      <c r="I30" s="14"/>
      <c r="J30" s="14"/>
      <c r="K30" s="14"/>
      <c r="L30" s="14"/>
      <c r="M30" s="14"/>
      <c r="N30" s="14"/>
      <c r="O30" s="14"/>
      <c r="P30" s="14"/>
      <c r="Q30" s="14"/>
      <c r="R30" s="14"/>
      <c r="S30" s="14"/>
    </row>
    <row r="31">
      <c r="A31" s="11">
        <v>44104</v>
      </c>
      <c r="B31" s="3">
        <v>20</v>
      </c>
      <c r="C31" s="3"/>
      <c r="D31" s="3"/>
      <c r="E31" s="3"/>
      <c r="F31" s="3"/>
      <c r="G31" s="3"/>
      <c r="H31" s="3"/>
      <c r="I31" s="3"/>
      <c r="J31" s="3"/>
      <c r="K31" s="3"/>
      <c r="L31" s="3"/>
      <c r="M31" s="3"/>
      <c r="N31" s="3"/>
      <c r="O31" s="3"/>
      <c r="P31" s="3"/>
      <c r="Q31" s="3"/>
      <c r="R31" s="3"/>
      <c r="S31" s="3"/>
    </row>
    <row r="32">
      <c r="A32" s="7"/>
      <c r="B32" s="7">
        <f t="shared" ref="B32:Q32" si="32">SUM(B2:B31)</f>
        <v>839</v>
      </c>
      <c r="C32" s="7">
        <f t="shared" si="32"/>
        <v>4866.1799999999994</v>
      </c>
      <c r="D32" s="7">
        <f t="shared" si="32"/>
        <v>5024.96</v>
      </c>
      <c r="E32" s="7">
        <f t="shared" si="32"/>
        <v>-100</v>
      </c>
      <c r="F32" s="7">
        <f t="shared" si="32"/>
        <v>0</v>
      </c>
      <c r="G32" s="7">
        <f t="shared" si="32"/>
        <v>49</v>
      </c>
      <c r="H32" s="7">
        <f t="shared" si="32"/>
        <v>2499</v>
      </c>
      <c r="I32" s="7">
        <f t="shared" si="32"/>
        <v>3349</v>
      </c>
      <c r="J32" s="7">
        <f t="shared" si="32"/>
        <v>27</v>
      </c>
      <c r="K32" s="7">
        <f t="shared" si="32"/>
        <v>7000</v>
      </c>
      <c r="L32" s="7">
        <f t="shared" si="32"/>
        <v>2617.02</v>
      </c>
      <c r="M32" s="7">
        <f t="shared" si="32"/>
        <v>480</v>
      </c>
      <c r="N32" s="7">
        <f t="shared" si="32"/>
        <v>0</v>
      </c>
      <c r="O32" s="7">
        <f t="shared" si="32"/>
        <v>0</v>
      </c>
      <c r="P32" s="7">
        <f t="shared" si="32"/>
        <v>539</v>
      </c>
      <c r="Q32" s="7">
        <f t="shared" si="32"/>
        <v>0</v>
      </c>
      <c r="R32" s="7" t="s">
        <v>14</v>
      </c>
      <c r="S32" s="7">
        <f>SUM(B32:Q32)</f>
        <v>27190.16</v>
      </c>
    </row>
    <row r="33">
      <c r="A33" s="8"/>
      <c r="B33" s="8"/>
      <c r="C33" s="8"/>
      <c r="D33" s="8"/>
      <c r="E33" s="8"/>
      <c r="F33" s="8"/>
      <c r="G33" s="8"/>
      <c r="H33" s="8"/>
      <c r="I33" s="8"/>
      <c r="J33" s="9"/>
      <c r="K33" s="9"/>
      <c r="L33" s="9"/>
      <c r="M33" s="9"/>
      <c r="N33" s="9"/>
      <c r="O33" s="9"/>
      <c r="P33" s="9"/>
      <c r="Q33" s="9"/>
      <c r="R33" s="9"/>
      <c r="S33" s="9"/>
    </row>
    <row r="34">
      <c r="A34" s="10" t="s">
        <v>0</v>
      </c>
      <c r="B34" s="10" t="s">
        <v>15</v>
      </c>
      <c r="C34" s="10" t="s">
        <v>16</v>
      </c>
      <c r="D34" s="10" t="s">
        <v>17</v>
      </c>
      <c r="E34" s="10" t="s">
        <v>18</v>
      </c>
      <c r="F34" s="10" t="s">
        <v>21</v>
      </c>
      <c r="G34" s="10" t="s">
        <v>26</v>
      </c>
      <c r="H34" s="10" t="s">
        <v>27</v>
      </c>
      <c r="I34" s="1"/>
    </row>
    <row r="35">
      <c r="A35" s="11">
        <v>44075</v>
      </c>
      <c r="B35" s="14"/>
      <c r="C35" s="14"/>
      <c r="D35" s="14"/>
      <c r="E35" s="14"/>
      <c r="F35" s="14"/>
      <c r="G35" s="14"/>
      <c r="H35" s="14"/>
      <c r="I35" s="14"/>
      <c r="N35" s="32"/>
      <c r="O35" s="32"/>
      <c r="R35" s="31" t="s">
        <v>40</v>
      </c>
    </row>
    <row r="36">
      <c r="A36" s="11">
        <v>44076</v>
      </c>
      <c r="B36" s="5"/>
      <c r="C36" s="5"/>
      <c r="D36" s="5"/>
      <c r="E36" s="5"/>
      <c r="F36" s="5"/>
      <c r="G36" s="5"/>
      <c r="H36" s="5"/>
      <c r="I36" s="5"/>
      <c r="R36" s="31"/>
      <c r="S36" s="31" t="s">
        <v>29</v>
      </c>
    </row>
    <row r="37">
      <c r="A37" s="11">
        <v>44077</v>
      </c>
      <c r="B37" s="14"/>
      <c r="C37" s="14"/>
      <c r="D37" s="14"/>
      <c r="E37" s="14"/>
      <c r="F37" s="14"/>
      <c r="G37" s="14"/>
      <c r="H37" s="14"/>
      <c r="I37" s="14"/>
      <c r="R37" s="31">
        <f>21000-344+2039+(23000-23000)-344-344+8164.1-4600-3300+(3000-3000)+80000+2000+(5500-5000)+(5650-5100)</f>
        <v>105321.10000000001</v>
      </c>
      <c r="S37" s="31" t="s">
        <v>31</v>
      </c>
    </row>
    <row r="38">
      <c r="A38" s="11">
        <v>44078</v>
      </c>
      <c r="B38" s="5"/>
      <c r="C38" s="5"/>
      <c r="D38" s="5"/>
      <c r="E38" s="5"/>
      <c r="F38" s="5"/>
      <c r="G38" s="5"/>
      <c r="H38" s="5"/>
      <c r="I38" s="5"/>
      <c r="R38" s="31"/>
      <c r="S38" s="31" t="s">
        <v>48</v>
      </c>
    </row>
    <row r="39">
      <c r="A39" s="11">
        <v>44079</v>
      </c>
      <c r="B39" s="14"/>
      <c r="C39" s="14"/>
      <c r="D39" s="14"/>
      <c r="E39" s="14"/>
      <c r="F39" s="14"/>
      <c r="G39" s="14"/>
      <c r="H39" s="14"/>
      <c r="I39" s="14"/>
      <c r="R39" s="31"/>
      <c r="S39" s="31" t="s">
        <v>39</v>
      </c>
    </row>
    <row r="40">
      <c r="A40" s="11">
        <v>44080</v>
      </c>
      <c r="B40" s="5"/>
      <c r="C40" s="5"/>
      <c r="D40" s="5"/>
      <c r="E40" s="5"/>
      <c r="F40" s="5"/>
      <c r="G40" s="5"/>
      <c r="H40" s="5"/>
      <c r="I40" s="5"/>
      <c r="R40" s="31"/>
      <c r="S40" s="31" t="s">
        <v>41</v>
      </c>
    </row>
    <row r="41">
      <c r="A41" s="11">
        <v>44081</v>
      </c>
      <c r="B41" s="14"/>
      <c r="C41" s="14"/>
      <c r="D41" s="14"/>
      <c r="E41" s="14"/>
      <c r="F41" s="14"/>
      <c r="G41" s="14"/>
      <c r="H41" s="14"/>
      <c r="I41" s="14"/>
      <c r="R41" s="31">
        <v>0</v>
      </c>
      <c r="S41" t="s">
        <v>42</v>
      </c>
    </row>
    <row r="42">
      <c r="A42" s="11">
        <v>44082</v>
      </c>
      <c r="B42" s="5"/>
      <c r="C42" s="5"/>
      <c r="D42" s="5"/>
      <c r="E42" s="5"/>
      <c r="F42" s="5"/>
      <c r="G42" s="5"/>
      <c r="H42" s="5"/>
      <c r="I42" s="5"/>
      <c r="R42" s="31"/>
      <c r="S42" t="s">
        <v>23</v>
      </c>
    </row>
    <row r="43">
      <c r="A43" s="11">
        <v>44083</v>
      </c>
      <c r="B43" s="15"/>
      <c r="C43" s="14"/>
      <c r="D43" s="14"/>
      <c r="E43" s="14"/>
      <c r="F43" s="14"/>
      <c r="G43" s="14"/>
      <c r="H43" s="14"/>
      <c r="I43" s="14"/>
      <c r="R43" s="31"/>
      <c r="S43" t="s">
        <v>46</v>
      </c>
    </row>
    <row r="44">
      <c r="A44" s="11">
        <v>44084</v>
      </c>
      <c r="B44" s="5">
        <v>20576.68</v>
      </c>
      <c r="C44" s="5"/>
      <c r="D44" s="5"/>
      <c r="E44" s="5"/>
      <c r="F44" s="5"/>
      <c r="G44" s="5"/>
      <c r="H44" s="5"/>
      <c r="I44" s="5"/>
    </row>
    <row r="45">
      <c r="A45" s="11">
        <v>44085</v>
      </c>
      <c r="B45" s="14"/>
      <c r="C45" s="14"/>
      <c r="D45" s="14"/>
      <c r="E45" s="14"/>
      <c r="F45" s="14"/>
      <c r="G45" s="14"/>
      <c r="H45" s="14"/>
      <c r="I45" s="14"/>
    </row>
    <row r="46">
      <c r="A46" s="11">
        <v>44086</v>
      </c>
      <c r="B46" s="5"/>
      <c r="C46" s="5"/>
      <c r="D46" s="5"/>
      <c r="E46" s="5"/>
      <c r="F46" s="5"/>
      <c r="G46" s="5"/>
      <c r="H46" s="5"/>
      <c r="I46" s="5"/>
    </row>
    <row r="47">
      <c r="A47" s="11">
        <v>44087</v>
      </c>
      <c r="B47" s="14"/>
      <c r="C47" s="14"/>
      <c r="D47" s="14">
        <v>2000</v>
      </c>
      <c r="E47" s="14"/>
      <c r="F47" s="14"/>
      <c r="G47" s="14"/>
      <c r="H47" s="14"/>
      <c r="I47" s="14"/>
    </row>
    <row r="48">
      <c r="A48" s="11">
        <v>44088</v>
      </c>
      <c r="B48" s="5"/>
      <c r="C48" s="5"/>
      <c r="D48" s="5"/>
      <c r="E48" s="5"/>
      <c r="F48" s="5"/>
      <c r="G48" s="5"/>
      <c r="H48" s="5"/>
      <c r="I48" s="5"/>
    </row>
    <row r="49">
      <c r="A49" s="11">
        <v>44089</v>
      </c>
      <c r="B49" s="14"/>
      <c r="C49" s="14"/>
      <c r="D49" s="14"/>
      <c r="E49" s="14"/>
      <c r="F49" s="14"/>
      <c r="G49" s="14"/>
      <c r="H49" s="14"/>
      <c r="I49" s="14"/>
    </row>
    <row r="50">
      <c r="A50" s="11">
        <v>44090</v>
      </c>
      <c r="B50" s="5"/>
      <c r="C50" s="5"/>
      <c r="D50" s="5"/>
      <c r="E50" s="5"/>
      <c r="F50" s="5"/>
      <c r="G50" s="5"/>
      <c r="H50" s="5"/>
      <c r="I50" s="5"/>
    </row>
    <row r="51">
      <c r="A51" s="11">
        <v>44091</v>
      </c>
      <c r="B51" s="14"/>
      <c r="C51" s="14"/>
      <c r="D51" s="14"/>
      <c r="E51" s="14"/>
      <c r="F51" s="14"/>
      <c r="G51" s="14"/>
      <c r="H51" s="14"/>
      <c r="I51" s="14"/>
    </row>
    <row r="52">
      <c r="A52" s="11">
        <v>44092</v>
      </c>
      <c r="B52" s="5"/>
      <c r="C52" s="5"/>
      <c r="D52" s="5"/>
      <c r="E52" s="5"/>
      <c r="F52" s="5"/>
      <c r="G52" s="5"/>
      <c r="H52" s="5"/>
      <c r="I52" s="5"/>
    </row>
    <row r="53">
      <c r="A53" s="11">
        <v>44093</v>
      </c>
      <c r="B53" s="14"/>
      <c r="C53" s="14"/>
      <c r="D53" s="14"/>
      <c r="E53" s="14"/>
      <c r="F53" s="14"/>
      <c r="G53" s="14"/>
      <c r="H53" s="14">
        <v>500</v>
      </c>
      <c r="I53" s="14"/>
    </row>
    <row r="54">
      <c r="A54" s="11">
        <v>44094</v>
      </c>
      <c r="B54" s="5"/>
      <c r="C54" s="5"/>
      <c r="D54" s="5"/>
      <c r="E54" s="5"/>
      <c r="F54" s="5"/>
      <c r="G54" s="5"/>
      <c r="H54" s="5"/>
      <c r="I54" s="5"/>
    </row>
    <row r="55">
      <c r="A55" s="11">
        <v>44095</v>
      </c>
      <c r="B55" s="14"/>
      <c r="C55" s="14"/>
      <c r="D55" s="14"/>
      <c r="E55" s="14"/>
      <c r="F55" s="14"/>
      <c r="G55" s="14"/>
      <c r="H55" s="14"/>
      <c r="I55" s="14"/>
    </row>
    <row r="56">
      <c r="A56" s="11">
        <v>44096</v>
      </c>
      <c r="B56" s="5"/>
      <c r="C56" s="5"/>
      <c r="D56" s="5"/>
      <c r="E56" s="5"/>
      <c r="F56" s="5"/>
      <c r="G56" s="5"/>
      <c r="H56" s="5"/>
      <c r="I56" s="5"/>
    </row>
    <row r="57">
      <c r="A57" s="11">
        <v>44097</v>
      </c>
      <c r="B57" s="14"/>
      <c r="C57" s="14"/>
      <c r="D57" s="14"/>
      <c r="E57" s="14"/>
      <c r="F57" s="14"/>
      <c r="G57" s="14"/>
      <c r="H57" s="14">
        <v>300</v>
      </c>
      <c r="I57" s="14"/>
    </row>
    <row r="58">
      <c r="A58" s="11">
        <v>44098</v>
      </c>
      <c r="B58" s="5"/>
      <c r="C58" s="5"/>
      <c r="D58" s="5"/>
      <c r="E58" s="5"/>
      <c r="F58" s="5"/>
      <c r="G58" s="5"/>
      <c r="H58" s="5"/>
      <c r="I58" s="5"/>
    </row>
    <row r="59">
      <c r="A59" s="11">
        <v>44099</v>
      </c>
      <c r="B59" s="14">
        <v>1500</v>
      </c>
      <c r="C59" s="14"/>
      <c r="D59" s="14"/>
      <c r="E59" s="14"/>
      <c r="F59" s="14"/>
      <c r="G59" s="14"/>
      <c r="H59" s="14"/>
      <c r="I59" s="14"/>
    </row>
    <row r="60">
      <c r="A60" s="11">
        <v>44100</v>
      </c>
      <c r="B60" s="5"/>
      <c r="C60" s="5"/>
      <c r="D60" s="5"/>
      <c r="E60" s="5"/>
      <c r="F60" s="5"/>
      <c r="G60" s="5"/>
      <c r="H60" s="5"/>
      <c r="I60" s="5"/>
    </row>
    <row r="61">
      <c r="A61" s="11">
        <v>44101</v>
      </c>
      <c r="B61" s="14"/>
      <c r="C61" s="14"/>
      <c r="D61" s="14"/>
      <c r="E61" s="14"/>
      <c r="F61" s="14"/>
      <c r="G61" s="14"/>
      <c r="H61" s="14"/>
      <c r="I61" s="14"/>
    </row>
    <row r="62">
      <c r="A62" s="11">
        <v>44102</v>
      </c>
      <c r="B62" s="5"/>
      <c r="C62" s="5"/>
      <c r="D62" s="5"/>
      <c r="E62" s="5">
        <v>153</v>
      </c>
      <c r="F62" s="5"/>
      <c r="G62" s="5"/>
      <c r="H62" s="5"/>
      <c r="I62" s="5"/>
    </row>
    <row r="63">
      <c r="A63" s="11">
        <v>44103</v>
      </c>
      <c r="B63" s="14"/>
      <c r="C63" s="14"/>
      <c r="D63" s="14"/>
      <c r="E63" s="14"/>
      <c r="F63" s="14"/>
      <c r="G63" s="14"/>
      <c r="H63" s="14"/>
      <c r="I63" s="14"/>
    </row>
    <row r="64">
      <c r="A64" s="11">
        <v>44104</v>
      </c>
      <c r="B64" s="3"/>
      <c r="C64" s="3"/>
      <c r="D64" s="3"/>
      <c r="E64" s="3">
        <f>407.52+62.49</f>
        <v>470.00999999999999</v>
      </c>
      <c r="F64" s="3"/>
      <c r="G64" s="3"/>
      <c r="H64" s="3"/>
      <c r="I64" s="3"/>
    </row>
    <row r="65">
      <c r="A65" s="7"/>
      <c r="B65" s="7">
        <f t="shared" ref="B65:H65" si="33">SUM(B35:B64)</f>
        <v>22076.68</v>
      </c>
      <c r="C65" s="7">
        <f t="shared" si="33"/>
        <v>0</v>
      </c>
      <c r="D65" s="7">
        <f t="shared" si="33"/>
        <v>2000</v>
      </c>
      <c r="E65" s="7">
        <f t="shared" si="33"/>
        <v>623.00999999999999</v>
      </c>
      <c r="F65" s="7">
        <f t="shared" si="33"/>
        <v>0</v>
      </c>
      <c r="G65" s="7">
        <f t="shared" si="33"/>
        <v>0</v>
      </c>
      <c r="H65" s="7">
        <f t="shared" si="33"/>
        <v>800</v>
      </c>
      <c r="I65" s="7">
        <f>SUM(B65:H65)</f>
        <v>25499.689999999999</v>
      </c>
      <c r="R65" s="33">
        <f>SUM(R36:R64)</f>
        <v>105321.10000000001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3" activeCellId="0" sqref="B33:Q33"/>
    </sheetView>
  </sheetViews>
  <sheetFormatPr defaultRowHeight="14.25"/>
  <cols>
    <col bestFit="1" customWidth="1" min="1" max="1" width="11"/>
    <col bestFit="1" customWidth="1" min="16" max="16" width="13.4257812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0" t="s">
        <v>49</v>
      </c>
      <c r="R1" s="1"/>
      <c r="S1" s="1"/>
    </row>
    <row r="2">
      <c r="A2" s="11">
        <v>44105</v>
      </c>
      <c r="B2" s="14"/>
      <c r="C2" s="14">
        <v>728.10000000000002</v>
      </c>
      <c r="D2" s="14">
        <v>368</v>
      </c>
      <c r="E2" s="14"/>
      <c r="F2" s="14"/>
      <c r="G2" s="14"/>
      <c r="H2" s="14"/>
      <c r="I2" s="14"/>
      <c r="J2" s="14"/>
      <c r="K2" s="14"/>
      <c r="L2" s="14"/>
      <c r="M2" s="14"/>
      <c r="N2" s="14"/>
      <c r="O2" s="14"/>
      <c r="P2" s="14"/>
      <c r="Q2" s="14">
        <v>610</v>
      </c>
      <c r="R2" s="14"/>
      <c r="S2" s="14"/>
    </row>
    <row r="3">
      <c r="A3" s="11">
        <v>44106</v>
      </c>
      <c r="B3" s="5">
        <v>20</v>
      </c>
      <c r="C3" s="5">
        <v>51.990000000000002</v>
      </c>
      <c r="D3" s="5">
        <v>250</v>
      </c>
      <c r="E3" s="5"/>
      <c r="F3" s="5"/>
      <c r="G3" s="5"/>
      <c r="H3" s="5"/>
      <c r="I3" s="5"/>
      <c r="J3" s="5"/>
      <c r="K3" s="5"/>
      <c r="L3" s="5"/>
      <c r="M3" s="5"/>
      <c r="N3" s="5"/>
      <c r="O3" s="5"/>
      <c r="P3" s="5"/>
      <c r="Q3" s="5"/>
      <c r="R3" s="5"/>
      <c r="S3" s="5"/>
    </row>
    <row r="4">
      <c r="A4" s="11">
        <v>44107</v>
      </c>
      <c r="B4" s="14">
        <v>40</v>
      </c>
      <c r="C4" s="14"/>
      <c r="D4" s="14"/>
      <c r="E4" s="14"/>
      <c r="F4" s="14"/>
      <c r="G4" s="14"/>
      <c r="H4" s="14"/>
      <c r="I4" s="14"/>
      <c r="J4" s="14"/>
      <c r="K4" s="14"/>
      <c r="L4" s="14"/>
      <c r="M4" s="14">
        <v>100</v>
      </c>
      <c r="N4" s="14"/>
      <c r="O4" s="14"/>
      <c r="P4" s="14"/>
      <c r="Q4" s="14"/>
      <c r="R4" s="14"/>
      <c r="S4" s="14"/>
    </row>
    <row r="5">
      <c r="A5" s="11">
        <v>44108</v>
      </c>
      <c r="B5" s="5"/>
      <c r="C5" s="5"/>
      <c r="D5" s="5"/>
      <c r="E5" s="5"/>
      <c r="F5" s="5"/>
      <c r="G5" s="5"/>
      <c r="H5" s="5"/>
      <c r="I5" s="5"/>
      <c r="J5" s="5"/>
      <c r="K5" s="5"/>
      <c r="L5" s="5"/>
      <c r="M5" s="5"/>
      <c r="N5" s="5"/>
      <c r="O5" s="5"/>
      <c r="P5" s="5"/>
      <c r="Q5" s="5">
        <v>39</v>
      </c>
      <c r="R5" s="5"/>
      <c r="S5" s="5"/>
    </row>
    <row r="6">
      <c r="A6" s="11">
        <v>44109</v>
      </c>
      <c r="B6" s="14">
        <v>40</v>
      </c>
      <c r="C6" s="14">
        <f>73.39+225.98+390.8+58.99</f>
        <v>749.16000000000008</v>
      </c>
      <c r="D6" s="14"/>
      <c r="E6" s="14"/>
      <c r="F6" s="14"/>
      <c r="G6" s="14"/>
      <c r="H6" s="14"/>
      <c r="I6" s="14"/>
      <c r="J6" s="14">
        <v>1209</v>
      </c>
      <c r="K6" s="14"/>
      <c r="L6" s="14"/>
      <c r="M6" s="14"/>
      <c r="N6" s="14"/>
      <c r="O6" s="14"/>
      <c r="P6" s="14"/>
      <c r="Q6" s="14"/>
      <c r="R6" s="14"/>
      <c r="S6" s="14"/>
    </row>
    <row r="7">
      <c r="A7" s="11">
        <v>44110</v>
      </c>
      <c r="B7" s="5">
        <v>20</v>
      </c>
      <c r="C7" s="5">
        <f>254.98-120+126.57</f>
        <v>261.54999999999995</v>
      </c>
      <c r="D7" s="5"/>
      <c r="E7" s="5"/>
      <c r="F7" s="5"/>
      <c r="G7" s="5"/>
      <c r="H7" s="5"/>
      <c r="I7" s="5"/>
      <c r="J7" s="5"/>
      <c r="K7" s="5"/>
      <c r="L7" s="5"/>
      <c r="M7" s="5">
        <v>280</v>
      </c>
      <c r="N7" s="5"/>
      <c r="O7" s="5"/>
      <c r="P7" s="5"/>
      <c r="Q7" s="5">
        <v>120</v>
      </c>
      <c r="R7" s="5"/>
      <c r="S7" s="5"/>
    </row>
    <row r="8">
      <c r="A8" s="11">
        <v>44111</v>
      </c>
      <c r="B8" s="14"/>
      <c r="C8" s="14"/>
      <c r="D8" s="14">
        <v>130</v>
      </c>
      <c r="E8" s="14"/>
      <c r="F8" s="14"/>
      <c r="G8" s="14"/>
      <c r="H8" s="14"/>
      <c r="I8" s="14"/>
      <c r="J8" s="14"/>
      <c r="K8" s="14"/>
      <c r="L8" s="14"/>
      <c r="M8" s="14"/>
      <c r="N8" s="14"/>
      <c r="O8" s="14"/>
      <c r="P8" s="14"/>
      <c r="Q8" s="14"/>
      <c r="R8" s="14"/>
      <c r="S8" s="14"/>
    </row>
    <row r="9">
      <c r="A9" s="11">
        <v>44112</v>
      </c>
      <c r="B9" s="5">
        <v>20</v>
      </c>
      <c r="C9" s="5">
        <v>833.13</v>
      </c>
      <c r="D9" s="5"/>
      <c r="E9" s="5"/>
      <c r="F9" s="5"/>
      <c r="G9" s="5"/>
      <c r="H9" s="5"/>
      <c r="I9" s="5"/>
      <c r="J9" s="5"/>
      <c r="K9" s="5"/>
      <c r="L9" s="5"/>
      <c r="M9" s="5">
        <v>50</v>
      </c>
      <c r="N9" s="5"/>
      <c r="O9" s="5"/>
      <c r="P9" s="5"/>
      <c r="Q9" s="5"/>
      <c r="R9" s="5"/>
      <c r="S9" s="5"/>
    </row>
    <row r="10">
      <c r="A10" s="11">
        <v>44113</v>
      </c>
      <c r="B10" s="14">
        <v>40</v>
      </c>
      <c r="C10" s="14">
        <v>100</v>
      </c>
      <c r="D10" s="14">
        <v>130</v>
      </c>
      <c r="E10" s="14"/>
      <c r="F10" s="14"/>
      <c r="G10" s="14"/>
      <c r="H10" s="14"/>
      <c r="I10" s="14"/>
      <c r="J10" s="14"/>
      <c r="K10" s="14"/>
      <c r="L10" s="14"/>
      <c r="M10" s="14"/>
      <c r="N10" s="14"/>
      <c r="O10" s="14"/>
      <c r="P10" s="14"/>
      <c r="Q10" s="14"/>
      <c r="R10" s="14"/>
      <c r="S10" s="14"/>
    </row>
    <row r="11">
      <c r="A11" s="11">
        <v>44114</v>
      </c>
      <c r="B11" s="5">
        <v>20</v>
      </c>
      <c r="C11" s="5">
        <v>172.66999999999999</v>
      </c>
      <c r="D11" s="5">
        <v>130</v>
      </c>
      <c r="E11" s="5"/>
      <c r="F11" s="5"/>
      <c r="G11" s="5"/>
      <c r="H11" s="5"/>
      <c r="I11" s="5"/>
      <c r="J11" s="5"/>
      <c r="K11" s="5"/>
      <c r="L11" s="5"/>
      <c r="M11" s="5"/>
      <c r="N11" s="5"/>
      <c r="O11" s="5"/>
      <c r="P11" s="5">
        <v>199</v>
      </c>
      <c r="Q11" s="5"/>
      <c r="R11" s="5"/>
      <c r="S11" s="5"/>
    </row>
    <row r="12">
      <c r="A12" s="11">
        <v>44115</v>
      </c>
      <c r="B12" s="14"/>
      <c r="C12" s="14"/>
      <c r="D12" s="14"/>
      <c r="E12" s="14"/>
      <c r="F12" s="14"/>
      <c r="G12" s="14"/>
      <c r="H12" s="14"/>
      <c r="I12" s="14"/>
      <c r="J12" s="14">
        <v>108.3</v>
      </c>
      <c r="K12" s="14"/>
      <c r="L12" s="14"/>
      <c r="M12" s="14"/>
      <c r="N12" s="14"/>
      <c r="O12" s="14"/>
      <c r="P12" s="14"/>
      <c r="Q12" s="14"/>
      <c r="R12" s="14"/>
      <c r="S12" s="14"/>
    </row>
    <row r="13">
      <c r="A13" s="11">
        <v>44116</v>
      </c>
      <c r="B13" s="5">
        <v>20</v>
      </c>
      <c r="C13" s="5">
        <v>97</v>
      </c>
      <c r="D13" s="5"/>
      <c r="E13" s="5"/>
      <c r="F13" s="5"/>
      <c r="G13" s="5"/>
      <c r="H13" s="5"/>
      <c r="I13" s="5"/>
      <c r="J13" s="5"/>
      <c r="K13" s="5"/>
      <c r="L13" s="5"/>
      <c r="M13" s="5"/>
      <c r="N13" s="5"/>
      <c r="O13" s="5"/>
      <c r="P13" s="5"/>
      <c r="Q13" s="5"/>
      <c r="R13" s="5"/>
      <c r="S13" s="5"/>
    </row>
    <row r="14">
      <c r="A14" s="11">
        <v>44117</v>
      </c>
      <c r="B14" s="14"/>
      <c r="C14" s="14"/>
      <c r="D14" s="14">
        <v>320</v>
      </c>
      <c r="E14" s="14"/>
      <c r="F14" s="14"/>
      <c r="G14" s="14"/>
      <c r="H14" s="14"/>
      <c r="I14" s="14"/>
      <c r="J14" s="14"/>
      <c r="K14" s="14"/>
      <c r="L14" s="14"/>
      <c r="M14" s="14"/>
      <c r="N14" s="14"/>
      <c r="O14" s="14"/>
      <c r="P14" s="14"/>
      <c r="Q14" s="14"/>
      <c r="R14" s="14"/>
      <c r="S14" s="14"/>
    </row>
    <row r="15">
      <c r="A15" s="11">
        <v>44118</v>
      </c>
      <c r="B15" s="5">
        <v>20</v>
      </c>
      <c r="C15" s="5">
        <v>119.87</v>
      </c>
      <c r="D15" s="5">
        <v>130</v>
      </c>
      <c r="E15" s="5"/>
      <c r="F15" s="5"/>
      <c r="G15" s="5"/>
      <c r="H15" s="5"/>
      <c r="J15" s="5">
        <v>39</v>
      </c>
      <c r="K15" s="5"/>
      <c r="L15" s="5"/>
      <c r="M15" s="5"/>
      <c r="N15" s="5"/>
      <c r="O15" s="5"/>
      <c r="P15" s="5"/>
      <c r="Q15" s="5"/>
      <c r="R15" s="5"/>
      <c r="S15" s="5"/>
    </row>
    <row r="16">
      <c r="A16" s="11">
        <v>44119</v>
      </c>
      <c r="B16" s="14">
        <v>20</v>
      </c>
      <c r="C16" s="14">
        <v>144</v>
      </c>
      <c r="D16" s="14">
        <v>130</v>
      </c>
      <c r="E16" s="14"/>
      <c r="F16" s="14"/>
      <c r="G16" s="14"/>
      <c r="H16" s="14"/>
      <c r="I16" s="14"/>
      <c r="J16" s="14"/>
      <c r="K16" s="14"/>
      <c r="L16" s="14"/>
      <c r="M16" s="14"/>
      <c r="N16" s="14"/>
      <c r="O16" s="14"/>
      <c r="P16" s="14"/>
      <c r="Q16" s="14"/>
      <c r="R16" s="14"/>
      <c r="S16" s="14"/>
    </row>
    <row r="17">
      <c r="A17" s="11">
        <v>44120</v>
      </c>
      <c r="B17" s="5"/>
      <c r="C17" s="5"/>
      <c r="D17" s="5">
        <v>429.94</v>
      </c>
      <c r="E17" s="5"/>
      <c r="F17" s="5"/>
      <c r="G17" s="5"/>
      <c r="H17" s="5"/>
      <c r="I17" s="5">
        <v>390</v>
      </c>
      <c r="J17" s="5"/>
      <c r="K17" s="5"/>
      <c r="L17" s="5"/>
      <c r="M17" s="5"/>
      <c r="N17" s="5"/>
      <c r="O17" s="5"/>
      <c r="P17" s="5"/>
      <c r="Q17" s="5"/>
      <c r="R17" s="5"/>
      <c r="S17" s="5"/>
    </row>
    <row r="18">
      <c r="A18" s="11">
        <v>44121</v>
      </c>
      <c r="B18" s="14">
        <v>40</v>
      </c>
      <c r="C18" s="14"/>
      <c r="D18" s="14"/>
      <c r="E18" s="14"/>
      <c r="F18" s="14"/>
      <c r="G18" s="14"/>
      <c r="H18" s="14"/>
      <c r="I18" s="14"/>
      <c r="J18" s="14"/>
      <c r="K18" s="14"/>
      <c r="L18" s="14"/>
      <c r="M18" s="14"/>
      <c r="N18" s="14"/>
      <c r="O18" s="14"/>
      <c r="P18" s="14"/>
      <c r="Q18" s="14"/>
      <c r="R18" s="14"/>
      <c r="S18" s="14"/>
    </row>
    <row r="19">
      <c r="A19" s="11">
        <v>44122</v>
      </c>
      <c r="B19" s="5">
        <v>20</v>
      </c>
      <c r="C19" s="5"/>
      <c r="D19" s="5">
        <v>590</v>
      </c>
      <c r="E19" s="5"/>
      <c r="F19" s="5"/>
      <c r="G19" s="5"/>
      <c r="H19" s="5"/>
      <c r="I19" s="5"/>
      <c r="J19" s="5"/>
      <c r="K19" s="5"/>
      <c r="L19" s="5"/>
      <c r="M19" s="5"/>
      <c r="N19" s="5"/>
      <c r="O19" s="5"/>
      <c r="P19" s="5"/>
      <c r="Q19" s="5"/>
      <c r="R19" s="5"/>
      <c r="S19" s="5"/>
    </row>
    <row r="20">
      <c r="A20" s="11">
        <v>44123</v>
      </c>
      <c r="B20" s="14">
        <v>40</v>
      </c>
      <c r="C20" s="14"/>
      <c r="D20" s="14"/>
      <c r="E20" s="14"/>
      <c r="F20" s="14"/>
      <c r="G20" s="14"/>
      <c r="H20" s="14"/>
      <c r="I20" s="14"/>
      <c r="J20" s="14"/>
      <c r="K20" s="14"/>
      <c r="L20" s="14"/>
      <c r="M20" s="14"/>
      <c r="N20" s="14"/>
      <c r="O20" s="14"/>
      <c r="P20" s="34"/>
      <c r="Q20" s="14"/>
      <c r="R20" s="14"/>
      <c r="S20" s="14"/>
    </row>
    <row r="21">
      <c r="A21" s="11">
        <v>44124</v>
      </c>
      <c r="B21" s="35">
        <v>80</v>
      </c>
      <c r="C21" s="5">
        <v>761.16999999999996</v>
      </c>
      <c r="D21" s="5"/>
      <c r="E21" s="5"/>
      <c r="F21" s="5"/>
      <c r="G21" s="5"/>
      <c r="H21" s="5"/>
      <c r="I21" s="5">
        <v>147</v>
      </c>
      <c r="J21" s="5"/>
      <c r="K21" s="5"/>
      <c r="L21" s="5"/>
      <c r="M21" s="5"/>
      <c r="N21" s="5"/>
      <c r="O21" s="5"/>
      <c r="P21" s="5"/>
      <c r="Q21" s="5"/>
      <c r="R21" s="5"/>
      <c r="S21" s="5"/>
    </row>
    <row r="22">
      <c r="A22" s="11">
        <v>44125</v>
      </c>
      <c r="B22" s="14">
        <v>40</v>
      </c>
      <c r="C22" s="36"/>
      <c r="D22" s="36"/>
      <c r="E22" s="14"/>
      <c r="F22" s="14"/>
      <c r="G22" s="14"/>
      <c r="H22" s="14"/>
      <c r="I22" s="14"/>
      <c r="J22" s="14"/>
      <c r="K22" s="14"/>
      <c r="L22" s="14"/>
      <c r="M22" s="14"/>
      <c r="N22" s="14"/>
      <c r="O22" s="14"/>
      <c r="P22" s="14"/>
      <c r="Q22" s="14"/>
      <c r="R22" s="14"/>
      <c r="S22" s="14"/>
    </row>
    <row r="23">
      <c r="A23" s="11">
        <v>44126</v>
      </c>
      <c r="B23" s="5"/>
      <c r="E23" s="5"/>
      <c r="F23" s="5"/>
      <c r="G23" s="5"/>
      <c r="H23" s="5"/>
      <c r="I23" s="5"/>
      <c r="J23" s="5"/>
      <c r="K23" s="5"/>
      <c r="L23" s="5"/>
      <c r="M23" s="5"/>
      <c r="N23" s="5"/>
      <c r="O23" s="5"/>
      <c r="P23" s="5"/>
      <c r="Q23" s="5"/>
      <c r="R23" s="5"/>
      <c r="S23" s="5"/>
    </row>
    <row r="24">
      <c r="A24" s="11">
        <v>44127</v>
      </c>
      <c r="B24" s="14">
        <v>20</v>
      </c>
      <c r="C24" s="14">
        <v>486.43000000000001</v>
      </c>
      <c r="D24" s="14"/>
      <c r="E24" s="14"/>
      <c r="F24" s="14"/>
      <c r="G24" s="14"/>
      <c r="H24" s="14"/>
      <c r="I24" s="14"/>
      <c r="J24" s="14"/>
      <c r="K24" s="14"/>
      <c r="L24" s="14"/>
      <c r="M24" s="14"/>
      <c r="N24" s="14"/>
      <c r="O24" s="14"/>
      <c r="P24" s="14"/>
      <c r="Q24" s="14"/>
      <c r="R24" s="14"/>
      <c r="S24" s="14"/>
    </row>
    <row r="25">
      <c r="A25" s="11">
        <v>44128</v>
      </c>
      <c r="C25" s="5"/>
      <c r="D25" s="5">
        <v>170</v>
      </c>
      <c r="E25" s="5"/>
      <c r="F25" s="5"/>
      <c r="G25" s="5"/>
      <c r="H25" s="5"/>
      <c r="I25" s="5"/>
      <c r="J25" s="5"/>
      <c r="K25" s="5"/>
      <c r="L25" s="5"/>
      <c r="M25" s="5"/>
      <c r="N25" s="5"/>
      <c r="O25" s="5"/>
      <c r="P25" s="5"/>
      <c r="Q25" s="5"/>
      <c r="R25" s="5"/>
      <c r="S25" s="5"/>
    </row>
    <row r="26">
      <c r="A26" s="11">
        <v>44129</v>
      </c>
      <c r="B26" s="14"/>
      <c r="C26" s="14"/>
      <c r="D26" s="14"/>
      <c r="E26" s="14"/>
      <c r="F26" s="14"/>
      <c r="G26" s="14"/>
      <c r="H26" s="14"/>
      <c r="I26" s="14"/>
      <c r="J26" s="14"/>
      <c r="K26" s="14">
        <v>7000</v>
      </c>
      <c r="L26" s="14"/>
      <c r="M26" s="14"/>
      <c r="N26" s="14"/>
      <c r="O26" s="14"/>
      <c r="P26" s="14"/>
      <c r="Q26" s="14"/>
      <c r="R26" s="14"/>
      <c r="S26" s="14"/>
    </row>
    <row r="27">
      <c r="A27" s="11">
        <v>44130</v>
      </c>
      <c r="B27" s="5"/>
      <c r="C27" s="5"/>
      <c r="D27" s="5"/>
      <c r="E27" s="5"/>
      <c r="F27" s="5"/>
      <c r="G27" s="5"/>
      <c r="H27" s="5"/>
      <c r="I27" s="5"/>
      <c r="J27" s="5"/>
      <c r="K27" s="5"/>
      <c r="L27" s="5"/>
      <c r="M27" s="5"/>
      <c r="N27" s="5"/>
      <c r="O27" s="5"/>
      <c r="P27" s="5"/>
      <c r="Q27" s="5"/>
      <c r="R27" s="5"/>
      <c r="S27" s="5"/>
    </row>
    <row r="28">
      <c r="A28" s="11">
        <v>44131</v>
      </c>
      <c r="B28" s="14">
        <v>20</v>
      </c>
      <c r="C28" s="14"/>
      <c r="D28" s="14">
        <v>245</v>
      </c>
      <c r="E28" s="14"/>
      <c r="F28" s="14"/>
      <c r="G28" s="14"/>
      <c r="H28" s="14"/>
      <c r="I28" s="14"/>
      <c r="J28" s="14">
        <v>169.56</v>
      </c>
      <c r="K28" s="14"/>
      <c r="L28" s="14"/>
      <c r="M28" s="14"/>
      <c r="N28" s="14"/>
      <c r="O28" s="14"/>
      <c r="P28" s="14"/>
      <c r="Q28" s="14"/>
      <c r="R28" s="14"/>
      <c r="S28" s="14"/>
    </row>
    <row r="29">
      <c r="A29" s="11">
        <v>44132</v>
      </c>
      <c r="B29" s="5">
        <f>20+70</f>
        <v>90</v>
      </c>
      <c r="C29" s="5"/>
      <c r="D29" s="5">
        <v>1300</v>
      </c>
      <c r="E29" s="5"/>
      <c r="F29" s="5"/>
      <c r="G29" s="5"/>
      <c r="H29" s="5"/>
      <c r="I29" s="5"/>
      <c r="J29" s="5"/>
      <c r="K29" s="5"/>
      <c r="L29" s="5"/>
      <c r="M29" s="5"/>
      <c r="N29" s="5"/>
      <c r="O29" s="5"/>
      <c r="P29" s="5"/>
      <c r="Q29" s="5"/>
      <c r="R29" s="5"/>
      <c r="S29" s="5"/>
    </row>
    <row r="30">
      <c r="A30" s="11">
        <v>44133</v>
      </c>
      <c r="B30" s="14">
        <f>40+40</f>
        <v>80</v>
      </c>
      <c r="C30" s="14"/>
      <c r="D30" s="14">
        <v>356</v>
      </c>
      <c r="E30" s="14"/>
      <c r="F30" s="14"/>
      <c r="G30" s="14"/>
      <c r="H30" s="14"/>
      <c r="I30" s="14"/>
      <c r="J30" s="14">
        <v>721.20000000000005</v>
      </c>
      <c r="K30" s="14"/>
      <c r="L30" s="14"/>
      <c r="M30" s="14"/>
      <c r="N30" s="14"/>
      <c r="O30" s="14"/>
      <c r="P30" s="14"/>
      <c r="Q30" s="14"/>
      <c r="R30" s="14"/>
      <c r="S30" s="14"/>
    </row>
    <row r="31">
      <c r="A31" s="11">
        <v>44134</v>
      </c>
      <c r="B31" s="3"/>
      <c r="C31" s="3">
        <v>761.86000000000001</v>
      </c>
      <c r="D31" s="3"/>
      <c r="E31" s="3"/>
      <c r="F31" s="3"/>
      <c r="G31" s="3"/>
      <c r="H31" s="3"/>
      <c r="I31" s="3"/>
      <c r="J31" s="3"/>
      <c r="K31" s="3"/>
      <c r="L31" s="3"/>
      <c r="M31" s="3"/>
      <c r="N31" s="3"/>
      <c r="O31" s="3"/>
      <c r="P31" s="3"/>
      <c r="Q31" s="3"/>
      <c r="R31" s="3"/>
      <c r="S31" s="3"/>
    </row>
    <row r="32">
      <c r="A32" s="11">
        <v>44135</v>
      </c>
      <c r="B32" s="22"/>
      <c r="C32" s="22"/>
      <c r="D32" s="22">
        <v>130</v>
      </c>
      <c r="E32" s="22"/>
      <c r="F32" s="22"/>
      <c r="G32" s="22"/>
      <c r="H32" s="22"/>
      <c r="I32" s="22"/>
      <c r="J32" s="22"/>
      <c r="K32" s="22"/>
      <c r="L32" s="22"/>
      <c r="M32" s="22"/>
      <c r="N32" s="22"/>
      <c r="O32" s="22"/>
      <c r="P32" s="22"/>
      <c r="Q32" s="22"/>
      <c r="R32" s="22"/>
      <c r="S32" s="22"/>
    </row>
    <row r="33">
      <c r="A33" s="7"/>
      <c r="B33" s="7">
        <f>SUM(B2:B32)</f>
        <v>690</v>
      </c>
      <c r="C33" s="7">
        <f t="shared" ref="C33:Q33" si="34">SUM(C2:C32)</f>
        <v>5266.9299999999994</v>
      </c>
      <c r="D33" s="7">
        <f t="shared" si="34"/>
        <v>4808.9400000000005</v>
      </c>
      <c r="E33" s="7">
        <f t="shared" si="34"/>
        <v>0</v>
      </c>
      <c r="F33" s="7">
        <f t="shared" si="34"/>
        <v>0</v>
      </c>
      <c r="G33" s="7">
        <f t="shared" si="34"/>
        <v>0</v>
      </c>
      <c r="H33" s="7">
        <f t="shared" si="34"/>
        <v>0</v>
      </c>
      <c r="I33" s="7">
        <f t="shared" si="34"/>
        <v>537</v>
      </c>
      <c r="J33" s="7">
        <f t="shared" si="34"/>
        <v>2247.0599999999999</v>
      </c>
      <c r="K33" s="7">
        <f t="shared" si="34"/>
        <v>7000</v>
      </c>
      <c r="L33" s="7">
        <f t="shared" si="34"/>
        <v>0</v>
      </c>
      <c r="M33" s="7">
        <f t="shared" si="34"/>
        <v>430</v>
      </c>
      <c r="N33" s="7">
        <f t="shared" si="34"/>
        <v>0</v>
      </c>
      <c r="O33" s="7">
        <f t="shared" si="34"/>
        <v>0</v>
      </c>
      <c r="P33" s="7">
        <f t="shared" si="34"/>
        <v>199</v>
      </c>
      <c r="Q33" s="7">
        <f t="shared" si="34"/>
        <v>769</v>
      </c>
      <c r="R33" s="7" t="s">
        <v>14</v>
      </c>
      <c r="S33" s="7">
        <f>SUM(B33:Q33)</f>
        <v>21947.93</v>
      </c>
    </row>
    <row r="34">
      <c r="A34" s="8"/>
      <c r="B34" s="8"/>
      <c r="C34" s="8"/>
      <c r="D34" s="8"/>
      <c r="E34" s="8"/>
      <c r="F34" s="8"/>
      <c r="G34" s="8"/>
      <c r="H34" s="8"/>
      <c r="I34" s="8"/>
      <c r="J34" s="9"/>
      <c r="K34" s="9"/>
      <c r="L34" s="9"/>
      <c r="M34" s="9"/>
      <c r="N34" s="9"/>
      <c r="O34" s="9"/>
      <c r="P34" s="9"/>
      <c r="Q34" s="9"/>
      <c r="R34" s="9"/>
      <c r="S34" s="9"/>
    </row>
    <row r="35">
      <c r="A35" s="10" t="s">
        <v>0</v>
      </c>
      <c r="B35" s="10" t="s">
        <v>50</v>
      </c>
      <c r="C35" s="10" t="s">
        <v>13</v>
      </c>
      <c r="D35" s="10" t="s">
        <v>11</v>
      </c>
      <c r="E35" s="10" t="s">
        <v>51</v>
      </c>
      <c r="F35" s="10" t="s">
        <v>52</v>
      </c>
      <c r="G35" s="10" t="s">
        <v>53</v>
      </c>
      <c r="H35" s="10" t="s">
        <v>54</v>
      </c>
      <c r="I35" s="10" t="s">
        <v>55</v>
      </c>
    </row>
    <row r="36">
      <c r="A36" s="11">
        <v>44105</v>
      </c>
      <c r="B36" s="14"/>
      <c r="C36" s="14"/>
      <c r="D36" s="14"/>
      <c r="E36" s="14"/>
      <c r="F36" s="14"/>
      <c r="G36" s="14"/>
      <c r="H36" s="14"/>
      <c r="I36" s="14"/>
      <c r="N36" s="13"/>
      <c r="O36" s="13"/>
      <c r="R36" s="31" t="s">
        <v>40</v>
      </c>
    </row>
    <row r="37">
      <c r="A37" s="11">
        <v>44106</v>
      </c>
      <c r="B37" s="5"/>
      <c r="C37" s="5"/>
      <c r="D37" s="5"/>
      <c r="E37" s="5"/>
      <c r="F37" s="5"/>
      <c r="G37" s="5"/>
      <c r="H37" s="5"/>
      <c r="I37" s="5"/>
      <c r="R37" s="31"/>
      <c r="S37" s="31" t="s">
        <v>29</v>
      </c>
    </row>
    <row r="38">
      <c r="A38" s="11">
        <v>44107</v>
      </c>
      <c r="B38" s="14"/>
      <c r="C38" s="14"/>
      <c r="D38" s="14"/>
      <c r="E38" s="14"/>
      <c r="F38" s="14"/>
      <c r="G38" s="14"/>
      <c r="H38" s="14"/>
      <c r="I38" s="14"/>
      <c r="R38" s="31">
        <f>21000-344+2039+(23000-23000)-344-344+8164.1-4600-3300+(3000-3000)+80000+2000+(5500-5000)+(5650-5100)</f>
        <v>105321.10000000001</v>
      </c>
      <c r="S38" s="31" t="s">
        <v>31</v>
      </c>
    </row>
    <row r="39">
      <c r="A39" s="11">
        <v>44108</v>
      </c>
      <c r="B39" s="5"/>
      <c r="C39" s="5"/>
      <c r="D39" s="5"/>
      <c r="E39" s="5"/>
      <c r="F39" s="5"/>
      <c r="G39" s="5"/>
      <c r="H39" s="5"/>
      <c r="I39" s="5"/>
      <c r="R39" s="31"/>
      <c r="S39" s="31" t="s">
        <v>48</v>
      </c>
    </row>
    <row r="40">
      <c r="A40" s="11">
        <v>44109</v>
      </c>
      <c r="B40" s="14"/>
      <c r="C40" s="14"/>
      <c r="D40" s="14"/>
      <c r="E40" s="14"/>
      <c r="F40" s="14"/>
      <c r="G40" s="14"/>
      <c r="H40" s="14"/>
      <c r="I40" s="14"/>
      <c r="R40" s="31"/>
      <c r="S40" s="31" t="s">
        <v>39</v>
      </c>
    </row>
    <row r="41">
      <c r="A41" s="11">
        <v>44110</v>
      </c>
      <c r="B41" s="5"/>
      <c r="C41" s="5"/>
      <c r="D41" s="5"/>
      <c r="E41" s="5"/>
      <c r="F41" s="5"/>
      <c r="G41" s="5"/>
      <c r="H41" s="5"/>
      <c r="I41" s="5"/>
      <c r="R41" s="31"/>
      <c r="S41" s="31" t="s">
        <v>41</v>
      </c>
    </row>
    <row r="42">
      <c r="A42" s="11">
        <v>44111</v>
      </c>
      <c r="B42" s="14"/>
      <c r="C42" s="14"/>
      <c r="D42" s="14"/>
      <c r="E42" s="14"/>
      <c r="F42" s="14"/>
      <c r="G42" s="14"/>
      <c r="H42" s="14">
        <v>400</v>
      </c>
      <c r="I42" s="14"/>
      <c r="R42" s="31">
        <v>0</v>
      </c>
      <c r="S42" t="s">
        <v>42</v>
      </c>
    </row>
    <row r="43">
      <c r="A43" s="11">
        <v>44112</v>
      </c>
      <c r="B43" s="5"/>
      <c r="C43" s="5"/>
      <c r="D43" s="5"/>
      <c r="E43" s="5"/>
      <c r="F43" s="5"/>
      <c r="G43" s="5"/>
      <c r="H43" s="5"/>
      <c r="I43" s="5"/>
      <c r="R43" s="31"/>
      <c r="S43" t="s">
        <v>23</v>
      </c>
    </row>
    <row r="44">
      <c r="A44" s="11">
        <v>44113</v>
      </c>
      <c r="B44" s="38">
        <v>13736.76</v>
      </c>
      <c r="C44" s="14"/>
      <c r="D44" s="14"/>
      <c r="E44" s="14"/>
      <c r="F44" s="14"/>
      <c r="G44" s="14"/>
      <c r="H44" s="14"/>
      <c r="I44" s="14"/>
      <c r="R44" s="31"/>
      <c r="S44" t="s">
        <v>46</v>
      </c>
    </row>
    <row r="45">
      <c r="A45" s="11">
        <v>44114</v>
      </c>
      <c r="B45" s="5"/>
      <c r="C45" s="5"/>
      <c r="D45" s="5"/>
      <c r="E45" s="5"/>
      <c r="F45" s="5"/>
      <c r="G45" s="5"/>
      <c r="H45" s="5">
        <v>500</v>
      </c>
      <c r="I45" s="5"/>
    </row>
    <row r="46">
      <c r="A46" s="11">
        <v>44115</v>
      </c>
      <c r="B46" s="14"/>
      <c r="C46" s="14"/>
      <c r="D46" s="14"/>
      <c r="E46" s="14"/>
      <c r="F46" s="14"/>
      <c r="G46" s="14"/>
      <c r="H46" s="14"/>
      <c r="I46" s="14"/>
    </row>
    <row r="47">
      <c r="A47" s="11">
        <v>44116</v>
      </c>
      <c r="B47" s="5"/>
      <c r="C47" s="5"/>
      <c r="D47" s="5"/>
      <c r="E47" s="5"/>
      <c r="F47" s="5"/>
      <c r="G47" s="5"/>
      <c r="H47" s="5"/>
      <c r="I47" s="5"/>
    </row>
    <row r="48">
      <c r="A48" s="11">
        <v>44117</v>
      </c>
      <c r="B48" s="14"/>
      <c r="C48" s="14"/>
      <c r="D48" s="14"/>
      <c r="E48" s="14"/>
      <c r="F48" s="14"/>
      <c r="G48" s="14"/>
      <c r="H48" s="14"/>
      <c r="I48" s="14"/>
    </row>
    <row r="49">
      <c r="A49" s="11">
        <v>44118</v>
      </c>
      <c r="B49" s="5"/>
      <c r="C49" s="5"/>
      <c r="D49" s="5"/>
      <c r="E49" s="5"/>
      <c r="F49" s="5"/>
      <c r="G49" s="5"/>
      <c r="H49" s="5"/>
      <c r="I49" s="5"/>
    </row>
    <row r="50">
      <c r="A50" s="11">
        <v>44119</v>
      </c>
      <c r="B50" s="14"/>
      <c r="C50" s="14"/>
      <c r="D50" s="14"/>
      <c r="E50" s="14"/>
      <c r="F50" s="14"/>
      <c r="G50" s="14"/>
      <c r="H50" s="14"/>
      <c r="I50" s="14"/>
    </row>
    <row r="51">
      <c r="A51" s="11">
        <v>44120</v>
      </c>
      <c r="B51" s="5"/>
      <c r="C51" s="5"/>
      <c r="D51" s="5"/>
      <c r="E51" s="5"/>
      <c r="F51" s="5"/>
      <c r="G51" s="5"/>
      <c r="H51" s="5"/>
      <c r="I51" s="5"/>
    </row>
    <row r="52">
      <c r="A52" s="11">
        <v>44121</v>
      </c>
      <c r="B52" s="14"/>
      <c r="C52" s="14"/>
      <c r="D52" s="14"/>
      <c r="E52" s="14"/>
      <c r="F52" s="14"/>
      <c r="G52" s="14"/>
      <c r="H52" s="14"/>
      <c r="I52" s="14"/>
    </row>
    <row r="53">
      <c r="A53" s="11">
        <v>44122</v>
      </c>
      <c r="B53" s="5"/>
      <c r="C53" s="5"/>
      <c r="D53" s="5"/>
      <c r="E53" s="5"/>
      <c r="F53" s="5"/>
      <c r="G53" s="5"/>
      <c r="H53" s="5">
        <v>200</v>
      </c>
      <c r="I53" s="5"/>
    </row>
    <row r="54">
      <c r="A54" s="11">
        <v>44123</v>
      </c>
      <c r="B54" s="14"/>
      <c r="C54" s="14"/>
      <c r="D54" s="14"/>
      <c r="E54" s="14"/>
      <c r="F54" s="14"/>
      <c r="G54" s="14"/>
      <c r="H54" s="14"/>
      <c r="I54" s="14"/>
    </row>
    <row r="55">
      <c r="A55" s="11">
        <v>44124</v>
      </c>
      <c r="B55" s="5"/>
      <c r="C55" s="5"/>
      <c r="D55" s="5"/>
      <c r="E55" s="5"/>
      <c r="F55" s="5"/>
      <c r="G55" s="5"/>
      <c r="H55" s="5"/>
      <c r="I55" s="5"/>
    </row>
    <row r="56">
      <c r="A56" s="11">
        <v>44125</v>
      </c>
      <c r="B56" s="14"/>
      <c r="C56" s="14"/>
      <c r="D56" s="14"/>
      <c r="E56" s="14"/>
      <c r="F56" s="14"/>
      <c r="G56" s="14"/>
      <c r="H56" s="14"/>
      <c r="I56" s="14"/>
    </row>
    <row r="57">
      <c r="A57" s="11">
        <v>44126</v>
      </c>
      <c r="B57" s="5"/>
      <c r="C57" s="5"/>
      <c r="D57" s="5"/>
      <c r="E57" s="5"/>
      <c r="F57" s="5"/>
      <c r="G57" s="5"/>
      <c r="H57" s="5"/>
      <c r="I57" s="5"/>
    </row>
    <row r="58">
      <c r="A58" s="11">
        <v>44127</v>
      </c>
      <c r="B58" s="14">
        <v>6400</v>
      </c>
      <c r="C58" s="14"/>
      <c r="D58" s="14"/>
      <c r="E58" s="14"/>
      <c r="F58" s="14"/>
      <c r="G58" s="14"/>
      <c r="H58" s="14"/>
      <c r="I58" s="14"/>
    </row>
    <row r="59">
      <c r="A59" s="11">
        <v>44128</v>
      </c>
      <c r="B59" s="5"/>
      <c r="C59" s="5"/>
      <c r="D59" s="5"/>
      <c r="E59" s="5"/>
      <c r="F59" s="5"/>
      <c r="G59" s="5"/>
      <c r="H59" s="5"/>
      <c r="I59" s="5"/>
    </row>
    <row r="60">
      <c r="A60" s="11">
        <v>44129</v>
      </c>
      <c r="B60" s="14"/>
      <c r="C60" s="14"/>
      <c r="D60" s="14"/>
      <c r="E60" s="14"/>
      <c r="F60" s="14"/>
      <c r="G60" s="14"/>
      <c r="H60" s="14"/>
      <c r="I60" s="14"/>
    </row>
    <row r="61">
      <c r="A61" s="11">
        <v>44130</v>
      </c>
      <c r="B61" s="5"/>
      <c r="C61" s="5"/>
      <c r="D61" s="5"/>
      <c r="E61" s="5"/>
      <c r="F61" s="5"/>
      <c r="G61" s="5"/>
      <c r="H61" s="5"/>
      <c r="I61" s="5"/>
    </row>
    <row r="62">
      <c r="A62" s="11">
        <v>44131</v>
      </c>
      <c r="B62" s="14"/>
      <c r="C62" s="14"/>
      <c r="D62" s="14"/>
      <c r="E62" s="14"/>
      <c r="F62" s="14"/>
      <c r="G62" s="14"/>
      <c r="H62" s="14"/>
      <c r="I62" s="14"/>
    </row>
    <row r="63">
      <c r="A63" s="11">
        <v>44132</v>
      </c>
      <c r="B63" s="5"/>
      <c r="C63" s="5"/>
      <c r="D63" s="5"/>
      <c r="E63" s="5"/>
      <c r="F63" s="5"/>
      <c r="G63" s="5"/>
      <c r="H63" s="5"/>
      <c r="I63" s="5"/>
    </row>
    <row r="64">
      <c r="A64" s="11">
        <v>44133</v>
      </c>
      <c r="B64" s="14"/>
      <c r="C64" s="14"/>
      <c r="D64" s="14"/>
      <c r="E64" s="14"/>
      <c r="F64" s="14"/>
      <c r="G64" s="14"/>
      <c r="H64" s="14"/>
      <c r="I64" s="14"/>
    </row>
    <row r="65">
      <c r="A65" s="11">
        <v>44134</v>
      </c>
      <c r="B65" s="3"/>
      <c r="C65" s="3"/>
      <c r="D65" s="3"/>
      <c r="E65" s="3"/>
      <c r="F65" s="3"/>
      <c r="G65" s="3"/>
      <c r="H65" s="3"/>
      <c r="I65" s="3"/>
    </row>
    <row r="66">
      <c r="A66" s="11">
        <v>44135</v>
      </c>
      <c r="B66" s="22"/>
      <c r="C66" s="22"/>
      <c r="D66" s="22"/>
      <c r="E66" s="22">
        <v>884.63</v>
      </c>
      <c r="F66" s="22"/>
      <c r="G66" s="22"/>
      <c r="H66" s="22"/>
      <c r="I66" s="22"/>
      <c r="R66" s="33">
        <f>SUM(R37:R65)</f>
        <v>105321.10000000001</v>
      </c>
    </row>
    <row r="67">
      <c r="A67" s="7"/>
      <c r="B67" s="7">
        <f t="shared" ref="B67:H67" si="35">SUM(B36:B65)</f>
        <v>20136.760000000002</v>
      </c>
      <c r="C67" s="7">
        <f t="shared" si="35"/>
        <v>0</v>
      </c>
      <c r="D67" s="7">
        <f t="shared" si="35"/>
        <v>0</v>
      </c>
      <c r="E67" s="7">
        <f>SUM(E36:E66)</f>
        <v>884.63</v>
      </c>
      <c r="F67" s="7">
        <f t="shared" si="35"/>
        <v>0</v>
      </c>
      <c r="G67" s="7">
        <f t="shared" si="35"/>
        <v>0</v>
      </c>
      <c r="H67" s="7">
        <f t="shared" si="35"/>
        <v>1100</v>
      </c>
      <c r="I67" s="7">
        <f>SUM(B67:H67)</f>
        <v>22121.390000000003</v>
      </c>
      <c r="R67" s="33">
        <f>SUM(R37:R65)</f>
        <v>105321.10000000001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38" activeCellId="0" sqref="I38"/>
    </sheetView>
  </sheetViews>
  <sheetFormatPr defaultRowHeight="14.25"/>
  <cols>
    <col bestFit="1" customWidth="1" min="1" max="1" width="12.7109375"/>
    <col bestFit="1" customWidth="1" min="17" max="17" width="20.7109375"/>
  </cols>
  <sheetData>
    <row r="1">
      <c r="A1" s="10" t="s">
        <v>0</v>
      </c>
      <c r="B1" s="10" t="s">
        <v>1</v>
      </c>
      <c r="C1" s="10" t="s">
        <v>2</v>
      </c>
      <c r="D1" s="10" t="s">
        <v>3</v>
      </c>
      <c r="E1" s="10" t="s">
        <v>4</v>
      </c>
      <c r="F1" s="10" t="s">
        <v>56</v>
      </c>
      <c r="G1" s="10" t="s">
        <v>6</v>
      </c>
      <c r="H1" s="10" t="s">
        <v>7</v>
      </c>
      <c r="I1" s="10" t="s">
        <v>8</v>
      </c>
      <c r="J1" s="10" t="s">
        <v>9</v>
      </c>
      <c r="K1" s="10" t="s">
        <v>10</v>
      </c>
      <c r="L1" s="10" t="s">
        <v>11</v>
      </c>
      <c r="M1" s="10" t="s">
        <v>12</v>
      </c>
      <c r="N1" s="10" t="s">
        <v>13</v>
      </c>
      <c r="O1" s="10" t="s">
        <v>19</v>
      </c>
      <c r="P1" s="10" t="s">
        <v>20</v>
      </c>
      <c r="Q1" s="10" t="s">
        <v>49</v>
      </c>
      <c r="R1" s="1"/>
      <c r="S1" s="1"/>
    </row>
    <row r="2">
      <c r="A2" s="11">
        <v>44105</v>
      </c>
      <c r="B2" s="14">
        <v>40</v>
      </c>
      <c r="C2" s="14"/>
      <c r="D2" s="14"/>
      <c r="E2" s="14"/>
      <c r="F2" s="14">
        <v>450</v>
      </c>
      <c r="G2" s="14"/>
      <c r="H2" s="14"/>
      <c r="I2" s="14"/>
      <c r="J2" s="14"/>
      <c r="K2" s="14"/>
      <c r="L2" s="14"/>
      <c r="M2" s="14"/>
      <c r="N2" s="14"/>
      <c r="O2" s="14"/>
      <c r="P2" s="14"/>
      <c r="Q2" s="14"/>
      <c r="R2" s="14"/>
      <c r="S2" s="14"/>
    </row>
    <row r="3">
      <c r="A3" s="11">
        <v>44106</v>
      </c>
      <c r="B3" s="5">
        <f>93+80</f>
        <v>173</v>
      </c>
      <c r="C3" s="5"/>
      <c r="D3" s="5"/>
      <c r="E3" s="5"/>
      <c r="F3" s="5"/>
      <c r="G3" s="5"/>
      <c r="H3" s="5"/>
      <c r="I3" s="5"/>
      <c r="J3" s="5"/>
      <c r="K3" s="5"/>
      <c r="L3" s="5"/>
      <c r="M3" s="5"/>
      <c r="N3" s="5"/>
      <c r="O3" s="5"/>
      <c r="P3" s="5"/>
      <c r="Q3" s="5"/>
      <c r="R3" s="5"/>
      <c r="S3" s="5"/>
    </row>
    <row r="4">
      <c r="A4" s="11">
        <v>44107</v>
      </c>
      <c r="B4" s="14">
        <v>200</v>
      </c>
      <c r="C4" s="14"/>
      <c r="D4" s="14">
        <v>110</v>
      </c>
      <c r="E4" s="14"/>
      <c r="F4" s="14"/>
      <c r="G4" s="14"/>
      <c r="H4" s="14"/>
      <c r="I4" s="14"/>
      <c r="J4" s="14"/>
      <c r="K4" s="14"/>
      <c r="L4" s="14"/>
      <c r="M4" s="14"/>
      <c r="N4" s="14"/>
      <c r="O4" s="14"/>
      <c r="P4" s="14"/>
      <c r="Q4" s="14"/>
      <c r="R4" s="14"/>
      <c r="S4" s="14"/>
    </row>
    <row r="5">
      <c r="A5" s="11">
        <v>44108</v>
      </c>
      <c r="B5" s="5"/>
      <c r="C5" s="5"/>
      <c r="D5" s="5"/>
      <c r="E5" s="5"/>
      <c r="F5" s="5"/>
      <c r="G5" s="5"/>
      <c r="H5" s="5"/>
      <c r="I5" s="5"/>
      <c r="J5" s="5"/>
      <c r="K5" s="5"/>
      <c r="L5" s="5">
        <v>1400</v>
      </c>
      <c r="M5" s="5"/>
      <c r="N5" s="5"/>
      <c r="O5" s="5"/>
      <c r="P5" s="5"/>
      <c r="Q5" s="5"/>
      <c r="R5" s="5"/>
      <c r="S5" s="5"/>
    </row>
    <row r="6">
      <c r="A6" s="11">
        <v>44109</v>
      </c>
      <c r="B6" s="14"/>
      <c r="C6" s="14">
        <f>591+79.99</f>
        <v>670.99000000000001</v>
      </c>
      <c r="D6" s="14">
        <v>205</v>
      </c>
      <c r="E6" s="14"/>
      <c r="F6" s="14"/>
      <c r="G6" s="14"/>
      <c r="H6" s="14"/>
      <c r="I6" s="14"/>
      <c r="J6" s="14"/>
      <c r="K6" s="14"/>
      <c r="L6" s="14"/>
      <c r="M6" s="14"/>
      <c r="N6" s="14"/>
      <c r="O6" s="14"/>
      <c r="P6" s="14"/>
      <c r="Q6" s="14"/>
      <c r="R6" s="14"/>
      <c r="S6" s="14"/>
    </row>
    <row r="7">
      <c r="A7" s="11">
        <v>44110</v>
      </c>
      <c r="B7" s="5">
        <v>40</v>
      </c>
      <c r="C7" s="5"/>
      <c r="D7" s="5">
        <v>130</v>
      </c>
      <c r="E7" s="5"/>
      <c r="F7" s="5"/>
      <c r="G7" s="5"/>
      <c r="H7" s="5"/>
      <c r="I7" s="5"/>
      <c r="J7" s="5">
        <v>226</v>
      </c>
      <c r="K7" s="5"/>
      <c r="L7" s="5"/>
      <c r="M7" s="5">
        <v>340</v>
      </c>
      <c r="N7" s="5"/>
      <c r="O7" s="5"/>
      <c r="P7" s="5"/>
      <c r="Q7" s="5"/>
      <c r="R7" s="5"/>
      <c r="S7" s="5"/>
    </row>
    <row r="8">
      <c r="A8" s="11">
        <v>44111</v>
      </c>
      <c r="B8" s="14">
        <v>80</v>
      </c>
      <c r="C8" s="14">
        <f>66.97+95.37</f>
        <v>162.34</v>
      </c>
      <c r="D8" s="14">
        <v>408</v>
      </c>
      <c r="E8" s="14"/>
      <c r="F8" s="14"/>
      <c r="G8" s="14"/>
      <c r="H8" s="14">
        <v>299</v>
      </c>
      <c r="I8" s="14"/>
      <c r="J8" s="14"/>
      <c r="K8" s="14"/>
      <c r="L8" s="14"/>
      <c r="M8" s="14"/>
      <c r="N8" s="14"/>
      <c r="O8" s="14"/>
      <c r="P8" s="14"/>
      <c r="Q8" s="14"/>
      <c r="R8" s="14"/>
      <c r="S8" s="14"/>
    </row>
    <row r="9">
      <c r="A9" s="11">
        <v>44112</v>
      </c>
      <c r="B9" s="5"/>
      <c r="C9" s="5">
        <v>310.42000000000002</v>
      </c>
      <c r="D9" s="5"/>
      <c r="E9" s="5"/>
      <c r="F9" s="5"/>
      <c r="G9" s="5"/>
      <c r="H9" s="5"/>
      <c r="I9" s="5"/>
      <c r="J9" s="5"/>
      <c r="K9" s="5"/>
      <c r="L9" s="5"/>
      <c r="M9" s="5"/>
      <c r="N9" s="5"/>
      <c r="O9" s="5"/>
      <c r="P9" s="5"/>
      <c r="Q9" s="5"/>
      <c r="R9" s="5"/>
      <c r="S9" s="5"/>
    </row>
    <row r="10">
      <c r="A10" s="11">
        <v>44113</v>
      </c>
      <c r="B10" s="14">
        <v>20</v>
      </c>
      <c r="C10" s="14">
        <v>282</v>
      </c>
      <c r="D10" s="14"/>
      <c r="E10" s="14"/>
      <c r="F10" s="14"/>
      <c r="G10" s="14"/>
      <c r="H10" s="14"/>
      <c r="I10" s="14"/>
      <c r="J10" s="14"/>
      <c r="K10" s="14"/>
      <c r="L10" s="14"/>
      <c r="M10" s="14"/>
      <c r="N10" s="14"/>
      <c r="O10" s="14"/>
      <c r="P10" s="14"/>
      <c r="Q10" s="14"/>
      <c r="R10" s="14"/>
      <c r="S10" s="14"/>
    </row>
    <row r="11">
      <c r="A11" s="11">
        <v>44114</v>
      </c>
      <c r="B11" s="5">
        <v>40</v>
      </c>
      <c r="C11" s="5">
        <v>256.27999999999997</v>
      </c>
      <c r="D11" s="5"/>
      <c r="E11" s="5">
        <v>409</v>
      </c>
      <c r="F11" s="5"/>
      <c r="G11" s="5"/>
      <c r="H11" s="5"/>
      <c r="I11" s="5"/>
      <c r="J11" s="5"/>
      <c r="K11" s="5"/>
      <c r="L11" s="5"/>
      <c r="M11" s="5"/>
      <c r="N11" s="5"/>
      <c r="O11" s="5"/>
      <c r="P11" s="5">
        <v>199</v>
      </c>
      <c r="Q11" s="5"/>
      <c r="R11" s="5"/>
      <c r="S11" s="5"/>
    </row>
    <row r="12">
      <c r="A12" s="11">
        <v>44115</v>
      </c>
      <c r="B12" s="14">
        <v>65</v>
      </c>
      <c r="C12" s="14">
        <v>860.62</v>
      </c>
      <c r="D12" s="14"/>
      <c r="E12" s="14"/>
      <c r="F12" s="14"/>
      <c r="G12" s="14"/>
      <c r="H12" s="14"/>
      <c r="I12" s="14"/>
      <c r="J12" s="14"/>
      <c r="K12" s="14"/>
      <c r="L12" s="14"/>
      <c r="M12" s="14"/>
      <c r="N12" s="14"/>
      <c r="O12" s="14"/>
      <c r="P12" s="14"/>
      <c r="Q12" s="14"/>
      <c r="R12" s="14"/>
      <c r="S12" s="14"/>
    </row>
    <row r="13">
      <c r="A13" s="11">
        <v>44116</v>
      </c>
      <c r="B13" s="5"/>
      <c r="C13" s="5">
        <v>5</v>
      </c>
      <c r="D13" s="5"/>
      <c r="E13" s="5"/>
      <c r="F13" s="5"/>
      <c r="G13" s="5"/>
      <c r="H13" s="5"/>
      <c r="I13" s="5"/>
      <c r="J13" s="5"/>
      <c r="K13" s="5"/>
      <c r="L13" s="5"/>
      <c r="M13" s="5"/>
      <c r="N13" s="5"/>
      <c r="O13" s="5"/>
      <c r="P13" s="5"/>
      <c r="Q13" s="5"/>
      <c r="R13" s="5"/>
      <c r="S13" s="5"/>
    </row>
    <row r="14">
      <c r="A14" s="11">
        <v>44117</v>
      </c>
      <c r="B14" s="14">
        <v>40</v>
      </c>
      <c r="C14" s="14"/>
      <c r="D14" s="14">
        <v>190</v>
      </c>
      <c r="E14" s="14"/>
      <c r="F14" s="14"/>
      <c r="G14" s="14"/>
      <c r="H14" s="14"/>
      <c r="I14" s="14"/>
      <c r="J14" s="14"/>
      <c r="K14" s="14"/>
      <c r="L14" s="14"/>
      <c r="M14" s="14"/>
      <c r="N14" s="14"/>
      <c r="O14" s="14"/>
      <c r="P14" s="14"/>
      <c r="Q14" s="14"/>
      <c r="R14" s="14"/>
      <c r="S14" s="14"/>
    </row>
    <row r="15">
      <c r="A15" s="11">
        <v>44118</v>
      </c>
      <c r="B15" s="5">
        <v>40</v>
      </c>
      <c r="C15" s="5"/>
      <c r="D15" s="5">
        <v>364</v>
      </c>
      <c r="E15" s="5"/>
      <c r="F15" s="5"/>
      <c r="G15" s="5"/>
      <c r="H15" s="5">
        <v>8503</v>
      </c>
      <c r="J15" s="5"/>
      <c r="K15" s="5"/>
      <c r="L15" s="5"/>
      <c r="M15" s="5"/>
      <c r="N15" s="5"/>
      <c r="O15" s="5"/>
      <c r="P15" s="5"/>
      <c r="Q15" s="5"/>
      <c r="R15" s="5"/>
      <c r="S15" s="5"/>
    </row>
    <row r="16">
      <c r="A16" s="11">
        <v>44119</v>
      </c>
      <c r="B16" s="14">
        <v>20</v>
      </c>
      <c r="C16" s="14"/>
      <c r="D16" s="14"/>
      <c r="E16" s="14"/>
      <c r="F16" s="14"/>
      <c r="G16" s="14"/>
      <c r="H16" s="14"/>
      <c r="I16" s="14"/>
      <c r="J16" s="14"/>
      <c r="K16" s="14"/>
      <c r="L16" s="14"/>
      <c r="M16" s="14"/>
      <c r="N16" s="14"/>
      <c r="O16" s="14"/>
      <c r="P16" s="14"/>
      <c r="Q16" s="14"/>
      <c r="R16" s="14"/>
      <c r="S16" s="14"/>
    </row>
    <row r="17">
      <c r="A17" s="11">
        <v>44120</v>
      </c>
      <c r="B17" s="5">
        <v>20</v>
      </c>
      <c r="C17" s="5"/>
      <c r="D17" s="5"/>
      <c r="E17" s="5"/>
      <c r="F17" s="5"/>
      <c r="G17" s="5"/>
      <c r="H17" s="5"/>
      <c r="I17" s="5"/>
      <c r="J17" s="5"/>
      <c r="K17" s="5"/>
      <c r="L17" s="5"/>
      <c r="M17" s="5"/>
      <c r="N17" s="5"/>
      <c r="O17" s="5"/>
      <c r="P17" s="5"/>
      <c r="Q17" s="5"/>
      <c r="R17" s="5"/>
      <c r="S17" s="5"/>
    </row>
    <row r="18">
      <c r="A18" s="11">
        <v>44121</v>
      </c>
      <c r="B18" s="14"/>
      <c r="C18" s="14">
        <f>305.65+206</f>
        <v>511.64999999999998</v>
      </c>
      <c r="D18" s="14"/>
      <c r="E18" s="14"/>
      <c r="F18" s="14"/>
      <c r="G18" s="14"/>
      <c r="H18" s="14"/>
      <c r="I18" s="14"/>
      <c r="J18" s="14"/>
      <c r="K18" s="14"/>
      <c r="L18" s="14"/>
      <c r="M18" s="14"/>
      <c r="N18" s="14"/>
      <c r="O18" s="14"/>
      <c r="P18" s="14"/>
      <c r="Q18" s="14"/>
      <c r="R18" s="14"/>
      <c r="S18" s="14"/>
    </row>
    <row r="19">
      <c r="A19" s="11">
        <v>44122</v>
      </c>
      <c r="B19" s="5">
        <v>40</v>
      </c>
      <c r="C19" s="5"/>
      <c r="D19" s="5"/>
      <c r="E19" s="5"/>
      <c r="F19" s="5"/>
      <c r="G19" s="5"/>
      <c r="H19" s="5"/>
      <c r="I19" s="5"/>
      <c r="J19" s="5"/>
      <c r="K19" s="5"/>
      <c r="L19" s="5"/>
      <c r="M19" s="5"/>
      <c r="N19" s="5"/>
      <c r="O19" s="5"/>
      <c r="P19" s="5"/>
      <c r="Q19" s="5"/>
      <c r="R19" s="5"/>
      <c r="S19" s="5"/>
    </row>
    <row r="20">
      <c r="A20" s="11">
        <v>44123</v>
      </c>
      <c r="B20" s="14"/>
      <c r="C20" s="14"/>
      <c r="D20" s="14"/>
      <c r="E20" s="14"/>
      <c r="F20" s="14"/>
      <c r="G20" s="14"/>
      <c r="H20" s="14"/>
      <c r="I20" s="14"/>
      <c r="J20" s="14"/>
      <c r="K20" s="14"/>
      <c r="L20" s="14"/>
      <c r="M20" s="14"/>
      <c r="N20" s="14"/>
      <c r="O20" s="14"/>
      <c r="P20" s="34"/>
      <c r="Q20" s="14"/>
      <c r="R20" s="14"/>
      <c r="S20" s="14"/>
    </row>
    <row r="21">
      <c r="A21" s="11">
        <v>44124</v>
      </c>
      <c r="B21" s="35"/>
      <c r="C21" s="5">
        <v>1020.5599999999999</v>
      </c>
      <c r="D21" s="5"/>
      <c r="E21" s="5"/>
      <c r="F21" s="5"/>
      <c r="G21" s="5"/>
      <c r="H21" s="5"/>
      <c r="I21" s="5"/>
      <c r="J21" s="5"/>
      <c r="K21" s="5"/>
      <c r="L21" s="5"/>
      <c r="M21" s="5"/>
      <c r="N21" s="5"/>
      <c r="O21" s="5">
        <v>900</v>
      </c>
      <c r="P21" s="5"/>
      <c r="Q21" s="5"/>
      <c r="R21" s="5"/>
      <c r="S21" s="5"/>
    </row>
    <row r="22">
      <c r="A22" s="11">
        <v>44125</v>
      </c>
      <c r="B22" s="14">
        <f>165</f>
        <v>165</v>
      </c>
      <c r="C22" s="22"/>
      <c r="D22" s="22">
        <v>140</v>
      </c>
      <c r="E22" s="14"/>
      <c r="F22" s="14"/>
      <c r="G22" s="14"/>
      <c r="H22" s="14"/>
      <c r="I22" s="14"/>
      <c r="J22" s="14"/>
      <c r="K22" s="14"/>
      <c r="L22" s="14"/>
      <c r="M22" s="14"/>
      <c r="N22" s="14"/>
      <c r="O22" s="14"/>
      <c r="P22" s="14"/>
      <c r="Q22" s="14"/>
      <c r="R22" s="14"/>
      <c r="S22" s="14"/>
    </row>
    <row r="23">
      <c r="A23" s="11">
        <v>44126</v>
      </c>
      <c r="B23" s="5">
        <v>40</v>
      </c>
      <c r="E23" s="5"/>
      <c r="F23" s="5"/>
      <c r="G23" s="5"/>
      <c r="H23" s="5"/>
      <c r="I23" s="5"/>
      <c r="J23" s="5"/>
      <c r="K23" s="5"/>
      <c r="L23" s="5"/>
      <c r="M23" s="5"/>
      <c r="N23" s="5"/>
      <c r="O23" s="5"/>
      <c r="P23" s="5"/>
      <c r="Q23" s="5"/>
      <c r="R23" s="5"/>
      <c r="S23" s="5"/>
    </row>
    <row r="24">
      <c r="A24" s="11">
        <v>44127</v>
      </c>
      <c r="B24" s="14"/>
      <c r="C24" s="14"/>
      <c r="D24" s="14"/>
      <c r="E24" s="14"/>
      <c r="F24" s="14"/>
      <c r="G24" s="14"/>
      <c r="H24" s="14"/>
      <c r="I24" s="14">
        <v>552.79999999999995</v>
      </c>
      <c r="J24" s="14"/>
      <c r="K24" s="14"/>
      <c r="L24" s="14"/>
      <c r="M24" s="14"/>
      <c r="N24" s="14"/>
      <c r="O24" s="14"/>
      <c r="P24" s="14"/>
      <c r="Q24" s="14"/>
      <c r="R24" s="14"/>
      <c r="S24" s="14"/>
    </row>
    <row r="25">
      <c r="A25" s="11">
        <v>44128</v>
      </c>
      <c r="B25" s="37">
        <v>130</v>
      </c>
      <c r="C25" s="5">
        <v>31.870000000000001</v>
      </c>
      <c r="D25" s="5"/>
      <c r="E25" s="5"/>
      <c r="F25" s="5"/>
      <c r="G25" s="5"/>
      <c r="H25" s="5"/>
      <c r="I25" s="5"/>
      <c r="J25" s="5"/>
      <c r="K25" s="5"/>
      <c r="L25" s="5"/>
      <c r="M25" s="5"/>
      <c r="N25" s="5"/>
      <c r="O25" s="5"/>
      <c r="P25" s="5"/>
      <c r="Q25" s="5">
        <v>31.870000000000001</v>
      </c>
      <c r="R25" s="5"/>
      <c r="S25" s="5"/>
    </row>
    <row r="26">
      <c r="A26" s="11">
        <v>44129</v>
      </c>
      <c r="B26" s="14">
        <v>20</v>
      </c>
      <c r="C26" s="14"/>
      <c r="D26" s="14"/>
      <c r="E26" s="14"/>
      <c r="F26" s="14"/>
      <c r="G26" s="14"/>
      <c r="H26" s="14"/>
      <c r="I26" s="14"/>
      <c r="J26" s="14"/>
      <c r="K26" s="14"/>
      <c r="L26" s="14"/>
      <c r="M26" s="14"/>
      <c r="N26" s="14"/>
      <c r="O26" s="14"/>
      <c r="P26" s="14"/>
      <c r="Q26" s="14"/>
      <c r="R26" s="14"/>
      <c r="S26" s="14"/>
    </row>
    <row r="27">
      <c r="A27" s="11">
        <v>44130</v>
      </c>
      <c r="B27" s="5">
        <v>20</v>
      </c>
      <c r="C27" s="5"/>
      <c r="D27" s="5"/>
      <c r="E27" s="5"/>
      <c r="F27" s="5"/>
      <c r="G27" s="5"/>
      <c r="H27" s="5"/>
      <c r="I27" s="5"/>
      <c r="J27" s="5"/>
      <c r="K27" s="5"/>
      <c r="L27" s="5"/>
      <c r="M27" s="5"/>
      <c r="N27" s="5"/>
      <c r="O27" s="5"/>
      <c r="P27" s="5"/>
      <c r="Q27" s="5"/>
      <c r="R27" s="5"/>
      <c r="S27" s="5"/>
    </row>
    <row r="28">
      <c r="A28" s="11">
        <v>44131</v>
      </c>
      <c r="B28" s="14">
        <v>40</v>
      </c>
      <c r="C28" s="14">
        <v>509.12</v>
      </c>
      <c r="D28" s="14">
        <v>130</v>
      </c>
      <c r="E28" s="14"/>
      <c r="F28" s="14"/>
      <c r="G28" s="14"/>
      <c r="H28" s="14"/>
      <c r="I28" s="14"/>
      <c r="J28" s="14"/>
      <c r="K28" s="14"/>
      <c r="L28" s="14"/>
      <c r="M28" s="14"/>
      <c r="N28" s="14"/>
      <c r="O28" s="14"/>
      <c r="P28" s="14"/>
      <c r="Q28" s="14"/>
      <c r="R28" s="14"/>
      <c r="S28" s="14"/>
    </row>
    <row r="29">
      <c r="A29" s="11">
        <v>44132</v>
      </c>
      <c r="B29" s="5">
        <v>20</v>
      </c>
      <c r="C29" s="5">
        <v>77.469999999999999</v>
      </c>
      <c r="D29" s="5">
        <v>160</v>
      </c>
      <c r="E29" s="5"/>
      <c r="F29" s="5"/>
      <c r="G29" s="5"/>
      <c r="H29" s="5"/>
      <c r="I29" s="5"/>
      <c r="J29" s="5"/>
      <c r="K29" s="5"/>
      <c r="L29" s="5"/>
      <c r="M29" s="5"/>
      <c r="N29" s="5"/>
      <c r="O29" s="5"/>
      <c r="P29" s="5"/>
      <c r="Q29" s="5"/>
      <c r="R29" s="5"/>
      <c r="S29" s="5"/>
    </row>
    <row r="30">
      <c r="A30" s="11">
        <v>44133</v>
      </c>
      <c r="B30" s="14"/>
      <c r="C30" s="14">
        <v>606.88999999999999</v>
      </c>
      <c r="D30" s="14"/>
      <c r="E30" s="14"/>
      <c r="F30" s="14"/>
      <c r="G30" s="14"/>
      <c r="H30" s="14"/>
      <c r="I30" s="14"/>
      <c r="J30" s="14"/>
      <c r="K30" s="14"/>
      <c r="L30" s="14"/>
      <c r="M30" s="14"/>
      <c r="N30" s="14"/>
      <c r="O30" s="14"/>
      <c r="P30" s="14"/>
      <c r="Q30" s="14"/>
      <c r="R30" s="14"/>
      <c r="S30" s="14"/>
    </row>
    <row r="31">
      <c r="A31" s="11">
        <v>44134</v>
      </c>
      <c r="B31" s="3">
        <v>40</v>
      </c>
      <c r="C31" s="3"/>
      <c r="D31" s="3"/>
      <c r="E31" s="3"/>
      <c r="F31" s="3"/>
      <c r="G31" s="3"/>
      <c r="H31" s="3"/>
      <c r="I31" s="3"/>
      <c r="J31" s="3"/>
      <c r="K31" s="3">
        <v>12300</v>
      </c>
      <c r="L31" s="3"/>
      <c r="M31" s="3"/>
      <c r="N31" s="3"/>
      <c r="O31" s="3"/>
      <c r="P31" s="3"/>
      <c r="Q31" s="3"/>
      <c r="R31" s="3"/>
      <c r="S31" s="3"/>
    </row>
    <row r="32">
      <c r="A32" s="7"/>
      <c r="B32" s="7">
        <f t="shared" ref="B32:Q32" si="36">SUM(B2:B31)</f>
        <v>1293</v>
      </c>
      <c r="C32" s="7">
        <f t="shared" si="36"/>
        <v>5305.2100000000009</v>
      </c>
      <c r="D32" s="7">
        <f t="shared" si="36"/>
        <v>1837</v>
      </c>
      <c r="E32" s="7">
        <f t="shared" si="36"/>
        <v>409</v>
      </c>
      <c r="F32" s="7">
        <f t="shared" si="36"/>
        <v>450</v>
      </c>
      <c r="G32" s="7">
        <f t="shared" si="36"/>
        <v>0</v>
      </c>
      <c r="H32" s="7">
        <f t="shared" si="36"/>
        <v>8802</v>
      </c>
      <c r="I32" s="7">
        <f t="shared" si="36"/>
        <v>552.79999999999995</v>
      </c>
      <c r="J32" s="7">
        <f t="shared" si="36"/>
        <v>226</v>
      </c>
      <c r="K32" s="7">
        <f t="shared" si="36"/>
        <v>12300</v>
      </c>
      <c r="L32" s="7">
        <f t="shared" si="36"/>
        <v>1400</v>
      </c>
      <c r="M32" s="7">
        <f t="shared" si="36"/>
        <v>340</v>
      </c>
      <c r="N32" s="7">
        <f t="shared" si="36"/>
        <v>0</v>
      </c>
      <c r="O32" s="7">
        <f t="shared" si="36"/>
        <v>900</v>
      </c>
      <c r="P32" s="7">
        <f t="shared" si="36"/>
        <v>199</v>
      </c>
      <c r="Q32" s="7">
        <f t="shared" si="36"/>
        <v>31.870000000000001</v>
      </c>
      <c r="R32" s="7" t="s">
        <v>14</v>
      </c>
      <c r="S32" s="7">
        <f>SUM(B32:Q32)</f>
        <v>34045.879999999997</v>
      </c>
    </row>
    <row r="33">
      <c r="A33" s="8"/>
      <c r="B33" s="8"/>
      <c r="C33" s="8"/>
      <c r="D33" s="8"/>
      <c r="E33" s="8"/>
      <c r="F33" s="8"/>
      <c r="G33" s="8"/>
      <c r="H33" s="8"/>
      <c r="I33" s="8"/>
      <c r="J33" s="9"/>
      <c r="K33" s="9"/>
      <c r="L33" s="9"/>
      <c r="M33" s="9"/>
      <c r="N33" s="9"/>
      <c r="O33" s="9"/>
      <c r="P33" s="9"/>
      <c r="Q33" s="9"/>
      <c r="R33" s="9"/>
      <c r="S33" s="9"/>
    </row>
    <row r="34">
      <c r="A34" s="10" t="s">
        <v>0</v>
      </c>
      <c r="B34" s="10" t="s">
        <v>50</v>
      </c>
      <c r="C34" s="10" t="s">
        <v>13</v>
      </c>
      <c r="D34" s="10" t="s">
        <v>11</v>
      </c>
      <c r="E34" s="10" t="s">
        <v>51</v>
      </c>
      <c r="F34" s="10" t="s">
        <v>52</v>
      </c>
      <c r="G34" s="10" t="s">
        <v>53</v>
      </c>
      <c r="H34" s="10" t="s">
        <v>54</v>
      </c>
      <c r="I34" s="10" t="s">
        <v>55</v>
      </c>
    </row>
    <row r="35">
      <c r="A35" s="11">
        <v>44105</v>
      </c>
      <c r="B35" s="14"/>
      <c r="C35" s="14"/>
      <c r="D35" s="14"/>
      <c r="E35" s="14"/>
      <c r="F35" s="14"/>
      <c r="G35" s="14"/>
      <c r="H35" s="14"/>
      <c r="I35" s="14"/>
      <c r="N35" s="32"/>
      <c r="O35" s="32"/>
      <c r="R35" s="31" t="s">
        <v>40</v>
      </c>
    </row>
    <row r="36">
      <c r="A36" s="11">
        <v>44106</v>
      </c>
      <c r="B36" s="5"/>
      <c r="C36" s="5"/>
      <c r="D36" s="5"/>
      <c r="E36" s="5"/>
      <c r="F36" s="5"/>
      <c r="G36" s="5"/>
      <c r="H36" s="5"/>
      <c r="I36" s="5"/>
      <c r="R36" s="31">
        <v>409</v>
      </c>
      <c r="S36" s="31" t="s">
        <v>37</v>
      </c>
    </row>
    <row r="37">
      <c r="A37" s="11">
        <v>44107</v>
      </c>
      <c r="B37" s="14"/>
      <c r="C37" s="14"/>
      <c r="D37" s="14"/>
      <c r="E37" s="14"/>
      <c r="F37" s="14"/>
      <c r="G37" s="14"/>
      <c r="H37" s="14"/>
      <c r="I37" s="14"/>
      <c r="R37" s="31">
        <f>21000-344+2039+(23000-23000)-344-344+8164.1-4600-3300+(3000-3000)+80000+2000+(5500-5000)+(5650-5100)</f>
        <v>105321.10000000001</v>
      </c>
      <c r="S37" s="31" t="s">
        <v>31</v>
      </c>
    </row>
    <row r="38">
      <c r="A38" s="11">
        <v>44108</v>
      </c>
      <c r="B38" s="5"/>
      <c r="C38" s="5"/>
      <c r="D38" s="5"/>
      <c r="F38" s="5"/>
      <c r="G38" s="5"/>
      <c r="H38" s="5"/>
      <c r="I38" s="5">
        <f>84+1.88</f>
        <v>85.879999999999995</v>
      </c>
      <c r="R38" s="31"/>
      <c r="S38" s="31" t="s">
        <v>57</v>
      </c>
    </row>
    <row r="39">
      <c r="A39" s="11">
        <v>44109</v>
      </c>
      <c r="B39" s="14"/>
      <c r="C39" s="14"/>
      <c r="D39" s="14"/>
      <c r="E39" s="14"/>
      <c r="F39" s="14"/>
      <c r="G39" s="14"/>
      <c r="H39" s="14"/>
      <c r="I39" s="14"/>
      <c r="R39" s="31"/>
      <c r="S39" s="31" t="s">
        <v>39</v>
      </c>
    </row>
    <row r="40">
      <c r="A40" s="11">
        <v>44110</v>
      </c>
      <c r="B40" s="5"/>
      <c r="C40" s="5"/>
      <c r="D40" s="5"/>
      <c r="E40" s="5"/>
      <c r="F40" s="5"/>
      <c r="G40" s="5"/>
      <c r="H40" s="5"/>
      <c r="I40" s="5"/>
      <c r="R40" s="31"/>
      <c r="S40" s="31" t="s">
        <v>41</v>
      </c>
    </row>
    <row r="41">
      <c r="A41" s="11">
        <v>44111</v>
      </c>
      <c r="B41" s="14"/>
      <c r="C41" s="14"/>
      <c r="D41" s="14"/>
      <c r="E41" s="14"/>
      <c r="F41" s="14"/>
      <c r="G41" s="14"/>
      <c r="H41" s="14"/>
      <c r="I41" s="14"/>
      <c r="R41" s="31">
        <v>0</v>
      </c>
      <c r="S41" t="s">
        <v>42</v>
      </c>
    </row>
    <row r="42">
      <c r="A42" s="11">
        <v>44112</v>
      </c>
      <c r="B42" s="5"/>
      <c r="C42" s="5"/>
      <c r="D42" s="5"/>
      <c r="E42" s="5"/>
      <c r="F42" s="5"/>
      <c r="G42" s="5"/>
      <c r="H42" s="5"/>
      <c r="I42" s="5"/>
      <c r="R42" s="31"/>
      <c r="S42" t="s">
        <v>23</v>
      </c>
    </row>
    <row r="43">
      <c r="A43" s="11">
        <v>44113</v>
      </c>
      <c r="B43" s="15"/>
      <c r="C43" s="14"/>
      <c r="D43" s="14"/>
      <c r="E43" s="14"/>
      <c r="F43" s="14"/>
      <c r="G43" s="14"/>
      <c r="H43" s="14"/>
      <c r="I43" s="14"/>
      <c r="R43" s="31"/>
      <c r="S43" t="s">
        <v>46</v>
      </c>
    </row>
    <row r="44">
      <c r="A44" s="11">
        <v>44114</v>
      </c>
      <c r="B44" s="5">
        <v>20647.099999999999</v>
      </c>
      <c r="C44" s="5"/>
      <c r="D44" s="5"/>
      <c r="E44" s="5"/>
      <c r="F44" s="5"/>
      <c r="G44" s="5"/>
      <c r="H44" s="5"/>
      <c r="I44" s="5"/>
    </row>
    <row r="45">
      <c r="A45" s="11">
        <v>44115</v>
      </c>
      <c r="B45" s="14"/>
      <c r="C45" s="14"/>
      <c r="D45" s="14"/>
      <c r="E45" s="14"/>
      <c r="F45" s="14"/>
      <c r="G45" s="14"/>
      <c r="H45" s="14"/>
      <c r="I45" s="14"/>
    </row>
    <row r="46">
      <c r="A46" s="11">
        <v>44116</v>
      </c>
      <c r="B46" s="5"/>
      <c r="C46" s="5"/>
      <c r="D46" s="5"/>
      <c r="E46" s="5"/>
      <c r="F46" s="5"/>
      <c r="G46" s="5"/>
      <c r="H46" s="5"/>
      <c r="I46" s="5"/>
    </row>
    <row r="47">
      <c r="A47" s="11">
        <v>44117</v>
      </c>
      <c r="B47" s="14"/>
      <c r="C47" s="14"/>
      <c r="D47" s="14"/>
      <c r="E47" s="14"/>
      <c r="F47" s="14"/>
      <c r="G47" s="14"/>
      <c r="H47" s="14">
        <v>500</v>
      </c>
      <c r="I47" s="14"/>
    </row>
    <row r="48">
      <c r="A48" s="11">
        <v>44118</v>
      </c>
      <c r="B48" s="5"/>
      <c r="C48" s="5"/>
      <c r="D48" s="5"/>
      <c r="E48" s="5"/>
      <c r="F48" s="5"/>
      <c r="G48" s="5"/>
      <c r="H48" s="5"/>
      <c r="I48" s="5"/>
    </row>
    <row r="49">
      <c r="A49" s="11">
        <v>44119</v>
      </c>
      <c r="B49" s="14"/>
      <c r="C49" s="14"/>
      <c r="D49" s="14">
        <v>400</v>
      </c>
      <c r="E49" s="14"/>
      <c r="F49" s="14"/>
      <c r="G49" s="14"/>
      <c r="H49" s="14">
        <v>700</v>
      </c>
      <c r="I49" s="14"/>
    </row>
    <row r="50">
      <c r="A50" s="11">
        <v>44120</v>
      </c>
      <c r="B50" s="5"/>
      <c r="C50" s="5"/>
      <c r="D50" s="5"/>
      <c r="E50" s="5"/>
      <c r="F50" s="5"/>
      <c r="G50" s="5"/>
      <c r="H50" s="5"/>
      <c r="I50" s="5"/>
    </row>
    <row r="51">
      <c r="A51" s="11">
        <v>44121</v>
      </c>
      <c r="B51" s="14"/>
      <c r="C51" s="14"/>
      <c r="D51" s="14"/>
      <c r="E51" s="14"/>
      <c r="F51" s="14"/>
      <c r="G51" s="14"/>
      <c r="H51" s="14">
        <v>250</v>
      </c>
      <c r="I51" s="14"/>
    </row>
    <row r="52">
      <c r="A52" s="11">
        <v>44122</v>
      </c>
      <c r="B52" s="5"/>
      <c r="C52" s="5"/>
      <c r="D52" s="5"/>
      <c r="E52" s="5"/>
      <c r="F52" s="5"/>
      <c r="G52" s="5"/>
      <c r="H52" s="5"/>
      <c r="I52" s="5"/>
    </row>
    <row r="53">
      <c r="A53" s="11">
        <v>44123</v>
      </c>
      <c r="B53" s="14"/>
      <c r="C53" s="14"/>
      <c r="D53" s="14"/>
      <c r="E53" s="14"/>
      <c r="F53" s="14"/>
      <c r="G53" s="14"/>
      <c r="H53" s="14"/>
      <c r="I53" s="14"/>
    </row>
    <row r="54">
      <c r="A54" s="11">
        <v>44124</v>
      </c>
      <c r="B54" s="5"/>
      <c r="C54" s="5"/>
      <c r="D54" s="5"/>
      <c r="E54" s="5"/>
      <c r="F54" s="5"/>
      <c r="G54" s="5"/>
      <c r="H54" s="5"/>
      <c r="I54" s="5"/>
    </row>
    <row r="55">
      <c r="A55" s="11">
        <v>44125</v>
      </c>
      <c r="B55" s="14"/>
      <c r="C55" s="14"/>
      <c r="D55" s="14"/>
      <c r="E55" s="14"/>
      <c r="F55" s="14"/>
      <c r="G55" s="14"/>
      <c r="H55" s="14"/>
      <c r="I55" s="14"/>
    </row>
    <row r="56">
      <c r="A56" s="11">
        <v>44126</v>
      </c>
      <c r="B56" s="5"/>
      <c r="C56" s="5"/>
      <c r="D56" s="5"/>
      <c r="E56" s="5"/>
      <c r="F56" s="5"/>
      <c r="G56" s="5"/>
      <c r="H56" s="5"/>
      <c r="I56" s="5"/>
    </row>
    <row r="57">
      <c r="A57" s="11">
        <v>44127</v>
      </c>
      <c r="B57" s="14"/>
      <c r="C57" s="14"/>
      <c r="D57" s="14"/>
      <c r="E57" s="14"/>
      <c r="F57" s="14"/>
      <c r="G57" s="14"/>
      <c r="H57" s="14">
        <v>300</v>
      </c>
      <c r="I57" s="14"/>
    </row>
    <row r="58">
      <c r="A58" s="11">
        <v>44128</v>
      </c>
      <c r="B58" s="5"/>
      <c r="C58" s="5"/>
      <c r="D58" s="5"/>
      <c r="E58" s="5"/>
      <c r="F58" s="5"/>
      <c r="G58" s="5"/>
      <c r="H58" s="5"/>
      <c r="I58" s="5"/>
    </row>
    <row r="59">
      <c r="A59" s="11">
        <v>44129</v>
      </c>
      <c r="B59" s="14">
        <v>7000</v>
      </c>
      <c r="C59" s="14"/>
      <c r="D59" s="14"/>
      <c r="E59" s="14"/>
      <c r="F59" s="14"/>
      <c r="G59" s="14"/>
      <c r="H59" s="14">
        <v>300</v>
      </c>
      <c r="I59" s="14"/>
    </row>
    <row r="60">
      <c r="A60" s="11">
        <v>44130</v>
      </c>
      <c r="B60" s="5"/>
      <c r="C60" s="5"/>
      <c r="D60" s="5"/>
      <c r="E60" s="5"/>
      <c r="F60" s="5"/>
      <c r="G60" s="5"/>
      <c r="H60" s="5">
        <v>1000</v>
      </c>
      <c r="I60" s="5"/>
    </row>
    <row r="61">
      <c r="A61" s="11">
        <v>44131</v>
      </c>
      <c r="B61" s="14"/>
      <c r="C61" s="14"/>
      <c r="D61" s="14"/>
      <c r="E61" s="14"/>
      <c r="F61" s="14"/>
      <c r="G61" s="14"/>
      <c r="H61" s="14"/>
      <c r="I61" s="14"/>
    </row>
    <row r="62">
      <c r="A62" s="11">
        <v>44132</v>
      </c>
      <c r="B62" s="5"/>
      <c r="C62" s="5"/>
      <c r="D62" s="5"/>
      <c r="E62" s="5"/>
      <c r="F62" s="5"/>
      <c r="G62" s="5"/>
      <c r="H62" s="5"/>
      <c r="I62" s="5"/>
    </row>
    <row r="63">
      <c r="A63" s="11">
        <v>44133</v>
      </c>
      <c r="B63" s="14"/>
      <c r="C63" s="14"/>
      <c r="D63" s="14"/>
      <c r="E63" s="14"/>
      <c r="F63" s="14"/>
      <c r="G63" s="14"/>
      <c r="H63" s="14"/>
      <c r="I63" s="14"/>
    </row>
    <row r="64">
      <c r="A64" s="11">
        <v>44134</v>
      </c>
      <c r="B64" s="3"/>
      <c r="C64" s="3"/>
      <c r="D64" s="3"/>
      <c r="E64" s="3">
        <v>67.689999999999998</v>
      </c>
      <c r="F64" s="3"/>
      <c r="G64" s="3"/>
      <c r="H64" s="3"/>
      <c r="I64" s="3"/>
    </row>
    <row r="65">
      <c r="A65" s="7"/>
      <c r="B65" s="7">
        <f t="shared" ref="B65:H65" si="37">SUM(B35:B64)</f>
        <v>27647.099999999999</v>
      </c>
      <c r="C65" s="7">
        <f t="shared" si="37"/>
        <v>0</v>
      </c>
      <c r="D65" s="7">
        <f t="shared" si="37"/>
        <v>400</v>
      </c>
      <c r="E65" s="7">
        <f t="shared" si="37"/>
        <v>67.689999999999998</v>
      </c>
      <c r="F65" s="7">
        <f t="shared" si="37"/>
        <v>0</v>
      </c>
      <c r="G65" s="7">
        <f t="shared" si="37"/>
        <v>0</v>
      </c>
      <c r="H65" s="7">
        <f t="shared" si="37"/>
        <v>3050</v>
      </c>
      <c r="I65" s="7">
        <f>SUM(B65:H65)+I38</f>
        <v>31250.669999999998</v>
      </c>
      <c r="R65" s="33">
        <f>SUM(R36:R64)</f>
        <v>105730.10000000001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2" activeCellId="0" sqref="B32"/>
    </sheetView>
  </sheetViews>
  <sheetFormatPr defaultRowHeight="14.25"/>
  <cols>
    <col bestFit="1" customWidth="1" min="1" max="1" width="10.140625"/>
    <col bestFit="1" customWidth="1" min="2" max="2" width="11"/>
    <col bestFit="1" customWidth="1" min="9" max="9" width="19.28515625"/>
    <col bestFit="1" customWidth="1" min="10" max="10" width="11.42578125"/>
    <col bestFit="1" customWidth="1" min="15" max="15" width="16.42578125"/>
    <col bestFit="1" customWidth="1" min="16" max="16" width="13.57031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19</v>
      </c>
      <c r="P1" s="1" t="s">
        <v>20</v>
      </c>
      <c r="Q1" s="1"/>
      <c r="R1" s="1"/>
      <c r="S1" s="1"/>
    </row>
    <row r="2">
      <c r="A2" s="2">
        <v>43617</v>
      </c>
      <c r="B2" s="3">
        <v>2170</v>
      </c>
      <c r="C2" s="3"/>
      <c r="D2" s="3"/>
      <c r="E2" s="3"/>
      <c r="F2" s="3"/>
      <c r="G2" s="3"/>
      <c r="H2" s="3"/>
      <c r="I2" s="3"/>
      <c r="J2" s="3"/>
      <c r="K2" s="3"/>
      <c r="L2" s="3"/>
      <c r="M2" s="3"/>
      <c r="N2" s="3"/>
      <c r="O2" s="3"/>
      <c r="P2" s="3"/>
      <c r="Q2" s="3"/>
      <c r="R2" s="3"/>
      <c r="S2" s="3"/>
    </row>
    <row r="3">
      <c r="A3" s="4">
        <v>43618</v>
      </c>
      <c r="B3" s="5"/>
      <c r="C3" s="5">
        <v>463.81999999999999</v>
      </c>
      <c r="D3" s="5"/>
      <c r="E3" s="5"/>
      <c r="F3" s="5"/>
      <c r="G3" s="5"/>
      <c r="H3" s="5"/>
      <c r="I3" s="5"/>
      <c r="J3" s="5"/>
      <c r="K3" s="5"/>
      <c r="L3" s="5"/>
      <c r="M3" s="5"/>
      <c r="N3" s="5"/>
      <c r="O3" s="5"/>
      <c r="P3" s="5"/>
      <c r="Q3" s="5"/>
      <c r="R3" s="5"/>
      <c r="S3" s="5"/>
    </row>
    <row r="4">
      <c r="A4" s="2">
        <v>43619</v>
      </c>
      <c r="B4" s="3"/>
      <c r="C4" s="3"/>
      <c r="D4" s="3"/>
      <c r="E4" s="3"/>
      <c r="F4" s="3"/>
      <c r="G4" s="3"/>
      <c r="H4" s="3"/>
      <c r="I4" s="3"/>
      <c r="J4" s="3"/>
      <c r="K4" s="3"/>
      <c r="L4" s="3"/>
      <c r="M4" s="3"/>
      <c r="N4" s="3"/>
      <c r="O4" s="3"/>
      <c r="P4" s="3"/>
      <c r="Q4" s="3"/>
      <c r="R4" s="3"/>
      <c r="S4" s="3"/>
    </row>
    <row r="5">
      <c r="A5" s="4">
        <v>43620</v>
      </c>
      <c r="B5" s="5">
        <v>188</v>
      </c>
      <c r="C5" s="5">
        <v>85.900000000000006</v>
      </c>
      <c r="D5" s="5">
        <v>179</v>
      </c>
      <c r="E5" s="5">
        <v>2500</v>
      </c>
      <c r="F5" s="5"/>
      <c r="G5" s="5"/>
      <c r="H5" s="5"/>
      <c r="I5" s="5"/>
      <c r="J5" s="5"/>
      <c r="K5" s="5"/>
      <c r="L5" s="5"/>
      <c r="M5" s="5"/>
      <c r="N5" s="5"/>
      <c r="O5" s="5"/>
      <c r="P5" s="5"/>
      <c r="Q5" s="5"/>
      <c r="R5" s="5"/>
      <c r="S5" s="5"/>
    </row>
    <row r="6">
      <c r="A6" s="2">
        <v>43621</v>
      </c>
      <c r="B6" s="3">
        <v>188</v>
      </c>
      <c r="C6" s="3">
        <v>1273.8299999999999</v>
      </c>
      <c r="D6" s="3"/>
      <c r="E6" s="3"/>
      <c r="F6" s="3"/>
      <c r="G6" s="3"/>
      <c r="H6" s="3"/>
      <c r="I6" s="3"/>
      <c r="J6" s="3"/>
      <c r="K6" s="3"/>
      <c r="L6" s="3"/>
      <c r="M6" s="3"/>
      <c r="N6" s="3"/>
      <c r="O6" s="3"/>
      <c r="P6" s="3"/>
      <c r="Q6" s="3"/>
      <c r="R6" s="3"/>
      <c r="S6" s="3"/>
    </row>
    <row r="7">
      <c r="A7" s="4">
        <v>43622</v>
      </c>
      <c r="B7" s="5"/>
      <c r="C7" s="5"/>
      <c r="D7" s="5"/>
      <c r="E7" s="5"/>
      <c r="F7" s="5"/>
      <c r="G7" s="5"/>
      <c r="H7" s="5"/>
      <c r="I7" s="5"/>
      <c r="J7" s="5"/>
      <c r="K7" s="5">
        <v>4800</v>
      </c>
      <c r="L7" s="5"/>
      <c r="M7" s="5"/>
      <c r="N7" s="5"/>
      <c r="O7" s="5"/>
      <c r="P7" s="5"/>
      <c r="Q7" s="5"/>
      <c r="R7" s="5"/>
      <c r="S7" s="5"/>
    </row>
    <row r="8">
      <c r="A8" s="2">
        <v>43623</v>
      </c>
      <c r="B8" s="3"/>
      <c r="C8" s="3"/>
      <c r="D8" s="3"/>
      <c r="E8" s="3"/>
      <c r="F8" s="3"/>
      <c r="G8" s="3"/>
      <c r="H8" s="3"/>
      <c r="I8" s="3"/>
      <c r="J8" s="3"/>
      <c r="K8" s="3"/>
      <c r="L8" s="3"/>
      <c r="M8" s="3">
        <v>250</v>
      </c>
      <c r="N8" s="3"/>
      <c r="O8" s="3"/>
      <c r="P8" s="3"/>
      <c r="Q8" s="3"/>
      <c r="R8" s="3"/>
      <c r="S8" s="3"/>
    </row>
    <row r="9">
      <c r="A9" s="4">
        <v>43624</v>
      </c>
      <c r="B9" s="5"/>
      <c r="C9" s="5">
        <v>79.900000000000006</v>
      </c>
      <c r="D9" s="5"/>
      <c r="E9" s="5"/>
      <c r="F9" s="5"/>
      <c r="G9" s="5"/>
      <c r="H9" s="5"/>
      <c r="I9" s="5"/>
      <c r="J9" s="5"/>
      <c r="K9" s="5"/>
      <c r="L9" s="5"/>
      <c r="M9" s="5"/>
      <c r="N9" s="5"/>
      <c r="O9" s="5"/>
      <c r="P9" s="5"/>
      <c r="Q9" s="5"/>
      <c r="R9" s="5"/>
      <c r="S9" s="5"/>
    </row>
    <row r="10">
      <c r="A10" s="2">
        <v>43625</v>
      </c>
      <c r="B10" s="3">
        <v>153.90000000000001</v>
      </c>
      <c r="C10" s="3">
        <v>95.900000000000006</v>
      </c>
      <c r="D10" s="3">
        <v>184</v>
      </c>
      <c r="E10" s="3">
        <v>-2500</v>
      </c>
      <c r="F10" s="3"/>
      <c r="G10" s="3"/>
      <c r="H10" s="3">
        <v>8790</v>
      </c>
      <c r="I10" s="3"/>
      <c r="J10" s="3"/>
      <c r="K10" s="3"/>
      <c r="L10" s="3"/>
      <c r="M10" s="3"/>
      <c r="N10" s="3"/>
      <c r="O10" s="3"/>
      <c r="P10" s="3"/>
      <c r="Q10" s="3"/>
      <c r="R10" s="3"/>
      <c r="S10" s="3"/>
    </row>
    <row r="11">
      <c r="A11" s="4">
        <v>43626</v>
      </c>
      <c r="B11" s="5"/>
      <c r="C11" s="5">
        <v>196.5</v>
      </c>
      <c r="D11" s="5"/>
      <c r="E11" s="5"/>
      <c r="F11" s="5"/>
      <c r="G11" s="5"/>
      <c r="H11" s="5"/>
      <c r="I11" s="5"/>
      <c r="J11" s="5"/>
      <c r="K11" s="5"/>
      <c r="L11" s="5"/>
      <c r="M11" s="5"/>
      <c r="N11" s="5"/>
      <c r="O11" s="5"/>
      <c r="P11" s="5"/>
      <c r="Q11" s="5"/>
      <c r="R11" s="5"/>
      <c r="S11" s="5"/>
    </row>
    <row r="12">
      <c r="A12" s="2">
        <v>43627</v>
      </c>
      <c r="B12" s="3"/>
      <c r="C12" s="3">
        <v>348.67000000000002</v>
      </c>
      <c r="D12" s="3">
        <v>220.99000000000001</v>
      </c>
      <c r="E12" s="3"/>
      <c r="F12" s="3"/>
      <c r="G12" s="3"/>
      <c r="H12" s="3"/>
      <c r="I12" s="3"/>
      <c r="J12" s="3"/>
      <c r="K12" s="3"/>
      <c r="L12" s="3"/>
      <c r="M12" s="3"/>
      <c r="N12" s="3"/>
      <c r="O12" s="3"/>
      <c r="P12" s="3"/>
      <c r="Q12" s="3"/>
      <c r="R12" s="3"/>
      <c r="S12" s="3"/>
    </row>
    <row r="13">
      <c r="A13" s="4">
        <v>43628</v>
      </c>
      <c r="B13" s="5"/>
      <c r="C13" s="5"/>
      <c r="D13" s="5"/>
      <c r="E13" s="5"/>
      <c r="F13" s="5"/>
      <c r="G13" s="5"/>
      <c r="H13" s="5"/>
      <c r="I13" s="5"/>
      <c r="J13" s="5"/>
      <c r="K13" s="5"/>
      <c r="L13" s="5"/>
      <c r="M13" s="5"/>
      <c r="N13" s="5"/>
      <c r="O13" s="5"/>
      <c r="P13" s="5"/>
      <c r="Q13" s="5"/>
      <c r="R13" s="5"/>
      <c r="S13" s="5"/>
    </row>
    <row r="14">
      <c r="A14" s="2">
        <v>43629</v>
      </c>
      <c r="B14" s="3"/>
      <c r="C14" s="3">
        <v>133.97999999999999</v>
      </c>
      <c r="D14" s="3"/>
      <c r="E14" s="3"/>
      <c r="F14" s="3"/>
      <c r="G14" s="3"/>
      <c r="H14" s="3"/>
      <c r="I14" s="3"/>
      <c r="J14" s="3"/>
      <c r="K14" s="3"/>
      <c r="L14" s="3"/>
      <c r="M14" s="3"/>
      <c r="N14" s="3"/>
      <c r="O14" s="3"/>
      <c r="P14" s="3"/>
      <c r="Q14" s="3"/>
      <c r="R14" s="3"/>
      <c r="S14" s="3"/>
    </row>
    <row r="15">
      <c r="A15" s="4">
        <v>43630</v>
      </c>
      <c r="B15" s="5">
        <v>5615.8000000000002</v>
      </c>
      <c r="C15" s="5"/>
      <c r="D15" s="5">
        <v>261</v>
      </c>
      <c r="E15" s="5"/>
      <c r="F15" s="5"/>
      <c r="G15" s="5"/>
      <c r="H15" s="5"/>
      <c r="I15" s="5"/>
      <c r="J15" s="5"/>
      <c r="K15" s="5"/>
      <c r="L15" s="5"/>
      <c r="M15" s="5"/>
      <c r="N15" s="5"/>
      <c r="O15" s="5"/>
      <c r="P15" s="5"/>
      <c r="Q15" s="5"/>
      <c r="R15" s="5"/>
      <c r="S15" s="5"/>
    </row>
    <row r="16">
      <c r="A16" s="2">
        <v>43631</v>
      </c>
      <c r="B16" s="3"/>
      <c r="C16" s="3"/>
      <c r="D16" s="3"/>
      <c r="E16" s="3"/>
      <c r="F16" s="3"/>
      <c r="G16" s="3"/>
      <c r="H16" s="3"/>
      <c r="I16" s="3"/>
      <c r="J16" s="3"/>
      <c r="K16" s="3"/>
      <c r="L16" s="3"/>
      <c r="M16" s="3"/>
      <c r="N16" s="3"/>
      <c r="O16" s="3"/>
      <c r="P16" s="3"/>
      <c r="Q16" s="3"/>
      <c r="R16" s="3"/>
      <c r="S16" s="3"/>
    </row>
    <row r="17">
      <c r="A17" s="4">
        <v>43632</v>
      </c>
      <c r="B17" s="5"/>
      <c r="C17" s="5">
        <v>429.5</v>
      </c>
      <c r="D17" s="5">
        <v>161</v>
      </c>
      <c r="E17" s="5"/>
      <c r="F17" s="5"/>
      <c r="G17" s="5"/>
      <c r="H17" s="5"/>
      <c r="I17" s="5"/>
      <c r="J17" s="5"/>
      <c r="K17" s="5"/>
      <c r="L17" s="5"/>
      <c r="M17" s="5"/>
      <c r="N17" s="5"/>
      <c r="O17" s="5"/>
      <c r="P17" s="5"/>
      <c r="Q17" s="5"/>
      <c r="R17" s="5"/>
      <c r="S17" s="5"/>
    </row>
    <row r="18">
      <c r="A18" s="2">
        <v>43633</v>
      </c>
      <c r="B18" s="3"/>
      <c r="C18" s="3">
        <v>15.1</v>
      </c>
      <c r="D18" s="3"/>
      <c r="E18" s="3"/>
      <c r="F18" s="3"/>
      <c r="G18" s="3"/>
      <c r="H18" s="3"/>
      <c r="I18" s="3"/>
      <c r="J18" s="3"/>
      <c r="K18" s="3"/>
      <c r="L18" s="3"/>
      <c r="M18" s="3"/>
      <c r="N18" s="3"/>
      <c r="O18" s="3"/>
      <c r="P18" s="3"/>
      <c r="Q18" s="3"/>
      <c r="R18" s="3"/>
      <c r="S18" s="3"/>
    </row>
    <row r="19">
      <c r="A19" s="4">
        <v>43634</v>
      </c>
      <c r="B19" s="5"/>
      <c r="C19" s="5"/>
      <c r="D19" s="5">
        <v>193</v>
      </c>
      <c r="E19" s="5"/>
      <c r="F19" s="5"/>
      <c r="G19" s="5"/>
      <c r="H19" s="5"/>
      <c r="I19" s="5">
        <v>1999</v>
      </c>
      <c r="J19" s="5"/>
      <c r="K19" s="5"/>
      <c r="L19" s="5"/>
      <c r="M19" s="5"/>
      <c r="N19" s="5"/>
      <c r="O19" s="5"/>
      <c r="P19" s="5"/>
      <c r="Q19" s="5"/>
      <c r="R19" s="5"/>
      <c r="S19" s="5"/>
    </row>
    <row r="20">
      <c r="A20" s="2">
        <v>43635</v>
      </c>
      <c r="B20" s="3">
        <v>40</v>
      </c>
      <c r="C20" s="3"/>
      <c r="D20" s="3">
        <v>188</v>
      </c>
      <c r="E20" s="3"/>
      <c r="F20" s="3"/>
      <c r="G20" s="3"/>
      <c r="H20" s="3"/>
      <c r="I20" s="3"/>
      <c r="J20" s="3"/>
      <c r="K20" s="3"/>
      <c r="L20" s="3"/>
      <c r="M20" s="3"/>
      <c r="N20" s="3"/>
      <c r="O20" s="3">
        <v>700</v>
      </c>
      <c r="P20" s="3"/>
      <c r="Q20" s="3"/>
      <c r="R20" s="3"/>
      <c r="S20" s="3"/>
    </row>
    <row r="21">
      <c r="A21" s="4">
        <v>43636</v>
      </c>
      <c r="B21" s="5"/>
      <c r="C21" s="5"/>
      <c r="D21" s="5">
        <v>70</v>
      </c>
      <c r="E21" s="5"/>
      <c r="F21" s="5"/>
      <c r="G21" s="5"/>
      <c r="H21" s="5"/>
      <c r="I21" s="5">
        <v>500</v>
      </c>
      <c r="J21" s="5"/>
      <c r="K21" s="5"/>
      <c r="L21" s="5"/>
      <c r="M21" s="5"/>
      <c r="N21" s="5"/>
      <c r="O21" s="5"/>
      <c r="P21" s="5">
        <v>100</v>
      </c>
      <c r="Q21" s="5"/>
      <c r="R21" s="5"/>
      <c r="S21" s="5"/>
    </row>
    <row r="22">
      <c r="A22" s="2">
        <v>43637</v>
      </c>
      <c r="B22" s="3">
        <v>310.30000000000001</v>
      </c>
      <c r="C22" s="3"/>
      <c r="D22" s="3"/>
      <c r="E22" s="3"/>
      <c r="F22" s="3"/>
      <c r="G22" s="3"/>
      <c r="H22" s="3"/>
      <c r="I22" s="3"/>
      <c r="J22" s="3"/>
      <c r="K22" s="3"/>
      <c r="L22" s="3"/>
      <c r="M22" s="3"/>
      <c r="N22" s="3"/>
      <c r="O22" s="3"/>
      <c r="P22" s="3"/>
      <c r="Q22" s="3"/>
      <c r="R22" s="3"/>
      <c r="S22" s="3"/>
    </row>
    <row r="23">
      <c r="A23" s="4">
        <v>43638</v>
      </c>
      <c r="B23" s="5"/>
      <c r="C23" s="5"/>
      <c r="D23" s="5"/>
      <c r="E23" s="5"/>
      <c r="F23" s="5"/>
      <c r="G23" s="5"/>
      <c r="H23" s="5"/>
      <c r="I23" s="5"/>
      <c r="J23" s="5"/>
      <c r="K23" s="5"/>
      <c r="L23" s="5"/>
      <c r="M23" s="5"/>
      <c r="N23" s="5"/>
      <c r="O23" s="5"/>
      <c r="P23" s="5"/>
      <c r="Q23" s="5"/>
      <c r="R23" s="5"/>
      <c r="S23" s="5"/>
    </row>
    <row r="24">
      <c r="A24" s="2">
        <v>43639</v>
      </c>
      <c r="B24" s="3"/>
      <c r="C24" s="3">
        <v>1064.2</v>
      </c>
      <c r="D24" s="3">
        <v>265</v>
      </c>
      <c r="E24" s="3"/>
      <c r="F24" s="3"/>
      <c r="G24" s="3"/>
      <c r="H24" s="3"/>
      <c r="I24" s="3"/>
      <c r="J24" s="3"/>
      <c r="K24" s="3"/>
      <c r="L24" s="3"/>
      <c r="M24" s="3"/>
      <c r="N24" s="3"/>
      <c r="O24" s="3"/>
      <c r="P24" s="3"/>
      <c r="Q24" s="3"/>
      <c r="R24" s="3"/>
      <c r="S24" s="3"/>
    </row>
    <row r="25">
      <c r="A25" s="4">
        <v>43640</v>
      </c>
      <c r="B25" s="5"/>
      <c r="C25" s="5"/>
      <c r="D25" s="5"/>
      <c r="E25" s="5"/>
      <c r="F25" s="5"/>
      <c r="G25" s="5"/>
      <c r="H25" s="5"/>
      <c r="I25" s="5"/>
      <c r="J25" s="5"/>
      <c r="K25" s="5"/>
      <c r="L25" s="5"/>
      <c r="M25" s="5"/>
      <c r="N25" s="5"/>
      <c r="O25" s="5"/>
      <c r="P25" s="5"/>
      <c r="Q25" s="5"/>
      <c r="R25" s="5"/>
      <c r="S25" s="5"/>
    </row>
    <row r="26">
      <c r="A26" s="2">
        <v>43641</v>
      </c>
      <c r="B26" s="3"/>
      <c r="C26" s="3">
        <v>162.90000000000001</v>
      </c>
      <c r="D26" s="3"/>
      <c r="E26" s="3"/>
      <c r="F26" s="3"/>
      <c r="G26" s="3"/>
      <c r="H26" s="3"/>
      <c r="I26" s="3"/>
      <c r="J26" s="3"/>
      <c r="K26" s="3"/>
      <c r="L26" s="3"/>
      <c r="M26" s="3"/>
      <c r="N26" s="3"/>
      <c r="O26" s="3"/>
      <c r="P26" s="3"/>
      <c r="Q26" s="3"/>
      <c r="R26" s="3"/>
      <c r="S26" s="3"/>
    </row>
    <row r="27">
      <c r="A27" s="4">
        <v>43642</v>
      </c>
      <c r="B27" s="5"/>
      <c r="C27" s="5">
        <v>86.989999999999995</v>
      </c>
      <c r="D27" s="5">
        <v>188.78999999999999</v>
      </c>
      <c r="E27" s="5"/>
      <c r="F27" s="5">
        <v>2180</v>
      </c>
      <c r="G27" s="5"/>
      <c r="H27" s="5"/>
      <c r="I27" s="5"/>
      <c r="J27" s="5"/>
      <c r="K27" s="5"/>
      <c r="L27" s="5"/>
      <c r="M27" s="5"/>
      <c r="N27" s="5"/>
      <c r="O27" s="5"/>
      <c r="P27" s="5"/>
      <c r="Q27" s="5"/>
      <c r="R27" s="5"/>
      <c r="S27" s="5"/>
    </row>
    <row r="28">
      <c r="A28" s="2">
        <v>43643</v>
      </c>
      <c r="B28" s="3"/>
      <c r="C28" s="3"/>
      <c r="D28" s="3">
        <v>158</v>
      </c>
      <c r="E28" s="3"/>
      <c r="F28" s="3"/>
      <c r="G28" s="3"/>
      <c r="H28" s="3"/>
      <c r="I28" s="3"/>
      <c r="J28" s="3"/>
      <c r="K28" s="3"/>
      <c r="L28" s="3"/>
      <c r="M28" s="3"/>
      <c r="N28" s="3"/>
      <c r="O28" s="3"/>
      <c r="P28" s="3">
        <v>63</v>
      </c>
      <c r="Q28" s="3"/>
      <c r="R28" s="3"/>
      <c r="S28" s="3"/>
    </row>
    <row r="29">
      <c r="A29" s="4">
        <v>43644</v>
      </c>
      <c r="B29" s="5"/>
      <c r="C29" s="5">
        <v>1131.6600000000001</v>
      </c>
      <c r="D29" s="5"/>
      <c r="E29" s="5"/>
      <c r="F29" s="5"/>
      <c r="G29" s="5"/>
      <c r="H29" s="5"/>
      <c r="I29" s="5"/>
      <c r="J29" s="5"/>
      <c r="K29" s="5"/>
      <c r="L29" s="5"/>
      <c r="M29" s="5"/>
      <c r="N29" s="5">
        <v>200</v>
      </c>
      <c r="O29" s="5"/>
      <c r="P29" s="5"/>
      <c r="Q29" s="5"/>
      <c r="R29" s="5"/>
      <c r="S29" s="5"/>
    </row>
    <row r="30">
      <c r="A30" s="2">
        <v>43645</v>
      </c>
      <c r="B30" s="3"/>
      <c r="C30" s="3"/>
      <c r="D30" s="3"/>
      <c r="E30" s="3"/>
      <c r="F30" s="3"/>
      <c r="G30" s="3"/>
      <c r="H30" s="3"/>
      <c r="I30" s="3"/>
      <c r="J30" s="3"/>
      <c r="K30" s="3"/>
      <c r="L30" s="3"/>
      <c r="M30" s="3"/>
      <c r="N30" s="3"/>
      <c r="O30" s="3"/>
      <c r="P30" s="3"/>
      <c r="Q30" s="3"/>
      <c r="R30" s="3"/>
      <c r="S30" s="3"/>
    </row>
    <row r="31">
      <c r="A31" s="4">
        <v>43646</v>
      </c>
      <c r="B31" s="5"/>
      <c r="C31" s="5"/>
      <c r="D31" s="5"/>
      <c r="E31" s="5"/>
      <c r="F31" s="5"/>
      <c r="G31" s="5"/>
      <c r="H31" s="5"/>
      <c r="I31" s="5"/>
      <c r="J31" s="5"/>
      <c r="K31" s="5"/>
      <c r="L31" s="5"/>
      <c r="M31" s="5"/>
      <c r="N31" s="5"/>
      <c r="O31" s="5"/>
      <c r="P31" s="5"/>
      <c r="Q31" s="5"/>
      <c r="R31" s="5"/>
      <c r="S31" s="5"/>
    </row>
    <row r="32">
      <c r="A32" s="7"/>
      <c r="B32" s="7">
        <f t="shared" ref="B32:Q32" si="2">SUM(B2:B31)</f>
        <v>8666</v>
      </c>
      <c r="C32" s="7">
        <f t="shared" si="2"/>
        <v>5568.8499999999995</v>
      </c>
      <c r="D32" s="7">
        <f t="shared" si="2"/>
        <v>2068.7799999999997</v>
      </c>
      <c r="E32" s="7">
        <f t="shared" si="2"/>
        <v>0</v>
      </c>
      <c r="F32" s="7">
        <f t="shared" si="2"/>
        <v>2180</v>
      </c>
      <c r="G32" s="7">
        <f t="shared" si="2"/>
        <v>0</v>
      </c>
      <c r="H32" s="7">
        <f t="shared" si="2"/>
        <v>8790</v>
      </c>
      <c r="I32" s="7">
        <f t="shared" si="2"/>
        <v>2499</v>
      </c>
      <c r="J32" s="7">
        <f t="shared" si="2"/>
        <v>0</v>
      </c>
      <c r="K32" s="7">
        <f t="shared" si="2"/>
        <v>4800</v>
      </c>
      <c r="L32" s="7">
        <f t="shared" si="2"/>
        <v>0</v>
      </c>
      <c r="M32" s="7">
        <f t="shared" si="2"/>
        <v>250</v>
      </c>
      <c r="N32" s="7">
        <f t="shared" si="2"/>
        <v>200</v>
      </c>
      <c r="O32" s="7">
        <f t="shared" si="2"/>
        <v>700</v>
      </c>
      <c r="P32" s="7">
        <f t="shared" si="2"/>
        <v>163</v>
      </c>
      <c r="Q32" s="7">
        <f t="shared" si="2"/>
        <v>0</v>
      </c>
      <c r="R32" s="7" t="s">
        <v>14</v>
      </c>
      <c r="S32" s="7">
        <f>SUM(B32:Q32)</f>
        <v>35885.629999999997</v>
      </c>
    </row>
    <row r="33">
      <c r="A33" s="8"/>
      <c r="B33" s="8"/>
      <c r="C33" s="8"/>
      <c r="D33" s="8"/>
      <c r="E33" s="8"/>
      <c r="F33" s="8"/>
      <c r="G33" s="8"/>
      <c r="H33" s="8"/>
      <c r="I33" s="8"/>
      <c r="J33" s="9"/>
      <c r="K33" s="9"/>
      <c r="L33" s="9"/>
      <c r="M33" s="9"/>
      <c r="N33" s="9"/>
      <c r="O33" s="9"/>
      <c r="P33" s="9"/>
      <c r="Q33" s="9"/>
      <c r="R33" s="9"/>
      <c r="S33" s="9"/>
    </row>
    <row r="34">
      <c r="A34" s="1" t="s">
        <v>0</v>
      </c>
      <c r="B34" s="1" t="s">
        <v>15</v>
      </c>
      <c r="C34" s="1" t="s">
        <v>16</v>
      </c>
      <c r="D34" s="1" t="s">
        <v>17</v>
      </c>
      <c r="E34" s="1" t="s">
        <v>18</v>
      </c>
      <c r="F34" s="1"/>
      <c r="G34" s="1"/>
      <c r="H34" s="1"/>
      <c r="I34" s="1"/>
    </row>
    <row r="35">
      <c r="A35" s="2">
        <v>43617</v>
      </c>
      <c r="B35" s="3"/>
      <c r="C35" s="3"/>
      <c r="D35" s="3"/>
      <c r="E35" s="3"/>
      <c r="F35" s="3"/>
      <c r="G35" s="3"/>
      <c r="H35" s="3"/>
      <c r="I35" s="3"/>
    </row>
    <row r="36">
      <c r="A36" s="4">
        <v>43618</v>
      </c>
      <c r="B36" s="5"/>
      <c r="C36" s="5"/>
      <c r="D36" s="5"/>
      <c r="E36" s="5"/>
      <c r="F36" s="5"/>
      <c r="G36" s="5"/>
      <c r="H36" s="5"/>
      <c r="I36" s="5"/>
    </row>
    <row r="37">
      <c r="A37" s="2">
        <v>43619</v>
      </c>
      <c r="B37" s="3"/>
      <c r="C37" s="3"/>
      <c r="D37" s="3"/>
      <c r="E37" s="3"/>
      <c r="F37" s="3"/>
      <c r="G37" s="3"/>
      <c r="H37" s="3"/>
      <c r="I37" s="3"/>
    </row>
    <row r="38">
      <c r="A38" s="4">
        <v>43620</v>
      </c>
      <c r="B38" s="5"/>
      <c r="C38" s="5"/>
      <c r="D38" s="5"/>
      <c r="E38" s="5"/>
      <c r="F38" s="5"/>
      <c r="G38" s="5"/>
      <c r="H38" s="5"/>
      <c r="I38" s="5"/>
    </row>
    <row r="39">
      <c r="A39" s="2">
        <v>43621</v>
      </c>
      <c r="B39" s="3"/>
      <c r="C39" s="3"/>
      <c r="D39" s="3"/>
      <c r="E39" s="3"/>
      <c r="F39" s="3"/>
      <c r="G39" s="3"/>
      <c r="H39" s="3"/>
      <c r="I39" s="3"/>
    </row>
    <row r="40">
      <c r="A40" s="4">
        <v>43622</v>
      </c>
      <c r="B40" s="5"/>
      <c r="C40" s="5"/>
      <c r="D40" s="5"/>
      <c r="E40" s="5"/>
      <c r="F40" s="5"/>
      <c r="G40" s="5"/>
      <c r="H40" s="5"/>
      <c r="I40" s="5"/>
    </row>
    <row r="41">
      <c r="A41" s="2">
        <v>43623</v>
      </c>
      <c r="B41" s="3"/>
      <c r="C41" s="3"/>
      <c r="D41" s="3"/>
      <c r="E41" s="3"/>
      <c r="F41" s="3"/>
      <c r="G41" s="3"/>
      <c r="H41" s="3"/>
      <c r="I41" s="3"/>
    </row>
    <row r="42">
      <c r="A42" s="4">
        <v>43624</v>
      </c>
      <c r="B42" s="5"/>
      <c r="C42" s="5"/>
      <c r="D42" s="5"/>
      <c r="E42" s="5"/>
      <c r="F42" s="5"/>
      <c r="G42" s="5"/>
      <c r="H42" s="5"/>
      <c r="I42" s="5"/>
    </row>
    <row r="43">
      <c r="A43" s="2">
        <v>43625</v>
      </c>
      <c r="B43" s="3"/>
      <c r="C43" s="3"/>
      <c r="D43" s="3"/>
      <c r="E43" s="3"/>
      <c r="F43" s="3"/>
      <c r="G43" s="3"/>
      <c r="H43" s="3"/>
      <c r="I43" s="3"/>
    </row>
    <row r="44">
      <c r="A44" s="4">
        <v>43626</v>
      </c>
      <c r="B44" s="5">
        <v>40800</v>
      </c>
      <c r="C44" s="5"/>
      <c r="D44" s="5"/>
      <c r="E44" s="5"/>
      <c r="F44" s="5"/>
      <c r="G44" s="5"/>
      <c r="H44" s="5"/>
      <c r="I44" s="5"/>
    </row>
    <row r="45">
      <c r="A45" s="2">
        <v>43627</v>
      </c>
      <c r="B45" s="3"/>
      <c r="C45" s="3"/>
      <c r="D45" s="3"/>
      <c r="E45" s="3"/>
      <c r="F45" s="3"/>
      <c r="G45" s="3"/>
      <c r="H45" s="3"/>
      <c r="I45" s="3"/>
    </row>
    <row r="46">
      <c r="A46" s="4">
        <v>43628</v>
      </c>
      <c r="B46" s="5"/>
      <c r="C46" s="5"/>
      <c r="D46" s="5"/>
      <c r="E46" s="5"/>
      <c r="F46" s="5"/>
      <c r="G46" s="5"/>
      <c r="H46" s="5"/>
      <c r="I46" s="5"/>
    </row>
    <row r="47">
      <c r="A47" s="2">
        <v>43629</v>
      </c>
      <c r="B47" s="3"/>
      <c r="C47" s="3"/>
      <c r="D47" s="3"/>
      <c r="E47" s="3"/>
      <c r="F47" s="3"/>
      <c r="G47" s="3"/>
      <c r="H47" s="3"/>
      <c r="I47" s="3"/>
    </row>
    <row r="48">
      <c r="A48" s="4">
        <v>43630</v>
      </c>
      <c r="B48" s="5"/>
      <c r="C48" s="5"/>
      <c r="D48" s="5"/>
      <c r="E48" s="5"/>
      <c r="F48" s="5"/>
      <c r="G48" s="5"/>
      <c r="H48" s="5"/>
      <c r="I48" s="5"/>
    </row>
    <row r="49">
      <c r="A49" s="2">
        <v>43631</v>
      </c>
      <c r="B49" s="3"/>
      <c r="C49" s="3"/>
      <c r="D49" s="3"/>
      <c r="E49" s="3"/>
      <c r="F49" s="3"/>
      <c r="G49" s="3"/>
      <c r="H49" s="3"/>
      <c r="I49" s="3"/>
    </row>
    <row r="50">
      <c r="A50" s="4">
        <v>43632</v>
      </c>
      <c r="B50" s="5"/>
      <c r="C50" s="5"/>
      <c r="D50" s="5"/>
      <c r="E50" s="5"/>
      <c r="F50" s="5"/>
      <c r="G50" s="5"/>
      <c r="H50" s="5"/>
      <c r="I50" s="5"/>
    </row>
    <row r="51">
      <c r="A51" s="2">
        <v>43633</v>
      </c>
      <c r="B51" s="3"/>
      <c r="C51" s="3"/>
      <c r="D51" s="3"/>
      <c r="E51" s="3"/>
      <c r="F51" s="3"/>
      <c r="G51" s="3"/>
      <c r="H51" s="3"/>
      <c r="I51" s="3"/>
    </row>
    <row r="52">
      <c r="A52" s="4">
        <v>43634</v>
      </c>
      <c r="B52" s="5"/>
      <c r="C52" s="5">
        <v>4000</v>
      </c>
      <c r="D52" s="5"/>
      <c r="E52" s="5"/>
      <c r="F52" s="5"/>
      <c r="G52" s="5"/>
      <c r="H52" s="5"/>
      <c r="I52" s="5"/>
    </row>
    <row r="53">
      <c r="A53" s="2">
        <v>43635</v>
      </c>
      <c r="B53" s="3"/>
      <c r="C53" s="3"/>
      <c r="D53" s="3"/>
      <c r="E53" s="3"/>
      <c r="F53" s="3"/>
      <c r="G53" s="3"/>
      <c r="H53" s="3"/>
      <c r="I53" s="3"/>
    </row>
    <row r="54">
      <c r="A54" s="4">
        <v>43636</v>
      </c>
      <c r="B54" s="5"/>
      <c r="C54" s="5"/>
      <c r="D54" s="5"/>
      <c r="E54" s="5"/>
      <c r="F54" s="5"/>
      <c r="G54" s="5"/>
      <c r="H54" s="5"/>
      <c r="I54" s="5"/>
    </row>
    <row r="55">
      <c r="A55" s="2">
        <v>43637</v>
      </c>
      <c r="B55" s="3"/>
      <c r="C55" s="3"/>
      <c r="D55" s="3"/>
      <c r="E55" s="3"/>
      <c r="F55" s="3"/>
      <c r="G55" s="3"/>
      <c r="H55" s="3"/>
      <c r="I55" s="3"/>
    </row>
    <row r="56">
      <c r="A56" s="4">
        <v>43638</v>
      </c>
      <c r="B56" s="5"/>
      <c r="C56" s="5"/>
      <c r="D56" s="5">
        <v>1000</v>
      </c>
      <c r="E56" s="5"/>
      <c r="F56" s="5"/>
      <c r="G56" s="5"/>
      <c r="H56" s="5"/>
      <c r="I56" s="5"/>
    </row>
    <row r="57">
      <c r="A57" s="2">
        <v>43639</v>
      </c>
      <c r="B57" s="3"/>
      <c r="C57" s="3"/>
      <c r="D57" s="3"/>
      <c r="E57" s="3"/>
      <c r="F57" s="3"/>
      <c r="G57" s="3"/>
      <c r="H57" s="3"/>
      <c r="I57" s="3"/>
    </row>
    <row r="58">
      <c r="A58" s="4">
        <v>43640</v>
      </c>
      <c r="B58" s="5"/>
      <c r="C58" s="5"/>
      <c r="D58" s="5"/>
      <c r="E58" s="5"/>
      <c r="F58" s="5"/>
      <c r="G58" s="5"/>
      <c r="H58" s="5"/>
      <c r="I58" s="5"/>
    </row>
    <row r="59">
      <c r="A59" s="2">
        <v>43641</v>
      </c>
      <c r="B59" s="3">
        <v>9500</v>
      </c>
      <c r="C59" s="3"/>
      <c r="D59" s="3"/>
      <c r="E59" s="3"/>
      <c r="F59" s="3"/>
      <c r="G59" s="3"/>
      <c r="H59" s="3"/>
      <c r="I59" s="3"/>
    </row>
    <row r="60">
      <c r="A60" s="4">
        <v>43642</v>
      </c>
      <c r="B60" s="5"/>
      <c r="C60" s="5"/>
      <c r="D60" s="5"/>
      <c r="E60" s="5"/>
      <c r="F60" s="5"/>
      <c r="G60" s="5"/>
      <c r="H60" s="5"/>
      <c r="I60" s="5"/>
    </row>
    <row r="61">
      <c r="A61" s="2">
        <v>43643</v>
      </c>
      <c r="B61" s="3"/>
      <c r="C61" s="3"/>
      <c r="D61" s="3"/>
      <c r="E61" s="3"/>
      <c r="F61" s="3"/>
      <c r="G61" s="3"/>
      <c r="H61" s="3"/>
      <c r="I61" s="3"/>
    </row>
    <row r="62">
      <c r="A62" s="4">
        <v>43644</v>
      </c>
      <c r="B62" s="5"/>
      <c r="C62" s="5"/>
      <c r="D62" s="5"/>
      <c r="E62" s="5"/>
      <c r="F62" s="5"/>
      <c r="G62" s="5"/>
      <c r="H62" s="5"/>
      <c r="I62" s="5"/>
    </row>
    <row r="63">
      <c r="A63" s="2">
        <v>43645</v>
      </c>
      <c r="B63" s="3"/>
      <c r="C63" s="3"/>
      <c r="D63" s="3"/>
      <c r="E63" s="3"/>
      <c r="F63" s="3"/>
      <c r="G63" s="3"/>
      <c r="H63" s="3"/>
      <c r="I63" s="3"/>
    </row>
    <row r="64">
      <c r="A64" s="4">
        <v>43646</v>
      </c>
      <c r="B64" s="5"/>
      <c r="C64" s="5"/>
      <c r="D64" s="5"/>
      <c r="E64" s="5">
        <v>1015.89</v>
      </c>
      <c r="F64" s="5"/>
      <c r="G64" s="5"/>
      <c r="H64" s="5"/>
      <c r="I64" s="5"/>
    </row>
    <row r="65">
      <c r="A65" s="7"/>
      <c r="B65" s="7">
        <f t="shared" ref="B65:H65" si="3">SUM(B35:B64)</f>
        <v>50300</v>
      </c>
      <c r="C65" s="7">
        <f t="shared" si="3"/>
        <v>4000</v>
      </c>
      <c r="D65" s="7">
        <f t="shared" si="3"/>
        <v>1000</v>
      </c>
      <c r="E65" s="7">
        <f t="shared" si="3"/>
        <v>1015.89</v>
      </c>
      <c r="F65" s="7">
        <f t="shared" si="3"/>
        <v>0</v>
      </c>
      <c r="G65" s="7">
        <f t="shared" si="3"/>
        <v>0</v>
      </c>
      <c r="H65" s="7">
        <f t="shared" si="3"/>
        <v>0</v>
      </c>
      <c r="I65" s="7">
        <f>SUM(B65:H65)</f>
        <v>56315.889999999999</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39" activeCellId="0" sqref="I39"/>
    </sheetView>
  </sheetViews>
  <sheetFormatPr defaultRowHeight="14.25"/>
  <cols>
    <col bestFit="1" customWidth="1" min="1" max="1" width="11"/>
    <col bestFit="1" customWidth="1" min="17" max="17" width="20.85546875"/>
    <col bestFit="1" customWidth="1" min="18" max="18" width="9.14062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0" t="s">
        <v>49</v>
      </c>
      <c r="R1" s="1"/>
      <c r="S1" s="1"/>
    </row>
    <row r="2">
      <c r="A2" s="11">
        <v>44166</v>
      </c>
      <c r="B2" s="14">
        <v>20</v>
      </c>
      <c r="C2" s="14"/>
      <c r="D2" s="14"/>
      <c r="E2" s="14"/>
      <c r="F2" s="14"/>
      <c r="G2" s="14"/>
      <c r="H2" s="14"/>
      <c r="I2" s="14"/>
      <c r="J2" s="14"/>
      <c r="K2" s="14"/>
      <c r="L2" s="14">
        <v>90</v>
      </c>
      <c r="M2" s="14"/>
      <c r="N2" s="14"/>
      <c r="O2" s="14"/>
      <c r="P2" s="14"/>
      <c r="Q2" s="14"/>
      <c r="R2" s="14"/>
      <c r="S2" s="14"/>
    </row>
    <row r="3">
      <c r="A3" s="11">
        <v>44167</v>
      </c>
      <c r="B3" s="5"/>
      <c r="C3" s="5">
        <v>498.38</v>
      </c>
      <c r="D3" s="5">
        <f>255+263</f>
        <v>518</v>
      </c>
      <c r="E3" s="5"/>
      <c r="F3" s="5"/>
      <c r="G3" s="5"/>
      <c r="H3" s="5"/>
      <c r="I3" s="5"/>
      <c r="J3" s="5"/>
      <c r="K3" s="5"/>
      <c r="L3" s="5"/>
      <c r="M3" s="5"/>
      <c r="N3" s="5"/>
      <c r="O3" s="5"/>
      <c r="P3" s="5"/>
      <c r="Q3" s="5"/>
      <c r="R3" s="5"/>
      <c r="S3" s="5"/>
    </row>
    <row r="4">
      <c r="A4" s="11">
        <v>44168</v>
      </c>
      <c r="B4" s="14"/>
      <c r="C4" s="14">
        <v>128.97999999999999</v>
      </c>
      <c r="D4" s="14"/>
      <c r="E4" s="14"/>
      <c r="F4" s="14"/>
      <c r="G4" s="14"/>
      <c r="H4" s="14"/>
      <c r="I4" s="14"/>
      <c r="J4" s="14"/>
      <c r="K4" s="14"/>
      <c r="L4" s="14"/>
      <c r="M4" s="14"/>
      <c r="N4" s="14"/>
      <c r="O4" s="14"/>
      <c r="P4" s="14"/>
      <c r="Q4" s="14"/>
      <c r="R4" s="14"/>
      <c r="S4" s="14"/>
    </row>
    <row r="5">
      <c r="A5" s="11">
        <v>44169</v>
      </c>
      <c r="B5" s="5">
        <v>40</v>
      </c>
      <c r="C5" s="5"/>
      <c r="D5" s="5">
        <v>99</v>
      </c>
      <c r="E5" s="5"/>
      <c r="F5" s="5">
        <v>99</v>
      </c>
      <c r="G5" s="5"/>
      <c r="H5" s="5"/>
      <c r="I5" s="5"/>
      <c r="J5" s="5"/>
      <c r="K5" s="5"/>
      <c r="L5" s="5"/>
      <c r="M5" s="5"/>
      <c r="N5" s="5"/>
      <c r="O5" s="5"/>
      <c r="P5" s="5"/>
      <c r="Q5" s="5"/>
      <c r="R5" s="5"/>
      <c r="S5" s="5"/>
    </row>
    <row r="6">
      <c r="A6" s="11">
        <v>44170</v>
      </c>
      <c r="B6" s="14">
        <v>20</v>
      </c>
      <c r="C6" s="14">
        <v>255</v>
      </c>
      <c r="D6" s="14"/>
      <c r="E6" s="14"/>
      <c r="F6" s="14"/>
      <c r="G6" s="14"/>
      <c r="H6" s="14"/>
      <c r="I6" s="14"/>
      <c r="J6" s="14"/>
      <c r="K6" s="14"/>
      <c r="L6" s="14"/>
      <c r="M6" s="14"/>
      <c r="N6" s="14"/>
      <c r="O6" s="14"/>
      <c r="P6" s="14"/>
      <c r="Q6" s="14"/>
      <c r="R6" s="14"/>
      <c r="S6" s="14"/>
    </row>
    <row r="7">
      <c r="A7" s="11">
        <v>44171</v>
      </c>
      <c r="B7" s="5">
        <v>20</v>
      </c>
      <c r="C7" s="5">
        <v>330.39999999999998</v>
      </c>
      <c r="D7" s="5">
        <v>99</v>
      </c>
      <c r="E7" s="5"/>
      <c r="F7" s="5"/>
      <c r="G7" s="5"/>
      <c r="H7" s="5"/>
      <c r="I7" s="5"/>
      <c r="J7" s="5"/>
      <c r="K7" s="5"/>
      <c r="L7" s="5"/>
      <c r="M7" s="5">
        <v>375</v>
      </c>
      <c r="N7" s="5"/>
      <c r="O7" s="5"/>
      <c r="P7" s="5"/>
      <c r="Q7" s="5"/>
      <c r="R7" s="5"/>
      <c r="S7" s="5"/>
    </row>
    <row r="8">
      <c r="A8" s="11">
        <v>44172</v>
      </c>
      <c r="B8" s="14">
        <v>120</v>
      </c>
      <c r="C8" s="14">
        <v>118.15000000000001</v>
      </c>
      <c r="D8" s="14"/>
      <c r="E8" s="14"/>
      <c r="F8" s="14"/>
      <c r="G8" s="14"/>
      <c r="H8" s="14"/>
      <c r="I8" s="14"/>
      <c r="J8" s="14"/>
      <c r="K8" s="14"/>
      <c r="L8" s="14"/>
      <c r="M8" s="14"/>
      <c r="N8" s="14"/>
      <c r="O8" s="14"/>
      <c r="P8" s="14"/>
      <c r="Q8" s="14"/>
      <c r="R8" s="14"/>
      <c r="S8" s="14"/>
    </row>
    <row r="9">
      <c r="A9" s="11">
        <v>44173</v>
      </c>
      <c r="B9" s="5">
        <v>40</v>
      </c>
      <c r="C9" s="5"/>
      <c r="D9" s="5"/>
      <c r="E9" s="5"/>
      <c r="F9" s="5"/>
      <c r="G9" s="5"/>
      <c r="H9" s="5"/>
      <c r="I9" s="5"/>
      <c r="J9" s="5"/>
      <c r="K9" s="5"/>
      <c r="L9" s="5"/>
      <c r="M9" s="5"/>
      <c r="N9" s="5"/>
      <c r="O9" s="5"/>
      <c r="P9" s="5"/>
      <c r="Q9" s="5"/>
      <c r="R9" s="5"/>
      <c r="S9" s="5"/>
    </row>
    <row r="10">
      <c r="A10" s="11">
        <v>44174</v>
      </c>
      <c r="B10" s="14">
        <v>20</v>
      </c>
      <c r="C10" s="14">
        <v>384.57999999999998</v>
      </c>
      <c r="D10" s="14">
        <v>130</v>
      </c>
      <c r="E10" s="14"/>
      <c r="F10" s="14"/>
      <c r="G10" s="14"/>
      <c r="H10" s="14"/>
      <c r="I10" s="14"/>
      <c r="J10" s="14"/>
      <c r="K10" s="14"/>
      <c r="L10" s="14"/>
      <c r="M10" s="14"/>
      <c r="N10" s="14"/>
      <c r="O10" s="14"/>
      <c r="P10" s="14"/>
      <c r="Q10" s="14"/>
      <c r="R10" s="14"/>
      <c r="S10" s="14"/>
    </row>
    <row r="11">
      <c r="A11" s="11">
        <v>44175</v>
      </c>
      <c r="B11" s="5"/>
      <c r="C11" s="5"/>
      <c r="D11" s="5"/>
      <c r="E11" s="5"/>
      <c r="F11" s="5"/>
      <c r="G11" s="5"/>
      <c r="H11" s="5"/>
      <c r="I11" s="5"/>
      <c r="J11" s="5"/>
      <c r="K11" s="5"/>
      <c r="L11" s="5">
        <f>1500+174.98</f>
        <v>1674.98</v>
      </c>
      <c r="M11" s="5"/>
      <c r="N11" s="5"/>
      <c r="O11" s="5"/>
      <c r="P11" s="5">
        <f>659.37+199</f>
        <v>858.37</v>
      </c>
      <c r="Q11" s="5"/>
      <c r="R11" s="5"/>
      <c r="S11" s="5"/>
    </row>
    <row r="12">
      <c r="A12" s="11">
        <v>44176</v>
      </c>
      <c r="B12" s="14"/>
      <c r="C12" s="14"/>
      <c r="D12" s="14">
        <f>255+495</f>
        <v>750</v>
      </c>
      <c r="E12" s="14"/>
      <c r="F12" s="14"/>
      <c r="G12" s="14"/>
      <c r="H12" s="14"/>
      <c r="I12" s="14"/>
      <c r="J12" s="14"/>
      <c r="K12" s="14"/>
      <c r="L12" s="14"/>
      <c r="M12" s="14"/>
      <c r="N12" s="14"/>
      <c r="O12" s="14"/>
      <c r="P12" s="14">
        <v>400</v>
      </c>
      <c r="Q12" s="14"/>
      <c r="R12" s="14"/>
      <c r="S12" s="14"/>
    </row>
    <row r="13">
      <c r="A13" s="11">
        <v>44177</v>
      </c>
      <c r="B13" s="5"/>
      <c r="C13" s="5"/>
      <c r="D13" s="5"/>
      <c r="E13" s="5"/>
      <c r="F13" s="5"/>
      <c r="G13" s="5"/>
      <c r="H13" s="5"/>
      <c r="I13" s="5"/>
      <c r="J13" s="5"/>
      <c r="K13" s="5"/>
      <c r="L13" s="5"/>
      <c r="M13" s="5"/>
      <c r="N13" s="5"/>
      <c r="O13" s="5"/>
      <c r="P13" s="5"/>
      <c r="Q13" s="5"/>
      <c r="R13" s="5"/>
      <c r="S13" s="5"/>
    </row>
    <row r="14">
      <c r="A14" s="11">
        <v>44178</v>
      </c>
      <c r="B14" s="14"/>
      <c r="C14" s="14">
        <v>533.14999999999998</v>
      </c>
      <c r="D14" s="14"/>
      <c r="E14" s="14"/>
      <c r="F14" s="14"/>
      <c r="G14" s="14"/>
      <c r="H14" s="14"/>
      <c r="I14" s="14"/>
      <c r="J14" s="14"/>
      <c r="K14" s="14"/>
      <c r="L14" s="14"/>
      <c r="M14" s="14"/>
      <c r="N14" s="14"/>
      <c r="O14" s="14"/>
      <c r="P14" s="14"/>
      <c r="Q14" s="14"/>
      <c r="R14" s="14"/>
      <c r="S14" s="14"/>
    </row>
    <row r="15">
      <c r="A15" s="11">
        <v>44179</v>
      </c>
      <c r="B15" s="5">
        <v>20</v>
      </c>
      <c r="C15" s="5"/>
      <c r="D15" s="5"/>
      <c r="E15" s="5"/>
      <c r="F15" s="5"/>
      <c r="G15" s="5"/>
      <c r="H15" s="5"/>
      <c r="J15" s="5"/>
      <c r="K15" s="5"/>
      <c r="L15" s="5">
        <v>3999</v>
      </c>
      <c r="M15" s="5"/>
      <c r="N15" s="5"/>
      <c r="O15" s="5"/>
      <c r="P15" s="5"/>
      <c r="Q15" s="5"/>
      <c r="R15" s="5"/>
      <c r="S15" s="5"/>
    </row>
    <row r="16">
      <c r="A16" s="11">
        <v>44180</v>
      </c>
      <c r="B16" s="14"/>
      <c r="C16" s="14">
        <v>782.84000000000003</v>
      </c>
      <c r="D16" s="14"/>
      <c r="E16" s="14"/>
      <c r="F16" s="14"/>
      <c r="G16" s="14"/>
      <c r="H16" s="14"/>
      <c r="I16" s="14"/>
      <c r="J16" s="14">
        <v>282</v>
      </c>
      <c r="K16" s="14"/>
      <c r="L16" s="14"/>
      <c r="M16" s="14"/>
      <c r="N16" s="14"/>
      <c r="O16" s="14"/>
      <c r="P16" s="14"/>
      <c r="Q16" s="14"/>
      <c r="R16" s="14"/>
      <c r="S16" s="14"/>
    </row>
    <row r="17">
      <c r="A17" s="11">
        <v>44181</v>
      </c>
      <c r="B17" s="5"/>
      <c r="C17" s="5"/>
      <c r="D17" s="5">
        <v>314</v>
      </c>
      <c r="E17" s="5"/>
      <c r="F17" s="5"/>
      <c r="G17" s="5"/>
      <c r="H17" s="5"/>
      <c r="I17" s="5"/>
      <c r="J17" s="5"/>
      <c r="K17" s="5"/>
      <c r="L17" s="5">
        <v>1080</v>
      </c>
      <c r="M17" s="5"/>
      <c r="N17" s="5"/>
      <c r="O17" s="5"/>
      <c r="P17" s="5"/>
      <c r="Q17" s="5"/>
      <c r="R17" s="5"/>
      <c r="S17" s="5"/>
    </row>
    <row r="18">
      <c r="A18" s="11">
        <v>44182</v>
      </c>
      <c r="B18" s="14">
        <v>40</v>
      </c>
      <c r="C18" s="14"/>
      <c r="D18" s="14"/>
      <c r="E18" s="14"/>
      <c r="F18" s="14"/>
      <c r="G18" s="14"/>
      <c r="H18" s="14"/>
      <c r="I18" s="14"/>
      <c r="J18" s="14"/>
      <c r="K18" s="14"/>
      <c r="L18" s="14"/>
      <c r="M18" s="14"/>
      <c r="N18" s="14"/>
      <c r="O18" s="14"/>
      <c r="P18" s="14"/>
      <c r="Q18" s="14"/>
      <c r="R18" s="14"/>
      <c r="S18" s="14"/>
    </row>
    <row r="19">
      <c r="A19" s="11">
        <v>44183</v>
      </c>
      <c r="B19" s="5">
        <v>60</v>
      </c>
      <c r="C19" s="5"/>
      <c r="D19" s="5"/>
      <c r="E19" s="5"/>
      <c r="F19" s="5"/>
      <c r="G19" s="5"/>
      <c r="H19" s="5"/>
      <c r="I19" s="5"/>
      <c r="J19" s="5"/>
      <c r="K19" s="5"/>
      <c r="L19" s="5"/>
      <c r="M19" s="5">
        <v>20</v>
      </c>
      <c r="N19" s="5"/>
      <c r="O19" s="5"/>
      <c r="P19" s="5"/>
      <c r="Q19" s="5"/>
      <c r="R19" s="5"/>
      <c r="S19" s="5"/>
    </row>
    <row r="20">
      <c r="A20" s="11">
        <v>44184</v>
      </c>
      <c r="B20" s="14"/>
      <c r="C20" s="14"/>
      <c r="D20" s="14">
        <f>222-50</f>
        <v>172</v>
      </c>
      <c r="E20" s="14"/>
      <c r="F20" s="14"/>
      <c r="G20" s="14"/>
      <c r="H20" s="14"/>
      <c r="I20" s="14"/>
      <c r="J20" s="14"/>
      <c r="K20" s="14"/>
      <c r="L20" s="14"/>
      <c r="M20" s="14"/>
      <c r="N20" s="14"/>
      <c r="O20" s="14"/>
      <c r="P20" s="34"/>
      <c r="Q20" s="14"/>
      <c r="R20" s="14"/>
      <c r="S20" s="14"/>
    </row>
    <row r="21">
      <c r="A21" s="11">
        <v>44185</v>
      </c>
      <c r="B21" s="35"/>
      <c r="C21" s="5">
        <v>99.989999999999995</v>
      </c>
      <c r="D21" s="5"/>
      <c r="E21" s="5"/>
      <c r="F21" s="5"/>
      <c r="G21" s="5"/>
      <c r="H21" s="5"/>
      <c r="I21" s="5"/>
      <c r="J21" s="5"/>
      <c r="K21" s="5"/>
      <c r="L21" s="5"/>
      <c r="M21" s="5"/>
      <c r="N21" s="5"/>
      <c r="O21" s="5"/>
      <c r="P21" s="5"/>
      <c r="Q21" s="5"/>
      <c r="R21" s="5"/>
      <c r="S21" s="5"/>
    </row>
    <row r="22">
      <c r="A22" s="11">
        <v>44186</v>
      </c>
      <c r="B22" s="14">
        <v>126</v>
      </c>
      <c r="C22" s="22">
        <v>835.33000000000004</v>
      </c>
      <c r="D22" s="22"/>
      <c r="E22" s="14"/>
      <c r="F22" s="14"/>
      <c r="G22" s="14"/>
      <c r="H22" s="14"/>
      <c r="I22" s="14"/>
      <c r="J22" s="14"/>
      <c r="K22" s="14"/>
      <c r="L22" s="14"/>
      <c r="M22" s="14"/>
      <c r="N22" s="14"/>
      <c r="O22" s="14"/>
      <c r="P22" s="14"/>
      <c r="Q22" s="14"/>
      <c r="R22" s="14"/>
      <c r="S22" s="14"/>
    </row>
    <row r="23">
      <c r="A23" s="11">
        <v>44187</v>
      </c>
      <c r="B23" s="5"/>
      <c r="E23" s="5"/>
      <c r="F23" s="5"/>
      <c r="G23" s="5"/>
      <c r="H23" s="5"/>
      <c r="I23" s="5"/>
      <c r="J23" s="5"/>
      <c r="K23" s="5"/>
      <c r="L23" s="5"/>
      <c r="M23" s="5"/>
      <c r="N23" s="5"/>
      <c r="O23" s="5"/>
      <c r="P23" s="5"/>
      <c r="Q23" s="5"/>
      <c r="R23" s="5"/>
      <c r="S23" s="5"/>
    </row>
    <row r="24">
      <c r="A24" s="11">
        <v>44188</v>
      </c>
      <c r="B24" s="14">
        <f>95-20-25+20-25</f>
        <v>45</v>
      </c>
      <c r="C24" s="14">
        <v>328.93000000000001</v>
      </c>
      <c r="D24" s="14"/>
      <c r="E24" s="14"/>
      <c r="F24" s="14"/>
      <c r="G24" s="14"/>
      <c r="H24" s="14"/>
      <c r="I24" s="14"/>
      <c r="J24" s="14"/>
      <c r="K24" s="14"/>
      <c r="L24" s="14"/>
      <c r="M24" s="14"/>
      <c r="N24" s="14"/>
      <c r="O24" s="14"/>
      <c r="P24" s="14"/>
      <c r="Q24" s="14"/>
      <c r="R24" s="14"/>
      <c r="S24" s="14"/>
    </row>
    <row r="25">
      <c r="A25" s="11">
        <v>44189</v>
      </c>
      <c r="B25">
        <v>20</v>
      </c>
      <c r="C25" s="5"/>
      <c r="D25" s="5"/>
      <c r="E25" s="5"/>
      <c r="F25" s="5"/>
      <c r="G25" s="5"/>
      <c r="H25" s="5"/>
      <c r="I25" s="5"/>
      <c r="J25" s="5"/>
      <c r="K25" s="5"/>
      <c r="L25" s="5"/>
      <c r="M25" s="5"/>
      <c r="N25" s="5"/>
      <c r="O25" s="5"/>
      <c r="P25" s="5"/>
      <c r="Q25" s="5"/>
      <c r="R25" s="5"/>
      <c r="S25" s="5"/>
    </row>
    <row r="26">
      <c r="A26" s="11">
        <v>44190</v>
      </c>
      <c r="B26" s="14">
        <v>20</v>
      </c>
      <c r="C26" s="14">
        <v>168.44999999999999</v>
      </c>
      <c r="D26" s="14"/>
      <c r="E26" s="14"/>
      <c r="F26" s="14"/>
      <c r="G26" s="14"/>
      <c r="H26" s="14"/>
      <c r="I26" s="14"/>
      <c r="J26" s="14">
        <v>78</v>
      </c>
      <c r="K26" s="14">
        <v>7000</v>
      </c>
      <c r="L26" s="14"/>
      <c r="M26" s="14"/>
      <c r="N26" s="14"/>
      <c r="O26" s="14"/>
      <c r="P26" s="14"/>
      <c r="Q26" s="14"/>
      <c r="R26" s="14"/>
      <c r="S26" s="14"/>
    </row>
    <row r="27">
      <c r="A27" s="11">
        <v>44191</v>
      </c>
      <c r="B27" s="5">
        <v>20</v>
      </c>
      <c r="C27" s="5"/>
      <c r="D27" s="5"/>
      <c r="E27" s="5"/>
      <c r="F27" s="5"/>
      <c r="G27" s="5"/>
      <c r="H27" s="5"/>
      <c r="I27" s="5"/>
      <c r="J27" s="5"/>
      <c r="K27" s="5"/>
      <c r="L27" s="5"/>
      <c r="M27" s="5"/>
      <c r="N27" s="5"/>
      <c r="O27" s="5"/>
      <c r="P27" s="5"/>
      <c r="Q27" s="5"/>
      <c r="R27" s="5"/>
      <c r="S27" s="5"/>
    </row>
    <row r="28">
      <c r="A28" s="11">
        <v>44192</v>
      </c>
      <c r="B28" s="14"/>
      <c r="C28" s="14"/>
      <c r="D28" s="14"/>
      <c r="E28" s="14"/>
      <c r="F28" s="14"/>
      <c r="G28" s="14"/>
      <c r="H28" s="14"/>
      <c r="I28" s="14"/>
      <c r="J28" s="14"/>
      <c r="K28" s="14"/>
      <c r="L28" s="14"/>
      <c r="M28" s="14"/>
      <c r="N28" s="14"/>
      <c r="O28" s="14"/>
      <c r="P28" s="14"/>
      <c r="Q28" s="14"/>
      <c r="R28" s="14"/>
      <c r="S28" s="14"/>
    </row>
    <row r="29">
      <c r="A29" s="11">
        <v>44193</v>
      </c>
      <c r="B29" s="5"/>
      <c r="C29" s="5">
        <v>196.94999999999999</v>
      </c>
      <c r="D29" s="5">
        <v>340</v>
      </c>
      <c r="E29" s="5"/>
      <c r="F29" s="5"/>
      <c r="G29" s="5"/>
      <c r="H29" s="5"/>
      <c r="I29" s="5"/>
      <c r="J29" s="5"/>
      <c r="K29" s="5"/>
      <c r="L29" s="5">
        <v>1899</v>
      </c>
      <c r="M29" s="5"/>
      <c r="N29" s="5"/>
      <c r="O29" s="5"/>
      <c r="P29" s="5"/>
      <c r="Q29" s="5"/>
      <c r="R29" s="5"/>
      <c r="S29" s="5"/>
    </row>
    <row r="30">
      <c r="A30" s="11">
        <v>44194</v>
      </c>
      <c r="B30" s="14"/>
      <c r="C30" s="14"/>
      <c r="D30" s="14"/>
      <c r="E30" s="14"/>
      <c r="F30" s="14"/>
      <c r="G30" s="14"/>
      <c r="H30" s="14"/>
      <c r="I30" s="14"/>
      <c r="J30" s="14"/>
      <c r="K30" s="14"/>
      <c r="L30" s="14">
        <v>400</v>
      </c>
      <c r="M30" s="14"/>
      <c r="N30" s="14"/>
      <c r="O30" s="14"/>
      <c r="P30" s="14"/>
      <c r="Q30" s="14"/>
      <c r="R30" s="14"/>
      <c r="S30" s="14"/>
    </row>
    <row r="31">
      <c r="A31" s="11">
        <v>44195</v>
      </c>
      <c r="B31" s="3"/>
      <c r="C31" s="3">
        <f>279+551.58</f>
        <v>830.58000000000004</v>
      </c>
      <c r="D31" s="3"/>
      <c r="E31" s="3"/>
      <c r="F31" s="3"/>
      <c r="G31" s="3"/>
      <c r="H31" s="3"/>
      <c r="I31" s="3">
        <v>105</v>
      </c>
      <c r="J31" s="3"/>
      <c r="K31" s="3"/>
      <c r="L31" s="3"/>
      <c r="M31" s="3"/>
      <c r="N31" s="3"/>
      <c r="O31" s="3"/>
      <c r="P31" s="3"/>
      <c r="Q31" s="3"/>
      <c r="R31" s="3"/>
      <c r="S31" s="3"/>
    </row>
    <row r="32">
      <c r="A32" s="11">
        <v>44196</v>
      </c>
      <c r="B32" s="22">
        <v>60</v>
      </c>
      <c r="C32" s="22">
        <f>724+91.85+69.99</f>
        <v>885.84000000000003</v>
      </c>
      <c r="D32" s="22">
        <v>100</v>
      </c>
      <c r="E32" s="22"/>
      <c r="F32" s="22"/>
      <c r="G32" s="22"/>
      <c r="H32" s="22"/>
      <c r="I32" s="22"/>
      <c r="J32" s="22"/>
      <c r="K32" s="22"/>
      <c r="L32" s="22"/>
      <c r="M32" s="22"/>
      <c r="N32" s="22"/>
      <c r="O32" s="22"/>
      <c r="P32" s="22"/>
      <c r="Q32" s="22"/>
      <c r="R32" s="22"/>
      <c r="S32" s="22"/>
    </row>
    <row r="33">
      <c r="A33" s="7"/>
      <c r="B33" s="7">
        <f>SUM(B2:B32)</f>
        <v>691</v>
      </c>
      <c r="C33" s="7">
        <f t="shared" ref="C33:Q33" si="38">SUM(C2:C32)</f>
        <v>6377.5499999999993</v>
      </c>
      <c r="D33" s="7">
        <f t="shared" si="38"/>
        <v>2522</v>
      </c>
      <c r="E33" s="7">
        <f t="shared" si="38"/>
        <v>0</v>
      </c>
      <c r="F33" s="7">
        <f t="shared" si="38"/>
        <v>99</v>
      </c>
      <c r="G33" s="7">
        <f t="shared" si="38"/>
        <v>0</v>
      </c>
      <c r="H33" s="7">
        <f t="shared" si="38"/>
        <v>0</v>
      </c>
      <c r="I33" s="7">
        <f t="shared" si="38"/>
        <v>105</v>
      </c>
      <c r="J33" s="7">
        <f t="shared" si="38"/>
        <v>360</v>
      </c>
      <c r="K33" s="7">
        <f t="shared" si="38"/>
        <v>7000</v>
      </c>
      <c r="L33" s="7">
        <f t="shared" si="38"/>
        <v>9142.9799999999996</v>
      </c>
      <c r="M33" s="7">
        <f t="shared" si="38"/>
        <v>395</v>
      </c>
      <c r="N33" s="7">
        <f t="shared" si="38"/>
        <v>0</v>
      </c>
      <c r="O33" s="7">
        <f t="shared" si="38"/>
        <v>0</v>
      </c>
      <c r="P33" s="7">
        <f t="shared" si="38"/>
        <v>1258.3699999999999</v>
      </c>
      <c r="Q33" s="7">
        <f t="shared" si="38"/>
        <v>0</v>
      </c>
      <c r="R33" s="7" t="s">
        <v>14</v>
      </c>
      <c r="S33" s="7">
        <f>SUM(B33:Q33)</f>
        <v>27950.899999999998</v>
      </c>
    </row>
    <row r="34">
      <c r="A34" s="8"/>
      <c r="B34" s="8"/>
      <c r="C34" s="8"/>
      <c r="D34" s="8"/>
      <c r="E34" s="8"/>
      <c r="F34" s="8"/>
      <c r="G34" s="8"/>
      <c r="H34" s="8"/>
      <c r="I34" s="8"/>
      <c r="J34" s="9"/>
      <c r="K34" s="9"/>
      <c r="L34" s="9"/>
      <c r="M34" s="9"/>
      <c r="N34" s="9"/>
      <c r="O34" s="9"/>
      <c r="P34" s="9"/>
      <c r="Q34" s="9"/>
      <c r="R34" s="9"/>
      <c r="S34" s="9"/>
    </row>
    <row r="35">
      <c r="A35" s="10" t="s">
        <v>0</v>
      </c>
      <c r="B35" s="10" t="s">
        <v>50</v>
      </c>
      <c r="C35" s="10" t="s">
        <v>13</v>
      </c>
      <c r="D35" s="10" t="s">
        <v>11</v>
      </c>
      <c r="E35" s="10" t="s">
        <v>51</v>
      </c>
      <c r="F35" s="10" t="s">
        <v>52</v>
      </c>
      <c r="G35" s="10" t="s">
        <v>53</v>
      </c>
      <c r="H35" s="10" t="s">
        <v>54</v>
      </c>
      <c r="I35" s="10" t="s">
        <v>55</v>
      </c>
    </row>
    <row r="36">
      <c r="A36" s="11">
        <v>44166</v>
      </c>
      <c r="B36" s="14"/>
      <c r="C36" s="14"/>
      <c r="D36" s="14"/>
      <c r="E36" s="14"/>
      <c r="F36" s="14"/>
      <c r="G36" s="14"/>
      <c r="H36" s="14"/>
      <c r="I36" s="14"/>
      <c r="N36" s="13"/>
      <c r="O36" s="13"/>
      <c r="R36" s="31" t="s">
        <v>40</v>
      </c>
    </row>
    <row r="37">
      <c r="A37" s="11">
        <v>44167</v>
      </c>
      <c r="B37" s="5"/>
      <c r="C37" s="5"/>
      <c r="D37" s="5"/>
      <c r="E37" s="5"/>
      <c r="F37" s="5"/>
      <c r="G37" s="5"/>
      <c r="H37" s="5"/>
      <c r="I37" s="5"/>
      <c r="R37" s="31">
        <v>409</v>
      </c>
      <c r="S37" s="31" t="s">
        <v>37</v>
      </c>
    </row>
    <row r="38">
      <c r="A38" s="11">
        <v>44168</v>
      </c>
      <c r="B38" s="14"/>
      <c r="C38" s="14"/>
      <c r="D38" s="14"/>
      <c r="E38" s="14"/>
      <c r="F38" s="14"/>
      <c r="G38" s="14"/>
      <c r="H38" s="14"/>
      <c r="I38" s="14"/>
      <c r="R38" s="31">
        <f>21000-344+2039+(23000-23000)-344-344+8164.1-4600-3300+(3000-3000)+80000+2000+(5500-5000)+(5650-5100)</f>
        <v>105321.10000000001</v>
      </c>
      <c r="S38" s="31" t="s">
        <v>31</v>
      </c>
    </row>
    <row r="39">
      <c r="A39" s="11">
        <v>44169</v>
      </c>
      <c r="B39" s="5"/>
      <c r="C39" s="5"/>
      <c r="D39" s="5"/>
      <c r="E39" s="5">
        <f>214+6.48</f>
        <v>220.47999999999999</v>
      </c>
      <c r="F39" s="5"/>
      <c r="G39" s="5"/>
      <c r="H39" s="5"/>
      <c r="I39" s="5">
        <f>214+6.48</f>
        <v>220.47999999999999</v>
      </c>
      <c r="R39" s="31"/>
      <c r="S39" s="31" t="s">
        <v>48</v>
      </c>
    </row>
    <row r="40">
      <c r="A40" s="11">
        <v>44170</v>
      </c>
      <c r="B40" s="14"/>
      <c r="C40" s="14"/>
      <c r="D40" s="14"/>
      <c r="E40" s="14"/>
      <c r="F40" s="14"/>
      <c r="G40" s="14"/>
      <c r="H40" s="14"/>
      <c r="I40" s="14"/>
      <c r="R40" s="31"/>
      <c r="S40" s="31" t="s">
        <v>39</v>
      </c>
    </row>
    <row r="41">
      <c r="A41" s="11">
        <v>44171</v>
      </c>
      <c r="B41" s="5"/>
      <c r="C41" s="5"/>
      <c r="D41" s="5"/>
      <c r="E41" s="5"/>
      <c r="F41" s="5">
        <v>2113.73</v>
      </c>
      <c r="G41" s="5"/>
      <c r="H41" s="5"/>
      <c r="I41" s="5"/>
      <c r="R41" s="31"/>
      <c r="S41" s="31" t="s">
        <v>41</v>
      </c>
    </row>
    <row r="42">
      <c r="A42" s="11">
        <v>44172</v>
      </c>
      <c r="B42" s="14"/>
      <c r="C42" s="14"/>
      <c r="D42" s="14"/>
      <c r="E42" s="14"/>
      <c r="F42" s="14"/>
      <c r="G42" s="14"/>
      <c r="H42" s="14">
        <v>2500</v>
      </c>
      <c r="I42" s="14"/>
      <c r="R42" s="31">
        <v>0</v>
      </c>
      <c r="S42" t="s">
        <v>42</v>
      </c>
    </row>
    <row r="43">
      <c r="A43" s="11">
        <v>44173</v>
      </c>
      <c r="B43" s="5"/>
      <c r="C43" s="5"/>
      <c r="D43" s="5"/>
      <c r="E43" s="5"/>
      <c r="F43" s="5"/>
      <c r="G43" s="5"/>
      <c r="H43" s="5"/>
      <c r="I43" s="5"/>
      <c r="R43" s="31"/>
      <c r="S43" t="s">
        <v>23</v>
      </c>
    </row>
    <row r="44">
      <c r="A44" s="11">
        <v>44174</v>
      </c>
      <c r="B44" s="38"/>
      <c r="C44" s="14"/>
      <c r="D44" s="14"/>
      <c r="E44" s="14"/>
      <c r="F44" s="14"/>
      <c r="G44" s="14"/>
      <c r="H44" s="14"/>
      <c r="I44" s="14"/>
      <c r="R44" s="31"/>
      <c r="S44" t="s">
        <v>46</v>
      </c>
    </row>
    <row r="45">
      <c r="A45" s="11">
        <v>44175</v>
      </c>
      <c r="B45" s="5">
        <v>19055.619999999999</v>
      </c>
      <c r="C45" s="5"/>
      <c r="D45" s="5"/>
      <c r="E45" s="5">
        <v>2777.3200000000002</v>
      </c>
      <c r="F45" s="5">
        <v>9800</v>
      </c>
      <c r="G45" s="5"/>
      <c r="H45" s="5"/>
      <c r="I45" s="5"/>
    </row>
    <row r="46">
      <c r="A46" s="11">
        <v>44176</v>
      </c>
      <c r="B46" s="14"/>
      <c r="C46" s="14"/>
      <c r="D46" s="14"/>
      <c r="E46" s="14"/>
      <c r="F46" s="14"/>
      <c r="G46" s="14"/>
      <c r="H46" s="14"/>
      <c r="I46" s="14"/>
    </row>
    <row r="47">
      <c r="A47" s="11">
        <v>44177</v>
      </c>
      <c r="B47" s="5"/>
      <c r="C47" s="5"/>
      <c r="D47" s="5"/>
      <c r="E47" s="5"/>
      <c r="F47" s="5"/>
      <c r="G47" s="5"/>
      <c r="H47" s="5"/>
      <c r="I47" s="5"/>
    </row>
    <row r="48">
      <c r="A48" s="11">
        <v>44178</v>
      </c>
      <c r="B48" s="14"/>
      <c r="C48" s="14"/>
      <c r="D48" s="14"/>
      <c r="E48" s="14"/>
      <c r="F48" s="14"/>
      <c r="G48" s="14"/>
      <c r="H48" s="14"/>
      <c r="I48" s="14"/>
    </row>
    <row r="49">
      <c r="A49" s="11">
        <v>44179</v>
      </c>
      <c r="B49" s="5"/>
      <c r="C49" s="5"/>
      <c r="D49" s="5"/>
      <c r="E49" s="5"/>
      <c r="F49" s="5"/>
      <c r="G49" s="5"/>
      <c r="H49" s="5"/>
      <c r="I49" s="5"/>
    </row>
    <row r="50">
      <c r="A50" s="11">
        <v>44180</v>
      </c>
      <c r="B50" s="14"/>
      <c r="C50" s="14"/>
      <c r="D50" s="14"/>
      <c r="E50" s="14"/>
      <c r="F50" s="14"/>
      <c r="G50" s="14"/>
      <c r="H50" s="14"/>
      <c r="I50" s="14"/>
    </row>
    <row r="51">
      <c r="A51" s="11">
        <v>44181</v>
      </c>
      <c r="B51" s="5"/>
      <c r="C51" s="5"/>
      <c r="D51" s="5"/>
      <c r="E51" s="5"/>
      <c r="F51" s="5"/>
      <c r="G51" s="5"/>
      <c r="H51" s="5"/>
      <c r="I51" s="5"/>
    </row>
    <row r="52">
      <c r="A52" s="11">
        <v>44182</v>
      </c>
      <c r="B52" s="14"/>
      <c r="C52" s="14"/>
      <c r="D52" s="14"/>
      <c r="E52" s="14"/>
      <c r="F52" s="14"/>
      <c r="G52" s="14"/>
      <c r="H52" s="14"/>
      <c r="I52" s="14"/>
    </row>
    <row r="53">
      <c r="A53" s="11">
        <v>44183</v>
      </c>
      <c r="B53" s="5"/>
      <c r="C53" s="5"/>
      <c r="D53" s="5"/>
      <c r="E53" s="5"/>
      <c r="F53" s="5"/>
      <c r="G53" s="5"/>
      <c r="H53" s="5"/>
      <c r="I53" s="5"/>
    </row>
    <row r="54">
      <c r="A54" s="11">
        <v>44184</v>
      </c>
      <c r="B54" s="14"/>
      <c r="C54" s="14"/>
      <c r="D54" s="14"/>
      <c r="E54" s="14"/>
      <c r="F54" s="14"/>
      <c r="G54" s="14"/>
      <c r="H54" s="14">
        <v>300</v>
      </c>
      <c r="I54" s="14"/>
    </row>
    <row r="55">
      <c r="A55" s="11">
        <v>44185</v>
      </c>
      <c r="B55" s="5"/>
      <c r="C55" s="5"/>
      <c r="D55" s="5"/>
      <c r="E55" s="5"/>
      <c r="F55" s="5"/>
      <c r="G55" s="5"/>
      <c r="H55" s="5"/>
      <c r="I55" s="5"/>
    </row>
    <row r="56">
      <c r="A56" s="11">
        <v>44186</v>
      </c>
      <c r="B56" s="14"/>
      <c r="C56" s="14"/>
      <c r="D56" s="14"/>
      <c r="E56" s="14"/>
      <c r="F56" s="14"/>
      <c r="G56" s="14"/>
      <c r="H56" s="14"/>
      <c r="I56" s="14"/>
    </row>
    <row r="57">
      <c r="A57" s="11">
        <v>44187</v>
      </c>
      <c r="B57" s="5"/>
      <c r="C57" s="5"/>
      <c r="D57" s="5"/>
      <c r="E57" s="5"/>
      <c r="F57" s="5"/>
      <c r="G57" s="5"/>
      <c r="H57" s="5">
        <v>200</v>
      </c>
      <c r="I57" s="5"/>
    </row>
    <row r="58">
      <c r="A58" s="11">
        <v>44188</v>
      </c>
      <c r="B58" s="14"/>
      <c r="C58" s="14"/>
      <c r="D58" s="14"/>
      <c r="E58" s="14"/>
      <c r="F58" s="14"/>
      <c r="G58" s="14"/>
      <c r="H58" s="14">
        <v>100</v>
      </c>
      <c r="I58" s="14"/>
    </row>
    <row r="59">
      <c r="A59" s="11">
        <v>44189</v>
      </c>
      <c r="B59" s="5"/>
      <c r="C59" s="5"/>
      <c r="D59" s="5"/>
      <c r="E59" s="5"/>
      <c r="F59" s="5"/>
      <c r="G59" s="5"/>
      <c r="H59" s="5"/>
      <c r="I59" s="5"/>
    </row>
    <row r="60">
      <c r="A60" s="11">
        <v>44190</v>
      </c>
      <c r="B60" s="14">
        <v>18600</v>
      </c>
      <c r="C60" s="14"/>
      <c r="D60" s="14"/>
      <c r="E60" s="14"/>
      <c r="F60" s="14"/>
      <c r="G60" s="14"/>
      <c r="H60" s="14"/>
      <c r="I60" s="14"/>
    </row>
    <row r="61">
      <c r="A61" s="11">
        <v>44191</v>
      </c>
      <c r="B61" s="5"/>
      <c r="C61" s="5"/>
      <c r="D61" s="5"/>
      <c r="E61" s="5"/>
      <c r="F61" s="5"/>
      <c r="G61" s="5"/>
      <c r="H61" s="5"/>
      <c r="I61" s="5"/>
    </row>
    <row r="62">
      <c r="A62" s="11">
        <v>44192</v>
      </c>
      <c r="B62" s="14"/>
      <c r="C62" s="14"/>
      <c r="D62" s="14"/>
      <c r="E62" s="14"/>
      <c r="F62" s="14"/>
      <c r="G62" s="14"/>
      <c r="H62" s="14"/>
      <c r="I62" s="14"/>
    </row>
    <row r="63">
      <c r="A63" s="11">
        <v>44193</v>
      </c>
      <c r="B63" s="5"/>
      <c r="C63" s="5"/>
      <c r="D63" s="5"/>
      <c r="E63" s="5"/>
      <c r="F63" s="5"/>
      <c r="G63" s="5"/>
      <c r="H63" s="5"/>
      <c r="I63" s="5"/>
    </row>
    <row r="64">
      <c r="A64" s="11">
        <v>44194</v>
      </c>
      <c r="B64" s="14"/>
      <c r="C64" s="14"/>
      <c r="D64" s="14">
        <v>2000</v>
      </c>
      <c r="E64" s="14"/>
      <c r="F64" s="14">
        <v>6001</v>
      </c>
      <c r="G64" s="14"/>
      <c r="H64" s="14"/>
      <c r="I64" s="14"/>
    </row>
    <row r="65">
      <c r="A65" s="11">
        <v>44195</v>
      </c>
      <c r="B65" s="3"/>
      <c r="C65" s="3"/>
      <c r="D65" s="3"/>
      <c r="E65" s="3"/>
      <c r="F65" s="3"/>
      <c r="G65" s="3"/>
      <c r="H65" s="3"/>
      <c r="I65" s="3"/>
    </row>
    <row r="66">
      <c r="A66" s="11">
        <v>44196</v>
      </c>
      <c r="B66" s="22"/>
      <c r="C66" s="22"/>
      <c r="D66" s="22"/>
      <c r="E66" s="22">
        <f>70.17+0.14</f>
        <v>70.310000000000002</v>
      </c>
      <c r="F66" s="22"/>
      <c r="G66" s="22"/>
      <c r="H66" s="22"/>
      <c r="I66" s="22"/>
      <c r="R66" s="33">
        <f>SUM(R37:R65)</f>
        <v>105730.10000000001</v>
      </c>
    </row>
    <row r="67">
      <c r="A67" s="7"/>
      <c r="B67" s="7">
        <f t="shared" ref="B67:H67" si="39">SUM(B36:B65)</f>
        <v>37655.619999999995</v>
      </c>
      <c r="C67" s="7">
        <f t="shared" si="39"/>
        <v>0</v>
      </c>
      <c r="D67" s="7">
        <f t="shared" si="39"/>
        <v>2000</v>
      </c>
      <c r="E67" s="7">
        <f>SUM(E36:E66)</f>
        <v>3068.1100000000001</v>
      </c>
      <c r="F67" s="7">
        <f t="shared" si="39"/>
        <v>17914.73</v>
      </c>
      <c r="G67" s="7">
        <f t="shared" si="39"/>
        <v>0</v>
      </c>
      <c r="H67" s="7">
        <f t="shared" si="39"/>
        <v>3100</v>
      </c>
      <c r="I67" s="7">
        <f>SUM(B67:H67)+I39</f>
        <v>63958.939999999995</v>
      </c>
      <c r="R67" s="33">
        <f>SUM(R37:R65)</f>
        <v>105730.10000000001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E22" zoomScale="70" workbookViewId="0">
      <selection activeCell="X12" activeCellId="0" sqref="X12"/>
    </sheetView>
  </sheetViews>
  <sheetFormatPr defaultRowHeight="14.25"/>
  <cols>
    <col bestFit="1" customWidth="1" min="1" max="1" width="13.85546875"/>
    <col bestFit="1" customWidth="1" min="2" max="2" width="10.28515625"/>
    <col bestFit="1" customWidth="1" min="6" max="6" width="24.42578125"/>
    <col bestFit="1" customWidth="1" min="7" max="7" width="10.28515625"/>
    <col bestFit="1" customWidth="1" min="9" max="9" width="10.5703125"/>
    <col bestFit="1" customWidth="1" min="10" max="10" width="10.28515625"/>
    <col bestFit="1" customWidth="1" min="15" max="15" width="15.85546875"/>
    <col bestFit="1" customWidth="1" min="16" max="16" width="12.85546875"/>
    <col bestFit="1" customWidth="1" min="17" max="17" width="13.5703125"/>
    <col customWidth="1" min="23" max="23" width="11.85546875"/>
  </cols>
  <sheetData>
    <row r="1" ht="44.25" customHeight="1">
      <c r="A1" s="10" t="s">
        <v>0</v>
      </c>
      <c r="B1" s="39" t="s">
        <v>1</v>
      </c>
      <c r="C1" s="39" t="s">
        <v>2</v>
      </c>
      <c r="D1" s="39" t="s">
        <v>3</v>
      </c>
      <c r="E1" s="39" t="s">
        <v>4</v>
      </c>
      <c r="F1" s="39" t="s">
        <v>58</v>
      </c>
      <c r="G1" s="39" t="s">
        <v>6</v>
      </c>
      <c r="H1" s="39" t="s">
        <v>7</v>
      </c>
      <c r="I1" s="39" t="s">
        <v>8</v>
      </c>
      <c r="J1" s="39" t="s">
        <v>9</v>
      </c>
      <c r="K1" s="39" t="s">
        <v>10</v>
      </c>
      <c r="L1" s="39" t="s">
        <v>11</v>
      </c>
      <c r="M1" s="39" t="s">
        <v>12</v>
      </c>
      <c r="N1" s="39" t="s">
        <v>13</v>
      </c>
      <c r="O1" s="39" t="s">
        <v>19</v>
      </c>
      <c r="P1" s="39" t="s">
        <v>20</v>
      </c>
      <c r="Q1" s="39" t="s">
        <v>49</v>
      </c>
      <c r="R1" s="40"/>
      <c r="S1" s="40"/>
      <c r="W1" s="10" t="s">
        <v>0</v>
      </c>
      <c r="X1" s="39" t="s">
        <v>1</v>
      </c>
      <c r="Y1" s="39" t="s">
        <v>2</v>
      </c>
      <c r="Z1" s="39" t="s">
        <v>3</v>
      </c>
      <c r="AA1" s="39" t="s">
        <v>4</v>
      </c>
      <c r="AB1" s="39" t="s">
        <v>58</v>
      </c>
      <c r="AC1" s="39" t="s">
        <v>6</v>
      </c>
      <c r="AD1" s="39" t="s">
        <v>7</v>
      </c>
      <c r="AE1" s="39" t="s">
        <v>8</v>
      </c>
      <c r="AF1" s="39" t="s">
        <v>9</v>
      </c>
      <c r="AG1" s="39" t="s">
        <v>10</v>
      </c>
      <c r="AH1" s="39" t="s">
        <v>11</v>
      </c>
      <c r="AI1" s="39" t="s">
        <v>12</v>
      </c>
      <c r="AJ1" s="39" t="s">
        <v>13</v>
      </c>
      <c r="AK1" s="39" t="s">
        <v>19</v>
      </c>
      <c r="AL1" s="39" t="s">
        <v>20</v>
      </c>
      <c r="AM1" s="39" t="s">
        <v>49</v>
      </c>
      <c r="AN1" s="40"/>
      <c r="AO1" s="40"/>
    </row>
    <row r="2">
      <c r="A2" s="11">
        <v>44197</v>
      </c>
      <c r="B2" s="14"/>
      <c r="C2" s="14">
        <f>567.99-100-100</f>
        <v>367.99000000000001</v>
      </c>
      <c r="D2" s="14"/>
      <c r="E2" s="14"/>
      <c r="F2" s="14">
        <v>-49</v>
      </c>
      <c r="G2" s="14"/>
      <c r="H2" s="14"/>
      <c r="I2" s="14"/>
      <c r="J2" s="14"/>
      <c r="K2" s="14"/>
      <c r="L2" s="14"/>
      <c r="M2" s="14"/>
      <c r="N2" s="14"/>
      <c r="O2" s="14"/>
      <c r="P2" s="14"/>
      <c r="Q2" s="14"/>
      <c r="R2" s="14"/>
      <c r="S2" s="14"/>
      <c r="W2" s="11">
        <v>44197</v>
      </c>
      <c r="X2" s="14"/>
      <c r="Y2" s="14"/>
      <c r="Z2" s="14"/>
      <c r="AA2" s="14"/>
      <c r="AB2" s="14"/>
      <c r="AC2" s="14"/>
      <c r="AD2" s="14"/>
      <c r="AE2" s="14"/>
      <c r="AF2" s="14"/>
      <c r="AG2" s="14"/>
      <c r="AH2" s="14"/>
      <c r="AI2" s="14"/>
      <c r="AJ2" s="14"/>
      <c r="AK2" s="14"/>
      <c r="AL2" s="14"/>
      <c r="AM2" s="14"/>
      <c r="AN2" s="14"/>
      <c r="AO2" s="14"/>
    </row>
    <row r="3">
      <c r="A3" s="11">
        <v>44198</v>
      </c>
      <c r="B3" s="5"/>
      <c r="C3" s="5">
        <f>106+169.98</f>
        <v>275.98000000000002</v>
      </c>
      <c r="D3" s="5"/>
      <c r="E3" s="5"/>
      <c r="F3" s="5"/>
      <c r="G3" s="5"/>
      <c r="H3" s="5"/>
      <c r="I3" s="5"/>
      <c r="J3" s="5"/>
      <c r="K3" s="5"/>
      <c r="L3" s="5"/>
      <c r="M3" s="5"/>
      <c r="N3" s="5"/>
      <c r="O3" s="5"/>
      <c r="P3" s="5"/>
      <c r="Q3" s="5"/>
      <c r="R3" s="5"/>
      <c r="S3" s="5"/>
      <c r="W3" s="11">
        <v>44198</v>
      </c>
      <c r="X3" s="5"/>
      <c r="Y3" s="5"/>
      <c r="Z3" s="5"/>
      <c r="AA3" s="5"/>
      <c r="AB3" s="5"/>
      <c r="AC3" s="5"/>
      <c r="AD3" s="5"/>
      <c r="AE3" s="5"/>
      <c r="AF3" s="5"/>
      <c r="AG3" s="5"/>
      <c r="AH3" s="5"/>
      <c r="AI3" s="5"/>
      <c r="AJ3" s="5"/>
      <c r="AK3" s="5"/>
      <c r="AL3" s="5"/>
      <c r="AM3" s="5"/>
      <c r="AN3" s="5"/>
      <c r="AO3" s="5"/>
    </row>
    <row r="4">
      <c r="A4" s="11">
        <v>44199</v>
      </c>
      <c r="B4" s="14">
        <v>40</v>
      </c>
      <c r="C4" s="14"/>
      <c r="D4" s="14"/>
      <c r="E4" s="14"/>
      <c r="F4" s="14"/>
      <c r="G4" s="14"/>
      <c r="H4" s="14"/>
      <c r="I4" s="14"/>
      <c r="J4" s="14"/>
      <c r="K4" s="14"/>
      <c r="L4" s="14">
        <f>1043+237</f>
        <v>1280</v>
      </c>
      <c r="M4" s="14"/>
      <c r="N4" s="14"/>
      <c r="O4" s="14"/>
      <c r="P4" s="14"/>
      <c r="Q4" s="14"/>
      <c r="R4" s="14"/>
      <c r="S4" s="14"/>
      <c r="W4" s="11">
        <v>44199</v>
      </c>
      <c r="X4" s="14"/>
      <c r="Y4" s="14"/>
      <c r="Z4" s="14"/>
      <c r="AA4" s="14"/>
      <c r="AB4" s="14"/>
      <c r="AC4" s="14"/>
      <c r="AD4" s="14"/>
      <c r="AE4" s="14"/>
      <c r="AF4" s="14"/>
      <c r="AG4" s="14"/>
      <c r="AH4" s="14"/>
      <c r="AI4" s="14"/>
      <c r="AJ4" s="14"/>
      <c r="AK4" s="14"/>
      <c r="AL4" s="14"/>
      <c r="AM4" s="14"/>
      <c r="AN4" s="14"/>
      <c r="AO4" s="14"/>
    </row>
    <row r="5">
      <c r="A5" s="11">
        <v>44200</v>
      </c>
      <c r="B5" s="5">
        <v>20</v>
      </c>
      <c r="C5" s="5">
        <v>54</v>
      </c>
      <c r="D5" s="5"/>
      <c r="E5" s="5"/>
      <c r="F5" s="5"/>
      <c r="G5" s="5"/>
      <c r="H5" s="5"/>
      <c r="I5" s="5"/>
      <c r="J5" s="5"/>
      <c r="K5" s="5"/>
      <c r="L5" s="5"/>
      <c r="M5" s="5"/>
      <c r="N5" s="5"/>
      <c r="O5" s="5"/>
      <c r="P5" s="5"/>
      <c r="Q5" s="5"/>
      <c r="R5" s="5"/>
      <c r="S5" s="5"/>
      <c r="W5" s="11">
        <v>44200</v>
      </c>
      <c r="X5" s="5"/>
      <c r="Y5" s="5"/>
      <c r="Z5" s="5"/>
      <c r="AA5" s="5"/>
      <c r="AB5" s="5"/>
      <c r="AC5" s="5"/>
      <c r="AD5" s="5"/>
      <c r="AE5" s="5"/>
      <c r="AF5" s="5"/>
      <c r="AG5" s="5"/>
      <c r="AH5" s="5"/>
      <c r="AI5" s="5"/>
      <c r="AJ5" s="5"/>
      <c r="AK5" s="5"/>
      <c r="AL5" s="5"/>
      <c r="AM5" s="5"/>
      <c r="AN5" s="5"/>
      <c r="AO5" s="5"/>
    </row>
    <row r="6">
      <c r="A6" s="11">
        <v>44201</v>
      </c>
      <c r="B6" s="14">
        <v>20</v>
      </c>
      <c r="C6" s="14">
        <f>905.71-71.96</f>
        <v>833.75</v>
      </c>
      <c r="D6" s="14"/>
      <c r="E6" s="14"/>
      <c r="F6" s="14"/>
      <c r="G6" s="14"/>
      <c r="H6" s="14"/>
      <c r="I6" s="14"/>
      <c r="J6" s="14"/>
      <c r="K6" s="14"/>
      <c r="L6" s="14"/>
      <c r="M6" s="14"/>
      <c r="N6" s="14"/>
      <c r="O6" s="14"/>
      <c r="P6" s="14"/>
      <c r="Q6" s="14">
        <v>71.959999999999994</v>
      </c>
      <c r="R6" s="14"/>
      <c r="S6" s="14"/>
      <c r="W6" s="11">
        <v>44201</v>
      </c>
      <c r="X6" s="14"/>
      <c r="Y6" s="14"/>
      <c r="Z6" s="14"/>
      <c r="AA6" s="14"/>
      <c r="AB6" s="14"/>
      <c r="AC6" s="14"/>
      <c r="AD6" s="14"/>
      <c r="AE6" s="14"/>
      <c r="AF6" s="14"/>
      <c r="AG6" s="14"/>
      <c r="AH6" s="14"/>
      <c r="AI6" s="14"/>
      <c r="AJ6" s="14"/>
      <c r="AK6" s="14"/>
      <c r="AL6" s="14"/>
      <c r="AM6" s="14"/>
      <c r="AN6" s="14"/>
      <c r="AO6" s="14"/>
    </row>
    <row r="7">
      <c r="A7" s="11">
        <v>44202</v>
      </c>
      <c r="B7" s="5"/>
      <c r="C7" s="5"/>
      <c r="D7" s="5"/>
      <c r="E7" s="5"/>
      <c r="F7" s="5"/>
      <c r="G7" s="5"/>
      <c r="H7" s="5"/>
      <c r="I7" s="5"/>
      <c r="J7" s="5"/>
      <c r="K7" s="5"/>
      <c r="L7" s="5"/>
      <c r="M7" s="5">
        <v>370</v>
      </c>
      <c r="N7" s="5"/>
      <c r="O7" s="5"/>
      <c r="P7" s="5"/>
      <c r="Q7" s="5"/>
      <c r="R7" s="5"/>
      <c r="S7" s="5"/>
      <c r="W7" s="11">
        <v>44202</v>
      </c>
      <c r="X7" s="5"/>
      <c r="Y7" s="5"/>
      <c r="Z7" s="5"/>
      <c r="AA7" s="5"/>
      <c r="AB7" s="5"/>
      <c r="AC7" s="5"/>
      <c r="AD7" s="5"/>
      <c r="AE7" s="5"/>
      <c r="AF7" s="5"/>
      <c r="AG7" s="5"/>
      <c r="AH7" s="5"/>
      <c r="AI7" s="5"/>
      <c r="AJ7" s="5"/>
      <c r="AK7" s="5"/>
      <c r="AL7" s="5"/>
      <c r="AM7" s="5"/>
      <c r="AN7" s="5"/>
      <c r="AO7" s="5"/>
    </row>
    <row r="8">
      <c r="A8" s="11">
        <v>44203</v>
      </c>
      <c r="B8" s="14"/>
      <c r="C8" s="14">
        <v>782.67999999999995</v>
      </c>
      <c r="D8" s="14"/>
      <c r="E8" s="14"/>
      <c r="F8" s="14"/>
      <c r="G8" s="14"/>
      <c r="H8" s="14"/>
      <c r="I8" s="14"/>
      <c r="J8" s="14"/>
      <c r="K8" s="14"/>
      <c r="L8" s="14"/>
      <c r="M8" s="14"/>
      <c r="N8" s="14"/>
      <c r="O8" s="14"/>
      <c r="P8" s="14"/>
      <c r="Q8" s="14"/>
      <c r="R8" s="14"/>
      <c r="S8" s="14"/>
      <c r="W8" s="11">
        <v>44203</v>
      </c>
      <c r="X8" s="14"/>
      <c r="Y8" s="14"/>
      <c r="Z8" s="14"/>
      <c r="AA8" s="14"/>
      <c r="AB8" s="14"/>
      <c r="AC8" s="14"/>
      <c r="AD8" s="14"/>
      <c r="AE8" s="14"/>
      <c r="AF8" s="14"/>
      <c r="AG8" s="14"/>
      <c r="AH8" s="14"/>
      <c r="AI8" s="14"/>
      <c r="AJ8" s="14"/>
      <c r="AK8" s="14"/>
      <c r="AL8" s="14"/>
      <c r="AM8" s="14"/>
      <c r="AN8" s="14"/>
      <c r="AO8" s="14"/>
    </row>
    <row r="9">
      <c r="A9" s="11">
        <v>44204</v>
      </c>
      <c r="B9" s="5">
        <v>20</v>
      </c>
      <c r="C9" s="5">
        <f>154.06-77.92</f>
        <v>76.140000000000001</v>
      </c>
      <c r="D9" s="5">
        <v>525</v>
      </c>
      <c r="E9" s="5"/>
      <c r="F9" s="5"/>
      <c r="G9" s="5"/>
      <c r="H9" s="5"/>
      <c r="I9" s="5"/>
      <c r="J9" s="5"/>
      <c r="K9" s="5"/>
      <c r="L9" s="5"/>
      <c r="M9" s="5"/>
      <c r="N9" s="5"/>
      <c r="O9" s="5"/>
      <c r="P9" s="5"/>
      <c r="Q9" s="5">
        <v>77.920000000000002</v>
      </c>
      <c r="R9" s="5"/>
      <c r="S9" s="5"/>
      <c r="W9" s="11">
        <v>44204</v>
      </c>
      <c r="X9" s="5"/>
      <c r="Y9" s="5"/>
      <c r="Z9" s="5"/>
      <c r="AA9" s="5"/>
      <c r="AB9" s="5"/>
      <c r="AC9" s="5"/>
      <c r="AD9" s="5"/>
      <c r="AE9" s="5"/>
      <c r="AF9" s="5"/>
      <c r="AG9" s="5"/>
      <c r="AH9" s="5"/>
      <c r="AI9" s="5"/>
      <c r="AJ9" s="5"/>
      <c r="AK9" s="5"/>
      <c r="AL9" s="5"/>
      <c r="AM9" s="5"/>
      <c r="AN9" s="5"/>
      <c r="AO9" s="5"/>
    </row>
    <row r="10">
      <c r="A10" s="11">
        <v>44205</v>
      </c>
      <c r="B10" s="14">
        <v>40</v>
      </c>
      <c r="C10" s="14">
        <f>364.38-77.97</f>
        <v>286.40999999999997</v>
      </c>
      <c r="D10" s="14">
        <v>130</v>
      </c>
      <c r="E10" s="14"/>
      <c r="F10" s="14"/>
      <c r="G10" s="14"/>
      <c r="H10" s="14"/>
      <c r="I10" s="14"/>
      <c r="J10" s="14"/>
      <c r="K10" s="14"/>
      <c r="L10" s="14"/>
      <c r="M10" s="14"/>
      <c r="N10" s="14"/>
      <c r="O10" s="14"/>
      <c r="P10" s="14"/>
      <c r="Q10" s="14">
        <v>77.969999999999999</v>
      </c>
      <c r="R10" s="14"/>
      <c r="S10" s="14"/>
      <c r="W10" s="11">
        <v>44205</v>
      </c>
      <c r="X10" s="14"/>
      <c r="Y10" s="14"/>
      <c r="Z10" s="14"/>
      <c r="AA10" s="14"/>
      <c r="AB10" s="14"/>
      <c r="AC10" s="14"/>
      <c r="AD10" s="14"/>
      <c r="AE10" s="14"/>
      <c r="AF10" s="14"/>
      <c r="AG10" s="14"/>
      <c r="AH10" s="14"/>
      <c r="AI10" s="14"/>
      <c r="AJ10" s="14"/>
      <c r="AK10" s="14"/>
      <c r="AL10" s="14"/>
      <c r="AM10" s="14"/>
      <c r="AN10" s="14"/>
      <c r="AO10" s="14"/>
    </row>
    <row r="11">
      <c r="A11" s="11">
        <v>44206</v>
      </c>
      <c r="B11" s="5">
        <v>20</v>
      </c>
      <c r="C11" s="5">
        <v>127.94</v>
      </c>
      <c r="D11" s="5">
        <v>130</v>
      </c>
      <c r="E11" s="5"/>
      <c r="F11" s="5"/>
      <c r="G11" s="5"/>
      <c r="H11" s="5"/>
      <c r="I11" s="5"/>
      <c r="J11" s="5"/>
      <c r="K11" s="5"/>
      <c r="L11" s="5"/>
      <c r="M11" s="5"/>
      <c r="N11" s="5"/>
      <c r="O11" s="5"/>
      <c r="P11" s="5">
        <v>199</v>
      </c>
      <c r="Q11" s="5"/>
      <c r="R11" s="5"/>
      <c r="S11" s="5"/>
      <c r="W11" s="11">
        <v>44206</v>
      </c>
      <c r="X11" s="5"/>
      <c r="Y11" s="5"/>
      <c r="Z11" s="5"/>
      <c r="AA11" s="5"/>
      <c r="AB11" s="5"/>
      <c r="AC11" s="5"/>
      <c r="AD11" s="5"/>
      <c r="AE11" s="5"/>
      <c r="AF11" s="5"/>
      <c r="AG11" s="5"/>
      <c r="AH11" s="5"/>
      <c r="AI11" s="5"/>
      <c r="AJ11" s="5"/>
      <c r="AK11" s="5"/>
      <c r="AL11" s="5"/>
      <c r="AM11" s="5"/>
      <c r="AN11" s="5"/>
      <c r="AO11" s="5"/>
    </row>
    <row r="12">
      <c r="A12" s="11">
        <v>44207</v>
      </c>
      <c r="B12" s="14">
        <f>20+465</f>
        <v>485</v>
      </c>
      <c r="C12" s="14">
        <v>75.900000000000006</v>
      </c>
      <c r="D12" s="14"/>
      <c r="E12" s="14"/>
      <c r="F12" s="14"/>
      <c r="G12" s="14"/>
      <c r="H12" s="14"/>
      <c r="I12" s="14">
        <f>52+41.85</f>
        <v>93.849999999999994</v>
      </c>
      <c r="J12" s="14">
        <v>217</v>
      </c>
      <c r="K12" s="14"/>
      <c r="L12" s="14"/>
      <c r="M12" s="14"/>
      <c r="N12" s="14"/>
      <c r="O12" s="14"/>
      <c r="P12" s="14"/>
      <c r="Q12" s="14"/>
      <c r="R12" s="14"/>
      <c r="S12" s="14"/>
      <c r="W12" s="11">
        <v>44207</v>
      </c>
      <c r="X12" s="14"/>
      <c r="Y12" s="14"/>
      <c r="Z12" s="14"/>
      <c r="AA12" s="14"/>
      <c r="AB12" s="14"/>
      <c r="AC12" s="14"/>
      <c r="AD12" s="14"/>
      <c r="AE12" s="14"/>
      <c r="AF12" s="14"/>
      <c r="AG12" s="14"/>
      <c r="AH12" s="14"/>
      <c r="AI12" s="14"/>
      <c r="AJ12" s="14"/>
      <c r="AK12" s="14"/>
      <c r="AL12" s="14"/>
      <c r="AM12" s="14"/>
      <c r="AN12" s="14"/>
      <c r="AO12" s="14"/>
    </row>
    <row r="13">
      <c r="A13" s="11">
        <v>44208</v>
      </c>
      <c r="B13" s="5">
        <f>74+20</f>
        <v>94</v>
      </c>
      <c r="C13" s="5"/>
      <c r="D13" s="5"/>
      <c r="E13" s="5"/>
      <c r="F13" s="5"/>
      <c r="G13" s="5"/>
      <c r="H13" s="5"/>
      <c r="I13" s="5"/>
      <c r="J13" s="5"/>
      <c r="K13" s="5"/>
      <c r="L13" s="5"/>
      <c r="M13" s="5"/>
      <c r="N13" s="5"/>
      <c r="O13" s="5"/>
      <c r="P13" s="5"/>
      <c r="Q13" s="5"/>
      <c r="R13" s="5"/>
      <c r="S13" s="5"/>
      <c r="W13" s="11">
        <v>44208</v>
      </c>
      <c r="X13" s="5"/>
      <c r="Y13" s="5"/>
      <c r="Z13" s="5"/>
      <c r="AA13" s="5"/>
      <c r="AB13" s="5"/>
      <c r="AC13" s="5"/>
      <c r="AD13" s="5"/>
      <c r="AE13" s="5"/>
      <c r="AF13" s="5"/>
      <c r="AG13" s="5"/>
      <c r="AH13" s="5"/>
      <c r="AI13" s="5"/>
      <c r="AJ13" s="5"/>
      <c r="AK13" s="5"/>
      <c r="AL13" s="5"/>
      <c r="AM13" s="5"/>
      <c r="AN13" s="5"/>
      <c r="AO13" s="5"/>
    </row>
    <row r="14">
      <c r="A14" s="11">
        <v>44209</v>
      </c>
      <c r="B14" s="14">
        <f>30+20+20+70</f>
        <v>140</v>
      </c>
      <c r="C14" s="14">
        <f>237.95+22</f>
        <v>259.94999999999999</v>
      </c>
      <c r="D14" s="14"/>
      <c r="E14" s="14"/>
      <c r="F14" s="14"/>
      <c r="G14" s="14"/>
      <c r="H14" s="14"/>
      <c r="I14" s="14"/>
      <c r="J14" s="14"/>
      <c r="K14" s="14"/>
      <c r="L14" s="14"/>
      <c r="M14" s="14"/>
      <c r="N14" s="14"/>
      <c r="O14" s="14"/>
      <c r="P14" s="14"/>
      <c r="Q14" s="14"/>
      <c r="R14" s="14"/>
      <c r="S14" s="14"/>
      <c r="W14" s="11">
        <v>44209</v>
      </c>
      <c r="X14" s="14"/>
      <c r="Y14" s="14"/>
      <c r="Z14" s="14"/>
      <c r="AA14" s="14"/>
      <c r="AB14" s="14"/>
      <c r="AC14" s="14"/>
      <c r="AD14" s="14"/>
      <c r="AE14" s="14"/>
      <c r="AF14" s="14"/>
      <c r="AG14" s="14"/>
      <c r="AH14" s="14"/>
      <c r="AI14" s="14"/>
      <c r="AJ14" s="14"/>
      <c r="AK14" s="14"/>
      <c r="AL14" s="14"/>
      <c r="AM14" s="14"/>
      <c r="AN14" s="14"/>
      <c r="AO14" s="14"/>
    </row>
    <row r="15">
      <c r="A15" s="11">
        <v>44210</v>
      </c>
      <c r="B15" s="5">
        <v>20</v>
      </c>
      <c r="C15" s="5"/>
      <c r="D15" s="5">
        <v>584</v>
      </c>
      <c r="E15" s="5"/>
      <c r="F15" s="5"/>
      <c r="G15" s="5"/>
      <c r="H15" s="5"/>
      <c r="J15" s="5"/>
      <c r="K15" s="5"/>
      <c r="L15" s="5"/>
      <c r="M15" s="5"/>
      <c r="N15" s="5"/>
      <c r="O15" s="5"/>
      <c r="P15" s="5"/>
      <c r="Q15" s="5"/>
      <c r="R15" s="5"/>
      <c r="S15" s="5"/>
      <c r="W15" s="11">
        <v>44210</v>
      </c>
      <c r="X15" s="5"/>
      <c r="Y15" s="5"/>
      <c r="Z15" s="5"/>
      <c r="AA15" s="5"/>
      <c r="AB15" s="5"/>
      <c r="AC15" s="5"/>
      <c r="AD15" s="5"/>
      <c r="AE15" s="5"/>
      <c r="AF15" s="5"/>
      <c r="AG15" s="5"/>
      <c r="AH15" s="5"/>
      <c r="AI15" s="5"/>
      <c r="AJ15" s="5"/>
      <c r="AK15" s="5"/>
      <c r="AL15" s="5"/>
      <c r="AM15" s="5"/>
      <c r="AN15" s="5"/>
      <c r="AO15" s="5"/>
    </row>
    <row r="16">
      <c r="A16" s="11">
        <v>44211</v>
      </c>
      <c r="B16" s="14">
        <v>20</v>
      </c>
      <c r="C16" s="14"/>
      <c r="D16" s="14"/>
      <c r="E16" s="14"/>
      <c r="F16" s="14"/>
      <c r="G16" s="14"/>
      <c r="H16" s="14"/>
      <c r="I16" s="14"/>
      <c r="J16" s="14"/>
      <c r="K16" s="14"/>
      <c r="L16" s="14"/>
      <c r="M16" s="14"/>
      <c r="N16" s="14"/>
      <c r="O16" s="14"/>
      <c r="P16" s="14"/>
      <c r="Q16" s="14"/>
      <c r="R16" s="14"/>
      <c r="S16" s="14"/>
      <c r="W16" s="11">
        <v>44211</v>
      </c>
      <c r="X16" s="14"/>
      <c r="Y16" s="14"/>
      <c r="Z16" s="14"/>
      <c r="AA16" s="14"/>
      <c r="AB16" s="14"/>
      <c r="AC16" s="14"/>
      <c r="AD16" s="14"/>
      <c r="AE16" s="14"/>
      <c r="AF16" s="14"/>
      <c r="AG16" s="14"/>
      <c r="AH16" s="14"/>
      <c r="AI16" s="14"/>
      <c r="AJ16" s="14"/>
      <c r="AK16" s="14"/>
      <c r="AL16" s="14"/>
      <c r="AM16" s="14"/>
      <c r="AN16" s="14"/>
      <c r="AO16" s="14"/>
    </row>
    <row r="17">
      <c r="A17" s="11">
        <v>44212</v>
      </c>
      <c r="B17" s="5">
        <v>40</v>
      </c>
      <c r="C17" s="5">
        <v>937.64999999999998</v>
      </c>
      <c r="D17" s="5"/>
      <c r="E17" s="5"/>
      <c r="F17" s="5"/>
      <c r="G17" s="5"/>
      <c r="H17" s="5"/>
      <c r="I17" s="5"/>
      <c r="J17" s="5"/>
      <c r="K17" s="5"/>
      <c r="L17" s="5"/>
      <c r="M17" s="5"/>
      <c r="N17" s="5"/>
      <c r="O17" s="5"/>
      <c r="P17" s="5"/>
      <c r="Q17" s="5"/>
      <c r="R17" s="5"/>
      <c r="S17" s="5"/>
      <c r="W17" s="11">
        <v>44212</v>
      </c>
      <c r="X17" s="5"/>
      <c r="Y17" s="5"/>
      <c r="Z17" s="5"/>
      <c r="AA17" s="5"/>
      <c r="AB17" s="5"/>
      <c r="AC17" s="5"/>
      <c r="AD17" s="5"/>
      <c r="AE17" s="5"/>
      <c r="AF17" s="5"/>
      <c r="AG17" s="5"/>
      <c r="AH17" s="5"/>
      <c r="AI17" s="5"/>
      <c r="AJ17" s="5"/>
      <c r="AK17" s="5"/>
      <c r="AL17" s="5"/>
      <c r="AM17" s="5"/>
      <c r="AN17" s="5"/>
      <c r="AO17" s="5"/>
    </row>
    <row r="18">
      <c r="A18" s="11">
        <v>44213</v>
      </c>
      <c r="B18" s="14">
        <f>20+20</f>
        <v>40</v>
      </c>
      <c r="C18" s="14"/>
      <c r="D18" s="14">
        <v>100</v>
      </c>
      <c r="E18" s="14"/>
      <c r="F18" s="14"/>
      <c r="G18" s="14"/>
      <c r="H18" s="14"/>
      <c r="I18" s="14"/>
      <c r="J18" s="14"/>
      <c r="K18" s="14"/>
      <c r="L18" s="14"/>
      <c r="M18" s="14"/>
      <c r="N18" s="14"/>
      <c r="O18" s="14"/>
      <c r="P18" s="14"/>
      <c r="Q18" s="14"/>
      <c r="R18" s="14"/>
      <c r="S18" s="14"/>
      <c r="W18" s="11">
        <v>44213</v>
      </c>
      <c r="X18" s="14"/>
      <c r="Y18" s="14"/>
      <c r="Z18" s="14"/>
      <c r="AA18" s="14"/>
      <c r="AB18" s="14"/>
      <c r="AC18" s="14"/>
      <c r="AD18" s="14"/>
      <c r="AE18" s="14"/>
      <c r="AF18" s="14"/>
      <c r="AG18" s="14"/>
      <c r="AH18" s="14"/>
      <c r="AI18" s="14"/>
      <c r="AJ18" s="14"/>
      <c r="AK18" s="14"/>
      <c r="AL18" s="14"/>
      <c r="AM18" s="14"/>
      <c r="AN18" s="14"/>
      <c r="AO18" s="14"/>
    </row>
    <row r="19">
      <c r="A19" s="11">
        <v>44214</v>
      </c>
      <c r="B19" s="5">
        <v>20</v>
      </c>
      <c r="C19" s="5">
        <v>159.97999999999999</v>
      </c>
      <c r="D19" s="5">
        <v>367</v>
      </c>
      <c r="E19" s="5"/>
      <c r="F19" s="5"/>
      <c r="G19" s="5"/>
      <c r="H19" s="5"/>
      <c r="I19" s="5">
        <v>576</v>
      </c>
      <c r="J19" s="5"/>
      <c r="K19" s="5"/>
      <c r="L19" s="5"/>
      <c r="M19" s="5"/>
      <c r="N19" s="5"/>
      <c r="O19" s="5"/>
      <c r="P19" s="5"/>
      <c r="Q19" s="5"/>
      <c r="R19" s="5"/>
      <c r="S19" s="5"/>
      <c r="W19" s="11">
        <v>44214</v>
      </c>
      <c r="X19" s="5"/>
      <c r="Y19" s="5"/>
      <c r="Z19" s="5"/>
      <c r="AA19" s="5"/>
      <c r="AB19" s="5"/>
      <c r="AC19" s="5"/>
      <c r="AD19" s="5"/>
      <c r="AE19" s="5"/>
      <c r="AF19" s="5"/>
      <c r="AG19" s="5"/>
      <c r="AH19" s="5"/>
      <c r="AI19" s="5"/>
      <c r="AJ19" s="5"/>
      <c r="AK19" s="5"/>
      <c r="AL19" s="5"/>
      <c r="AM19" s="5"/>
      <c r="AN19" s="5"/>
      <c r="AO19" s="5"/>
    </row>
    <row r="20">
      <c r="A20" s="11">
        <v>44215</v>
      </c>
      <c r="B20" s="14">
        <v>20</v>
      </c>
      <c r="C20" s="14">
        <f>619.89-77.97</f>
        <v>541.91999999999996</v>
      </c>
      <c r="D20" s="14">
        <v>120</v>
      </c>
      <c r="E20" s="14"/>
      <c r="F20" s="14"/>
      <c r="G20" s="14"/>
      <c r="H20" s="14"/>
      <c r="I20" s="14"/>
      <c r="J20" s="14"/>
      <c r="K20" s="14"/>
      <c r="L20" s="14"/>
      <c r="M20" s="14"/>
      <c r="N20" s="14"/>
      <c r="O20" s="14"/>
      <c r="P20" s="34"/>
      <c r="Q20" s="14">
        <v>77.969999999999999</v>
      </c>
      <c r="R20" s="14"/>
      <c r="S20" s="14"/>
      <c r="W20" s="11">
        <v>44215</v>
      </c>
      <c r="X20" s="14"/>
      <c r="Y20" s="14"/>
      <c r="Z20" s="14"/>
      <c r="AA20" s="14"/>
      <c r="AB20" s="14"/>
      <c r="AC20" s="14"/>
      <c r="AD20" s="14"/>
      <c r="AE20" s="14"/>
      <c r="AF20" s="14"/>
      <c r="AG20" s="14"/>
      <c r="AH20" s="14"/>
      <c r="AI20" s="14"/>
      <c r="AJ20" s="14"/>
      <c r="AK20" s="14"/>
      <c r="AL20" s="34"/>
      <c r="AM20" s="14"/>
      <c r="AN20" s="14"/>
      <c r="AO20" s="14"/>
    </row>
    <row r="21">
      <c r="A21" s="11">
        <v>44216</v>
      </c>
      <c r="B21" s="35"/>
      <c r="C21" s="5"/>
      <c r="D21" s="5"/>
      <c r="E21" s="5"/>
      <c r="F21" s="5"/>
      <c r="G21" s="5"/>
      <c r="H21" s="5"/>
      <c r="I21" s="5"/>
      <c r="J21" s="5"/>
      <c r="K21" s="5"/>
      <c r="L21" s="5"/>
      <c r="M21" s="5"/>
      <c r="N21" s="5"/>
      <c r="O21" s="5"/>
      <c r="P21" s="5"/>
      <c r="Q21" s="5"/>
      <c r="R21" s="5"/>
      <c r="S21" s="5"/>
      <c r="W21" s="11">
        <v>44216</v>
      </c>
      <c r="X21" s="35"/>
      <c r="Y21" s="5"/>
      <c r="Z21" s="5"/>
      <c r="AA21" s="5"/>
      <c r="AB21" s="5"/>
      <c r="AC21" s="5"/>
      <c r="AD21" s="5"/>
      <c r="AE21" s="5"/>
      <c r="AF21" s="5"/>
      <c r="AG21" s="5"/>
      <c r="AH21" s="5"/>
      <c r="AI21" s="5"/>
      <c r="AJ21" s="5"/>
      <c r="AK21" s="5"/>
      <c r="AL21" s="5"/>
      <c r="AM21" s="5"/>
      <c r="AN21" s="5"/>
      <c r="AO21" s="5"/>
    </row>
    <row r="22">
      <c r="A22" s="11">
        <v>44217</v>
      </c>
      <c r="B22" s="14">
        <v>40</v>
      </c>
      <c r="C22" s="36">
        <v>79.900000000000006</v>
      </c>
      <c r="D22" s="36"/>
      <c r="E22" s="14"/>
      <c r="F22" s="14"/>
      <c r="G22" s="14"/>
      <c r="H22" s="14"/>
      <c r="I22" s="14"/>
      <c r="J22" s="14"/>
      <c r="K22" s="14"/>
      <c r="L22" s="14"/>
      <c r="M22" s="14"/>
      <c r="N22" s="14"/>
      <c r="O22" s="14"/>
      <c r="P22" s="14"/>
      <c r="Q22" s="14"/>
      <c r="R22" s="14"/>
      <c r="S22" s="14"/>
      <c r="W22" s="11">
        <v>44217</v>
      </c>
      <c r="X22" s="14"/>
      <c r="Y22" s="36"/>
      <c r="Z22" s="36"/>
      <c r="AA22" s="14"/>
      <c r="AB22" s="14"/>
      <c r="AC22" s="14"/>
      <c r="AD22" s="14"/>
      <c r="AE22" s="14"/>
      <c r="AF22" s="14"/>
      <c r="AG22" s="14"/>
      <c r="AH22" s="14"/>
      <c r="AI22" s="14"/>
      <c r="AJ22" s="14"/>
      <c r="AK22" s="14"/>
      <c r="AL22" s="14"/>
      <c r="AM22" s="14"/>
      <c r="AN22" s="14"/>
      <c r="AO22" s="14"/>
    </row>
    <row r="23">
      <c r="A23" s="11">
        <v>44218</v>
      </c>
      <c r="B23" s="5">
        <f>30+30+20</f>
        <v>80</v>
      </c>
      <c r="E23" s="5"/>
      <c r="F23" s="5"/>
      <c r="G23" s="5"/>
      <c r="H23" s="5"/>
      <c r="I23" s="5"/>
      <c r="J23" s="5"/>
      <c r="K23" s="5"/>
      <c r="L23" s="5"/>
      <c r="M23" s="5">
        <v>100</v>
      </c>
      <c r="N23" s="5"/>
      <c r="O23" s="5"/>
      <c r="P23" s="5"/>
      <c r="Q23" s="5"/>
      <c r="R23" s="5"/>
      <c r="S23" s="5"/>
      <c r="W23" s="11">
        <v>44218</v>
      </c>
      <c r="X23" s="5"/>
      <c r="Y23" s="41"/>
      <c r="Z23" s="42"/>
      <c r="AA23" s="5"/>
      <c r="AB23" s="5"/>
      <c r="AC23" s="5"/>
      <c r="AD23" s="5"/>
      <c r="AE23" s="5"/>
      <c r="AF23" s="5"/>
      <c r="AG23" s="5"/>
      <c r="AH23" s="5"/>
      <c r="AI23" s="5"/>
      <c r="AJ23" s="5"/>
      <c r="AK23" s="5"/>
      <c r="AL23" s="5"/>
      <c r="AM23" s="5"/>
      <c r="AN23" s="5"/>
      <c r="AO23" s="5"/>
    </row>
    <row r="24">
      <c r="A24" s="11">
        <v>44219</v>
      </c>
      <c r="B24" s="14"/>
      <c r="C24" s="14">
        <f>279.96+821.54-50.97-50.97</f>
        <v>999.55999999999995</v>
      </c>
      <c r="D24" s="14">
        <v>240</v>
      </c>
      <c r="E24" s="14"/>
      <c r="F24" s="14"/>
      <c r="G24" s="14"/>
      <c r="H24" s="14"/>
      <c r="I24" s="14"/>
      <c r="J24" s="14"/>
      <c r="K24" s="14"/>
      <c r="L24" s="14"/>
      <c r="M24" s="14"/>
      <c r="N24" s="14"/>
      <c r="O24" s="14"/>
      <c r="P24" s="14"/>
      <c r="Q24" s="14">
        <f>50.97+50.97</f>
        <v>101.94</v>
      </c>
      <c r="R24" s="14"/>
      <c r="S24" s="14"/>
      <c r="W24" s="11">
        <v>44219</v>
      </c>
      <c r="X24" s="14"/>
      <c r="Y24" s="14"/>
      <c r="Z24" s="14"/>
      <c r="AA24" s="14"/>
      <c r="AB24" s="14"/>
      <c r="AC24" s="14"/>
      <c r="AD24" s="14"/>
      <c r="AE24" s="14"/>
      <c r="AF24" s="14"/>
      <c r="AG24" s="14"/>
      <c r="AH24" s="14"/>
      <c r="AI24" s="14"/>
      <c r="AJ24" s="14"/>
      <c r="AK24" s="14"/>
      <c r="AL24" s="14"/>
      <c r="AM24" s="14"/>
      <c r="AN24" s="14"/>
      <c r="AO24" s="14"/>
    </row>
    <row r="25">
      <c r="A25" s="11">
        <v>44220</v>
      </c>
      <c r="C25" s="5">
        <v>228.96000000000001</v>
      </c>
      <c r="D25" s="5">
        <f>369-163</f>
        <v>206</v>
      </c>
      <c r="E25" s="5"/>
      <c r="F25" s="5"/>
      <c r="G25" s="5"/>
      <c r="H25" s="5"/>
      <c r="I25" s="5">
        <v>250</v>
      </c>
      <c r="J25" s="5"/>
      <c r="K25" s="5"/>
      <c r="L25" s="5"/>
      <c r="M25" s="5"/>
      <c r="N25" s="5"/>
      <c r="O25" s="5"/>
      <c r="P25" s="5"/>
      <c r="Q25" s="5"/>
      <c r="R25" s="5"/>
      <c r="S25" s="5"/>
      <c r="W25" s="11">
        <v>44220</v>
      </c>
      <c r="X25" s="42"/>
      <c r="Y25" s="5"/>
      <c r="Z25" s="5"/>
      <c r="AA25" s="5"/>
      <c r="AB25" s="5"/>
      <c r="AC25" s="5"/>
      <c r="AD25" s="5"/>
      <c r="AE25" s="5"/>
      <c r="AF25" s="5"/>
      <c r="AG25" s="5"/>
      <c r="AH25" s="5"/>
      <c r="AI25" s="5"/>
      <c r="AJ25" s="5"/>
      <c r="AK25" s="5"/>
      <c r="AL25" s="5"/>
      <c r="AM25" s="5"/>
      <c r="AN25" s="5"/>
      <c r="AO25" s="5"/>
    </row>
    <row r="26">
      <c r="A26" s="11">
        <v>44221</v>
      </c>
      <c r="B26" s="14">
        <v>40</v>
      </c>
      <c r="C26" s="14">
        <f>175+138.64</f>
        <v>313.63999999999999</v>
      </c>
      <c r="D26" s="14"/>
      <c r="E26" s="14"/>
      <c r="F26" s="14"/>
      <c r="G26" s="14"/>
      <c r="H26" s="14"/>
      <c r="I26" s="14">
        <v>205.5</v>
      </c>
      <c r="J26" s="14">
        <v>127</v>
      </c>
      <c r="K26" s="14"/>
      <c r="L26" s="14"/>
      <c r="M26" s="14"/>
      <c r="N26" s="14"/>
      <c r="O26" s="14"/>
      <c r="P26" s="14"/>
      <c r="Q26" s="14"/>
      <c r="R26" s="14"/>
      <c r="S26" s="14"/>
      <c r="W26" s="11">
        <v>44221</v>
      </c>
      <c r="X26" s="14"/>
      <c r="Y26" s="14"/>
      <c r="Z26" s="14"/>
      <c r="AA26" s="14"/>
      <c r="AB26" s="14"/>
      <c r="AC26" s="14"/>
      <c r="AD26" s="14"/>
      <c r="AE26" s="14"/>
      <c r="AF26" s="14"/>
      <c r="AG26" s="14"/>
      <c r="AH26" s="14"/>
      <c r="AI26" s="14"/>
      <c r="AJ26" s="14"/>
      <c r="AK26" s="14"/>
      <c r="AL26" s="14"/>
      <c r="AM26" s="14"/>
      <c r="AN26" s="14"/>
      <c r="AO26" s="14"/>
    </row>
    <row r="27">
      <c r="A27" s="11">
        <v>44222</v>
      </c>
      <c r="B27" s="5">
        <f>30+30+20+20+40+40</f>
        <v>180</v>
      </c>
      <c r="C27" s="5">
        <v>245.41</v>
      </c>
      <c r="D27" s="5"/>
      <c r="E27" s="5"/>
      <c r="F27" s="5"/>
      <c r="G27" s="5"/>
      <c r="H27" s="5"/>
      <c r="I27" s="5">
        <v>1006</v>
      </c>
      <c r="J27" s="5"/>
      <c r="K27" s="5"/>
      <c r="L27" s="5"/>
      <c r="M27" s="5"/>
      <c r="N27" s="5"/>
      <c r="O27" s="5"/>
      <c r="P27" s="5"/>
      <c r="Q27" s="5"/>
      <c r="R27" s="5"/>
      <c r="S27" s="5"/>
      <c r="W27" s="11">
        <v>44222</v>
      </c>
      <c r="X27" s="5"/>
      <c r="Y27" s="5"/>
      <c r="Z27" s="5"/>
      <c r="AA27" s="5"/>
      <c r="AB27" s="5"/>
      <c r="AC27" s="5"/>
      <c r="AD27" s="5"/>
      <c r="AE27" s="5"/>
      <c r="AF27" s="5"/>
      <c r="AG27" s="5"/>
      <c r="AH27" s="5"/>
      <c r="AI27" s="5"/>
      <c r="AJ27" s="5"/>
      <c r="AK27" s="5"/>
      <c r="AL27" s="5"/>
      <c r="AM27" s="5"/>
      <c r="AN27" s="5"/>
      <c r="AO27" s="5"/>
    </row>
    <row r="28">
      <c r="A28" s="11">
        <v>44223</v>
      </c>
      <c r="B28" s="14">
        <v>20</v>
      </c>
      <c r="C28" s="14"/>
      <c r="D28" s="14">
        <v>120</v>
      </c>
      <c r="E28" s="14"/>
      <c r="F28" s="14"/>
      <c r="G28" s="14"/>
      <c r="H28" s="14"/>
      <c r="I28" s="14"/>
      <c r="J28" s="14"/>
      <c r="K28" s="14"/>
      <c r="L28" s="14"/>
      <c r="M28" s="14"/>
      <c r="N28" s="14"/>
      <c r="O28" s="14"/>
      <c r="P28" s="14"/>
      <c r="Q28" s="14"/>
      <c r="R28" s="14"/>
      <c r="S28" s="14"/>
      <c r="W28" s="11">
        <v>44223</v>
      </c>
      <c r="X28" s="14"/>
      <c r="Y28" s="14"/>
      <c r="Z28" s="14"/>
      <c r="AA28" s="14"/>
      <c r="AB28" s="14"/>
      <c r="AC28" s="14"/>
      <c r="AD28" s="14"/>
      <c r="AE28" s="14"/>
      <c r="AF28" s="14"/>
      <c r="AG28" s="14"/>
      <c r="AH28" s="14"/>
      <c r="AI28" s="14"/>
      <c r="AJ28" s="14"/>
      <c r="AK28" s="14"/>
      <c r="AL28" s="14"/>
      <c r="AM28" s="14"/>
      <c r="AN28" s="14"/>
      <c r="AO28" s="14"/>
    </row>
    <row r="29">
      <c r="A29" s="11">
        <v>44224</v>
      </c>
      <c r="B29" s="5">
        <f>190+145+30+30</f>
        <v>395</v>
      </c>
      <c r="C29" s="5"/>
      <c r="D29" s="5">
        <f>45+390</f>
        <v>435</v>
      </c>
      <c r="E29" s="5"/>
      <c r="F29" s="5">
        <f>171+65</f>
        <v>236</v>
      </c>
      <c r="G29" s="5"/>
      <c r="H29" s="5"/>
      <c r="I29" s="5">
        <v>44.369999999999997</v>
      </c>
      <c r="J29" s="5"/>
      <c r="K29" s="5">
        <v>600</v>
      </c>
      <c r="L29" s="5"/>
      <c r="M29" s="5"/>
      <c r="N29" s="5"/>
      <c r="O29" s="5"/>
      <c r="P29" s="5"/>
      <c r="Q29" s="5"/>
      <c r="R29" s="5"/>
      <c r="S29" s="5"/>
      <c r="W29" s="11">
        <v>44224</v>
      </c>
      <c r="X29" s="5"/>
      <c r="Y29" s="5"/>
      <c r="Z29" s="5"/>
      <c r="AA29" s="5"/>
      <c r="AB29" s="5"/>
      <c r="AC29" s="5"/>
      <c r="AD29" s="5"/>
      <c r="AE29" s="5"/>
      <c r="AF29" s="5"/>
      <c r="AG29" s="5"/>
      <c r="AH29" s="5"/>
      <c r="AI29" s="5"/>
      <c r="AJ29" s="5"/>
      <c r="AK29" s="5"/>
      <c r="AL29" s="5"/>
      <c r="AM29" s="5"/>
      <c r="AN29" s="5"/>
      <c r="AO29" s="5"/>
    </row>
    <row r="30">
      <c r="A30" s="11">
        <v>44225</v>
      </c>
      <c r="B30" s="14">
        <v>20</v>
      </c>
      <c r="C30" s="14">
        <v>229.97</v>
      </c>
      <c r="D30" s="14"/>
      <c r="E30" s="14"/>
      <c r="F30" s="14"/>
      <c r="G30" s="14"/>
      <c r="H30" s="14"/>
      <c r="I30" s="14"/>
      <c r="J30" s="14"/>
      <c r="K30" s="14"/>
      <c r="L30" s="14"/>
      <c r="M30" s="14"/>
      <c r="N30" s="14"/>
      <c r="O30" s="14"/>
      <c r="P30" s="14"/>
      <c r="Q30" s="14"/>
      <c r="R30" s="14"/>
      <c r="S30" s="14"/>
      <c r="W30" s="11">
        <v>44225</v>
      </c>
      <c r="X30" s="14"/>
      <c r="Y30" s="14"/>
      <c r="Z30" s="14"/>
      <c r="AA30" s="14"/>
      <c r="AB30" s="14"/>
      <c r="AC30" s="14"/>
      <c r="AD30" s="14"/>
      <c r="AE30" s="14"/>
      <c r="AF30" s="14"/>
      <c r="AG30" s="14"/>
      <c r="AH30" s="14"/>
      <c r="AI30" s="14"/>
      <c r="AJ30" s="14"/>
      <c r="AK30" s="14"/>
      <c r="AL30" s="14"/>
      <c r="AM30" s="14"/>
      <c r="AN30" s="14"/>
      <c r="AO30" s="14"/>
    </row>
    <row r="31">
      <c r="A31" s="11">
        <v>44226</v>
      </c>
      <c r="B31" s="3"/>
      <c r="C31" s="3">
        <f>294.75-71.97+48.35-50+120-120</f>
        <v>221.13</v>
      </c>
      <c r="D31" s="3">
        <f>413-167</f>
        <v>246</v>
      </c>
      <c r="E31" s="3"/>
      <c r="F31" s="3">
        <v>199</v>
      </c>
      <c r="G31" s="3"/>
      <c r="H31" s="3"/>
      <c r="I31" s="3"/>
      <c r="J31" s="3"/>
      <c r="K31" s="3"/>
      <c r="L31" s="3"/>
      <c r="M31" s="3"/>
      <c r="N31" s="3"/>
      <c r="O31" s="3"/>
      <c r="P31" s="3"/>
      <c r="Q31" s="3">
        <v>71.969999999999999</v>
      </c>
      <c r="R31" s="3"/>
      <c r="S31" s="3"/>
      <c r="W31" s="11">
        <v>44226</v>
      </c>
      <c r="X31" s="3"/>
      <c r="Y31" s="3"/>
      <c r="Z31" s="3"/>
      <c r="AA31" s="3"/>
      <c r="AB31" s="3"/>
      <c r="AC31" s="3"/>
      <c r="AD31" s="3"/>
      <c r="AE31" s="3"/>
      <c r="AF31" s="3"/>
      <c r="AG31" s="3"/>
      <c r="AH31" s="3"/>
      <c r="AI31" s="3"/>
      <c r="AJ31" s="3"/>
      <c r="AK31" s="3"/>
      <c r="AL31" s="3"/>
      <c r="AM31" s="3"/>
      <c r="AN31" s="3"/>
      <c r="AO31" s="3"/>
    </row>
    <row r="32">
      <c r="A32" s="11">
        <v>44227</v>
      </c>
      <c r="B32" s="22"/>
      <c r="C32" s="22">
        <f>64+47.98</f>
        <v>111.97999999999999</v>
      </c>
      <c r="D32" s="22"/>
      <c r="E32" s="22"/>
      <c r="F32" s="22"/>
      <c r="G32" s="22"/>
      <c r="H32" s="22"/>
      <c r="I32" s="22">
        <v>179</v>
      </c>
      <c r="J32" s="22"/>
      <c r="K32" s="22"/>
      <c r="L32" s="22"/>
      <c r="M32" s="22"/>
      <c r="N32" s="22"/>
      <c r="O32" s="22"/>
      <c r="P32" s="22"/>
      <c r="Q32" s="22"/>
      <c r="R32" s="22"/>
      <c r="S32" s="22"/>
      <c r="W32" s="11">
        <v>44227</v>
      </c>
      <c r="X32" s="22"/>
      <c r="Y32" s="22"/>
      <c r="Z32" s="22"/>
      <c r="AA32" s="22"/>
      <c r="AB32" s="22"/>
      <c r="AC32" s="22"/>
      <c r="AD32" s="22"/>
      <c r="AE32" s="22"/>
      <c r="AF32" s="22"/>
      <c r="AG32" s="22"/>
      <c r="AH32" s="22"/>
      <c r="AI32" s="22"/>
      <c r="AJ32" s="22"/>
      <c r="AK32" s="22"/>
      <c r="AL32" s="22"/>
      <c r="AM32" s="22"/>
      <c r="AN32" s="22"/>
      <c r="AO32" s="22"/>
    </row>
    <row r="33">
      <c r="A33" s="7"/>
      <c r="B33" s="7">
        <f>SUM(B2:B32)</f>
        <v>1814</v>
      </c>
      <c r="C33" s="7">
        <f t="shared" ref="C33:Q33" si="40">SUM(C2:C32)</f>
        <v>7210.8400000000001</v>
      </c>
      <c r="D33" s="7">
        <f t="shared" si="40"/>
        <v>3203</v>
      </c>
      <c r="E33" s="7">
        <f t="shared" si="40"/>
        <v>0</v>
      </c>
      <c r="F33" s="7">
        <f t="shared" si="40"/>
        <v>386</v>
      </c>
      <c r="G33" s="7">
        <f t="shared" si="40"/>
        <v>0</v>
      </c>
      <c r="H33" s="7">
        <f t="shared" si="40"/>
        <v>0</v>
      </c>
      <c r="I33" s="7">
        <f t="shared" si="40"/>
        <v>2354.7199999999998</v>
      </c>
      <c r="J33" s="7">
        <f t="shared" si="40"/>
        <v>344</v>
      </c>
      <c r="K33" s="7">
        <f t="shared" si="40"/>
        <v>600</v>
      </c>
      <c r="L33" s="7">
        <f t="shared" si="40"/>
        <v>1280</v>
      </c>
      <c r="M33" s="7">
        <f t="shared" si="40"/>
        <v>470</v>
      </c>
      <c r="N33" s="7">
        <f t="shared" si="40"/>
        <v>0</v>
      </c>
      <c r="O33" s="7">
        <f t="shared" si="40"/>
        <v>0</v>
      </c>
      <c r="P33" s="7">
        <f t="shared" si="40"/>
        <v>199</v>
      </c>
      <c r="Q33" s="7">
        <f t="shared" si="40"/>
        <v>479.73000000000002</v>
      </c>
      <c r="R33" s="7" t="s">
        <v>14</v>
      </c>
      <c r="S33" s="7">
        <f>SUM(B33:Q33)</f>
        <v>18341.289999999997</v>
      </c>
      <c r="W33" s="7"/>
      <c r="X33" s="7">
        <f t="shared" ref="X33:AM33" si="41">SUM(X2:X32)</f>
        <v>0</v>
      </c>
      <c r="Y33" s="7">
        <f t="shared" si="41"/>
        <v>0</v>
      </c>
      <c r="Z33" s="7">
        <f t="shared" si="41"/>
        <v>0</v>
      </c>
      <c r="AA33" s="7">
        <f t="shared" si="41"/>
        <v>0</v>
      </c>
      <c r="AB33" s="7">
        <f t="shared" si="41"/>
        <v>0</v>
      </c>
      <c r="AC33" s="7">
        <f t="shared" si="41"/>
        <v>0</v>
      </c>
      <c r="AD33" s="7">
        <f t="shared" si="41"/>
        <v>0</v>
      </c>
      <c r="AE33" s="7">
        <f t="shared" si="41"/>
        <v>0</v>
      </c>
      <c r="AF33" s="7">
        <f t="shared" si="41"/>
        <v>0</v>
      </c>
      <c r="AG33" s="7">
        <f t="shared" si="41"/>
        <v>0</v>
      </c>
      <c r="AH33" s="7">
        <f t="shared" si="41"/>
        <v>0</v>
      </c>
      <c r="AI33" s="7">
        <f t="shared" si="41"/>
        <v>0</v>
      </c>
      <c r="AJ33" s="7">
        <f t="shared" si="41"/>
        <v>0</v>
      </c>
      <c r="AK33" s="7">
        <f t="shared" si="41"/>
        <v>0</v>
      </c>
      <c r="AL33" s="7">
        <f t="shared" si="41"/>
        <v>0</v>
      </c>
      <c r="AM33" s="7">
        <f t="shared" si="41"/>
        <v>0</v>
      </c>
      <c r="AN33" s="7" t="s">
        <v>14</v>
      </c>
      <c r="AO33" s="7">
        <f>SUM(X33:AM33)</f>
        <v>0</v>
      </c>
    </row>
    <row r="34">
      <c r="A34" s="8"/>
      <c r="B34" s="8"/>
      <c r="C34" s="8"/>
      <c r="D34" s="8"/>
      <c r="E34" s="8"/>
      <c r="F34" s="8"/>
      <c r="G34" s="8"/>
      <c r="H34" s="8"/>
      <c r="I34" s="8"/>
      <c r="J34" s="9"/>
      <c r="K34" s="9"/>
      <c r="L34" s="9"/>
      <c r="M34" s="9"/>
      <c r="N34" s="9"/>
      <c r="O34" s="9"/>
      <c r="P34" s="9"/>
      <c r="Q34" s="9"/>
      <c r="R34" s="9"/>
      <c r="S34" s="9"/>
      <c r="W34" s="8"/>
      <c r="X34" s="8"/>
      <c r="Y34" s="8"/>
      <c r="Z34" s="8"/>
      <c r="AA34" s="8"/>
      <c r="AB34" s="8"/>
      <c r="AC34" s="8"/>
      <c r="AD34" s="8"/>
      <c r="AE34" s="8"/>
      <c r="AF34" s="43"/>
      <c r="AG34" s="44"/>
      <c r="AH34" s="44"/>
      <c r="AI34" s="44"/>
      <c r="AJ34" s="44"/>
      <c r="AK34" s="44"/>
      <c r="AL34" s="44"/>
      <c r="AM34" s="44"/>
      <c r="AN34" s="44"/>
      <c r="AO34" s="44"/>
    </row>
    <row r="35">
      <c r="A35" s="10" t="s">
        <v>0</v>
      </c>
      <c r="B35" s="10" t="s">
        <v>50</v>
      </c>
      <c r="C35" s="10" t="s">
        <v>13</v>
      </c>
      <c r="D35" s="10" t="s">
        <v>11</v>
      </c>
      <c r="E35" s="10" t="s">
        <v>51</v>
      </c>
      <c r="F35" s="10" t="s">
        <v>52</v>
      </c>
      <c r="G35" s="10" t="s">
        <v>53</v>
      </c>
      <c r="H35" s="10" t="s">
        <v>54</v>
      </c>
      <c r="I35" s="10" t="s">
        <v>55</v>
      </c>
      <c r="W35" s="10" t="s">
        <v>0</v>
      </c>
      <c r="X35" s="10" t="s">
        <v>50</v>
      </c>
      <c r="Y35" s="10" t="s">
        <v>13</v>
      </c>
      <c r="Z35" s="10" t="s">
        <v>11</v>
      </c>
      <c r="AA35" s="10" t="s">
        <v>51</v>
      </c>
      <c r="AB35" s="10" t="s">
        <v>52</v>
      </c>
      <c r="AC35" s="10" t="s">
        <v>53</v>
      </c>
      <c r="AD35" s="10" t="s">
        <v>54</v>
      </c>
      <c r="AE35" s="10" t="s">
        <v>55</v>
      </c>
    </row>
    <row r="36">
      <c r="A36" s="11">
        <v>44197</v>
      </c>
      <c r="B36" s="14"/>
      <c r="C36" s="14"/>
      <c r="D36" s="14"/>
      <c r="E36" s="14"/>
      <c r="F36" s="14">
        <v>1001</v>
      </c>
      <c r="G36" s="14"/>
      <c r="H36" s="14"/>
      <c r="I36" s="14"/>
      <c r="N36" s="13"/>
      <c r="O36" s="13"/>
      <c r="R36" s="31" t="s">
        <v>40</v>
      </c>
      <c r="W36" s="11">
        <v>44197</v>
      </c>
      <c r="X36" s="14"/>
      <c r="Y36" s="14"/>
      <c r="Z36" s="14"/>
      <c r="AA36" s="14"/>
      <c r="AB36" s="14"/>
      <c r="AC36" s="14"/>
      <c r="AD36" s="14"/>
      <c r="AE36" s="14"/>
    </row>
    <row r="37">
      <c r="A37" s="11">
        <v>44198</v>
      </c>
      <c r="B37" s="5"/>
      <c r="C37" s="5"/>
      <c r="D37" s="5"/>
      <c r="E37" s="5"/>
      <c r="F37" s="5"/>
      <c r="G37" s="5"/>
      <c r="H37" s="5"/>
      <c r="I37" s="5"/>
      <c r="R37" s="31">
        <v>409</v>
      </c>
      <c r="S37" s="31" t="s">
        <v>37</v>
      </c>
      <c r="W37" s="11">
        <v>44198</v>
      </c>
      <c r="X37" s="5"/>
      <c r="Y37" s="5"/>
      <c r="Z37" s="5"/>
      <c r="AA37" s="5"/>
      <c r="AB37" s="5"/>
      <c r="AC37" s="5"/>
      <c r="AD37" s="5"/>
      <c r="AE37" s="5"/>
    </row>
    <row r="38">
      <c r="A38" s="11">
        <v>44199</v>
      </c>
      <c r="B38" s="14"/>
      <c r="C38" s="14"/>
      <c r="D38" s="14">
        <v>1000</v>
      </c>
      <c r="E38" s="14"/>
      <c r="F38" s="14"/>
      <c r="G38" s="14"/>
      <c r="H38" s="14"/>
      <c r="I38" s="14"/>
      <c r="R38" s="31">
        <f>21000-344+2039+(23000-23000)-344-344+8164.1-4600-3300+(3000-3000)+80000+2000+(5500-5000)+(5650-5100)</f>
        <v>105321.10000000001</v>
      </c>
      <c r="S38" s="31" t="s">
        <v>31</v>
      </c>
      <c r="U38">
        <v>16128.540000000001</v>
      </c>
      <c r="W38" s="11">
        <v>44199</v>
      </c>
      <c r="X38" s="14"/>
      <c r="Y38" s="14"/>
      <c r="Z38" s="14"/>
      <c r="AA38" s="14"/>
      <c r="AB38" s="14"/>
      <c r="AC38" s="14"/>
      <c r="AD38" s="14"/>
      <c r="AE38" s="14"/>
    </row>
    <row r="39">
      <c r="A39" s="11">
        <v>44200</v>
      </c>
      <c r="B39" s="5"/>
      <c r="C39" s="5"/>
      <c r="D39" s="5"/>
      <c r="E39" s="5">
        <v>42.5</v>
      </c>
      <c r="F39" s="5"/>
      <c r="G39" s="5"/>
      <c r="H39" s="5"/>
      <c r="I39" s="5">
        <f>5000+6.3</f>
        <v>5006.3000000000002</v>
      </c>
      <c r="R39" s="31">
        <v>130</v>
      </c>
      <c r="S39" s="31" t="s">
        <v>59</v>
      </c>
      <c r="W39" s="11">
        <v>44200</v>
      </c>
      <c r="X39" s="5"/>
      <c r="Y39" s="5"/>
      <c r="Z39" s="5"/>
      <c r="AA39" s="5"/>
      <c r="AB39" s="5"/>
      <c r="AC39" s="5"/>
      <c r="AD39" s="5"/>
      <c r="AE39" s="5"/>
    </row>
    <row r="40">
      <c r="A40" s="11">
        <v>44201</v>
      </c>
      <c r="B40" s="14"/>
      <c r="C40" s="14"/>
      <c r="D40" s="14"/>
      <c r="E40" s="14"/>
      <c r="F40" s="14"/>
      <c r="G40" s="14"/>
      <c r="H40" s="14"/>
      <c r="I40" s="14"/>
      <c r="R40" s="31"/>
      <c r="S40" s="31" t="s">
        <v>60</v>
      </c>
      <c r="W40" s="11">
        <v>44201</v>
      </c>
      <c r="X40" s="14"/>
      <c r="Y40" s="14"/>
      <c r="Z40" s="14"/>
      <c r="AA40" s="14"/>
      <c r="AB40" s="14"/>
      <c r="AC40" s="14"/>
      <c r="AD40" s="14"/>
      <c r="AE40" s="14"/>
    </row>
    <row r="41">
      <c r="A41" s="11">
        <v>44202</v>
      </c>
      <c r="B41" s="5"/>
      <c r="C41" s="5"/>
      <c r="D41" s="5"/>
      <c r="E41" s="5"/>
      <c r="F41" s="5"/>
      <c r="G41" s="5"/>
      <c r="H41" s="5"/>
      <c r="I41" s="5"/>
      <c r="R41" s="31"/>
      <c r="S41" s="31" t="s">
        <v>41</v>
      </c>
      <c r="W41" s="11">
        <v>44202</v>
      </c>
      <c r="X41" s="5"/>
      <c r="Y41" s="5"/>
      <c r="Z41" s="5"/>
      <c r="AA41" s="5"/>
      <c r="AB41" s="5"/>
      <c r="AC41" s="5"/>
      <c r="AD41" s="5"/>
      <c r="AE41" s="5"/>
    </row>
    <row r="42">
      <c r="A42" s="11">
        <v>44203</v>
      </c>
      <c r="B42" s="14"/>
      <c r="C42" s="14"/>
      <c r="D42" s="14"/>
      <c r="E42" s="14"/>
      <c r="F42" s="14"/>
      <c r="G42" s="14"/>
      <c r="H42" s="14"/>
      <c r="I42" s="14"/>
      <c r="R42" s="31">
        <v>0</v>
      </c>
      <c r="S42" t="s">
        <v>42</v>
      </c>
      <c r="W42" s="11">
        <v>44203</v>
      </c>
      <c r="X42" s="14"/>
      <c r="Y42" s="14"/>
      <c r="Z42" s="14"/>
      <c r="AA42" s="14"/>
      <c r="AB42" s="14"/>
      <c r="AC42" s="14"/>
      <c r="AD42" s="14"/>
      <c r="AE42" s="14"/>
    </row>
    <row r="43">
      <c r="A43" s="11">
        <v>44204</v>
      </c>
      <c r="B43" s="5"/>
      <c r="C43" s="5"/>
      <c r="D43" s="5"/>
      <c r="E43" s="5"/>
      <c r="F43" s="5"/>
      <c r="G43" s="5"/>
      <c r="H43" s="5"/>
      <c r="I43" s="5"/>
      <c r="R43" s="31"/>
      <c r="S43" t="s">
        <v>23</v>
      </c>
      <c r="W43" s="11">
        <v>44204</v>
      </c>
      <c r="X43" s="5"/>
      <c r="Y43" s="5"/>
      <c r="Z43" s="5"/>
      <c r="AA43" s="5"/>
      <c r="AB43" s="5"/>
      <c r="AC43" s="5"/>
      <c r="AD43" s="5"/>
      <c r="AE43" s="5"/>
    </row>
    <row r="44">
      <c r="A44" s="11">
        <v>44205</v>
      </c>
      <c r="B44" s="38"/>
      <c r="C44" s="14"/>
      <c r="D44" s="14"/>
      <c r="E44" s="14"/>
      <c r="F44" s="14"/>
      <c r="G44" s="14"/>
      <c r="H44" s="14">
        <v>300</v>
      </c>
      <c r="I44" s="14"/>
      <c r="R44" s="31"/>
      <c r="S44" t="s">
        <v>46</v>
      </c>
      <c r="W44" s="11">
        <v>44205</v>
      </c>
      <c r="X44" s="38"/>
      <c r="Y44" s="14"/>
      <c r="Z44" s="14"/>
      <c r="AA44" s="14"/>
      <c r="AB44" s="14"/>
      <c r="AC44" s="14"/>
      <c r="AD44" s="14"/>
      <c r="AE44" s="14"/>
    </row>
    <row r="45">
      <c r="A45" s="11">
        <v>44206</v>
      </c>
      <c r="B45" s="5"/>
      <c r="C45" s="5"/>
      <c r="D45" s="5"/>
      <c r="E45" s="5"/>
      <c r="F45" s="5"/>
      <c r="G45" s="5"/>
      <c r="H45" s="5">
        <v>500</v>
      </c>
      <c r="I45" s="5"/>
      <c r="W45" s="11">
        <v>44206</v>
      </c>
      <c r="X45" s="5"/>
      <c r="Y45" s="5"/>
      <c r="Z45" s="5"/>
      <c r="AA45" s="5"/>
      <c r="AB45" s="5"/>
      <c r="AC45" s="5"/>
      <c r="AD45" s="5"/>
      <c r="AE45" s="5"/>
    </row>
    <row r="46">
      <c r="A46" s="11">
        <v>44207</v>
      </c>
      <c r="B46" s="14">
        <f>36558.32-6600</f>
        <v>29958.32</v>
      </c>
      <c r="C46" s="14"/>
      <c r="D46" s="14"/>
      <c r="E46" s="14"/>
      <c r="F46" s="14"/>
      <c r="G46" s="14"/>
      <c r="H46" s="14"/>
      <c r="I46" s="14"/>
      <c r="W46" s="11">
        <v>44207</v>
      </c>
      <c r="X46" s="14">
        <v>16128.540000000001</v>
      </c>
      <c r="Y46" s="14"/>
      <c r="Z46" s="14"/>
      <c r="AA46" s="14"/>
      <c r="AB46" s="14"/>
      <c r="AC46" s="14"/>
      <c r="AD46" s="14"/>
      <c r="AE46" s="14"/>
    </row>
    <row r="47">
      <c r="A47" s="11">
        <v>44208</v>
      </c>
      <c r="B47" s="5"/>
      <c r="C47" s="5"/>
      <c r="D47" s="5"/>
      <c r="E47" s="5"/>
      <c r="F47" s="5"/>
      <c r="G47" s="5"/>
      <c r="H47" s="5"/>
      <c r="I47" s="5"/>
      <c r="W47" s="11">
        <v>44208</v>
      </c>
      <c r="X47" s="5"/>
      <c r="Y47" s="5"/>
      <c r="Z47" s="5"/>
      <c r="AA47" s="5"/>
      <c r="AB47" s="5"/>
      <c r="AC47" s="5"/>
      <c r="AD47" s="5"/>
      <c r="AE47" s="5"/>
    </row>
    <row r="48">
      <c r="A48" s="11">
        <v>44209</v>
      </c>
      <c r="B48" s="14"/>
      <c r="C48" s="14"/>
      <c r="D48" s="14"/>
      <c r="E48" s="14"/>
      <c r="F48" s="14"/>
      <c r="G48" s="14"/>
      <c r="H48" s="14"/>
      <c r="I48" s="14"/>
      <c r="W48" s="11">
        <v>44209</v>
      </c>
      <c r="X48" s="14"/>
      <c r="Y48" s="14"/>
      <c r="Z48" s="14"/>
      <c r="AA48" s="14"/>
      <c r="AB48" s="14"/>
      <c r="AC48" s="14"/>
      <c r="AD48" s="14"/>
      <c r="AE48" s="14"/>
    </row>
    <row r="49">
      <c r="A49" s="11">
        <v>44210</v>
      </c>
      <c r="B49" s="5"/>
      <c r="C49" s="5"/>
      <c r="D49" s="5"/>
      <c r="E49" s="5"/>
      <c r="F49" s="5"/>
      <c r="G49" s="5"/>
      <c r="H49" s="5"/>
      <c r="I49" s="5"/>
      <c r="W49" s="11">
        <v>44210</v>
      </c>
      <c r="X49" s="5"/>
      <c r="Y49" s="5"/>
      <c r="Z49" s="5"/>
      <c r="AA49" s="5"/>
      <c r="AB49" s="5"/>
      <c r="AC49" s="5"/>
      <c r="AD49" s="5"/>
      <c r="AE49" s="5"/>
    </row>
    <row r="50">
      <c r="A50" s="11">
        <v>44211</v>
      </c>
      <c r="B50" s="14"/>
      <c r="C50" s="14"/>
      <c r="D50" s="14"/>
      <c r="E50" s="14"/>
      <c r="F50" s="14"/>
      <c r="G50" s="14"/>
      <c r="H50" s="14"/>
      <c r="I50" s="14"/>
      <c r="W50" s="11">
        <v>44211</v>
      </c>
      <c r="X50" s="14"/>
      <c r="Y50" s="14"/>
      <c r="Z50" s="14"/>
      <c r="AA50" s="14"/>
      <c r="AB50" s="14"/>
      <c r="AC50" s="14"/>
      <c r="AD50" s="14"/>
      <c r="AE50" s="14"/>
    </row>
    <row r="51">
      <c r="A51" s="11">
        <v>44212</v>
      </c>
      <c r="B51" s="5"/>
      <c r="C51" s="5"/>
      <c r="D51" s="5"/>
      <c r="E51" s="5"/>
      <c r="F51" s="5"/>
      <c r="G51" s="5"/>
      <c r="H51" s="5"/>
      <c r="I51" s="5"/>
      <c r="W51" s="11">
        <v>44212</v>
      </c>
      <c r="X51" s="5"/>
      <c r="Y51" s="5"/>
      <c r="Z51" s="5"/>
      <c r="AA51" s="5"/>
      <c r="AB51" s="5"/>
      <c r="AC51" s="5"/>
      <c r="AD51" s="5"/>
      <c r="AE51" s="5"/>
    </row>
    <row r="52">
      <c r="A52" s="11">
        <v>44213</v>
      </c>
      <c r="B52" s="14"/>
      <c r="C52" s="14"/>
      <c r="D52" s="14"/>
      <c r="E52" s="14"/>
      <c r="F52" s="14"/>
      <c r="G52" s="14"/>
      <c r="H52" s="14"/>
      <c r="I52" s="14"/>
      <c r="W52" s="11">
        <v>44213</v>
      </c>
      <c r="X52" s="14"/>
      <c r="Y52" s="14"/>
      <c r="Z52" s="14"/>
      <c r="AA52" s="14"/>
      <c r="AB52" s="14"/>
      <c r="AC52" s="14"/>
      <c r="AD52" s="14"/>
      <c r="AE52" s="14"/>
    </row>
    <row r="53">
      <c r="A53" s="11">
        <v>44214</v>
      </c>
      <c r="B53" s="5"/>
      <c r="C53" s="5"/>
      <c r="D53" s="5"/>
      <c r="E53" s="5"/>
      <c r="F53" s="5"/>
      <c r="G53" s="5"/>
      <c r="H53" s="5"/>
      <c r="I53" s="5"/>
      <c r="W53" s="11">
        <v>44214</v>
      </c>
      <c r="X53" s="5"/>
      <c r="Y53" s="5"/>
      <c r="Z53" s="5"/>
      <c r="AA53" s="5"/>
      <c r="AB53" s="5"/>
      <c r="AC53" s="5"/>
      <c r="AD53" s="5"/>
      <c r="AE53" s="5"/>
    </row>
    <row r="54">
      <c r="A54" s="11">
        <v>44215</v>
      </c>
      <c r="B54" s="14"/>
      <c r="C54" s="14"/>
      <c r="D54" s="14"/>
      <c r="E54" s="14"/>
      <c r="F54" s="14"/>
      <c r="G54" s="14"/>
      <c r="H54" s="14"/>
      <c r="I54" s="14"/>
      <c r="W54" s="11">
        <v>44215</v>
      </c>
      <c r="X54" s="14"/>
      <c r="Y54" s="14"/>
      <c r="Z54" s="14"/>
      <c r="AA54" s="14"/>
      <c r="AB54" s="14"/>
      <c r="AC54" s="14"/>
      <c r="AD54" s="14"/>
      <c r="AE54" s="14"/>
    </row>
    <row r="55">
      <c r="A55" s="11">
        <v>44216</v>
      </c>
      <c r="B55" s="5"/>
      <c r="C55" s="5"/>
      <c r="D55" s="5"/>
      <c r="E55" s="5"/>
      <c r="F55" s="5"/>
      <c r="G55" s="5"/>
      <c r="H55" s="5"/>
      <c r="I55" s="5"/>
      <c r="W55" s="11">
        <v>44216</v>
      </c>
      <c r="X55" s="5"/>
      <c r="Y55" s="5"/>
      <c r="Z55" s="5"/>
      <c r="AA55" s="5"/>
      <c r="AB55" s="5"/>
      <c r="AC55" s="5"/>
      <c r="AD55" s="5"/>
      <c r="AE55" s="5"/>
    </row>
    <row r="56">
      <c r="A56" s="11">
        <v>44217</v>
      </c>
      <c r="B56" s="14"/>
      <c r="C56" s="14"/>
      <c r="D56" s="14"/>
      <c r="E56" s="14"/>
      <c r="F56" s="14"/>
      <c r="G56" s="14"/>
      <c r="H56" s="14"/>
      <c r="I56" s="14"/>
      <c r="W56" s="11">
        <v>44217</v>
      </c>
      <c r="X56" s="14"/>
      <c r="Y56" s="14"/>
      <c r="Z56" s="14"/>
      <c r="AA56" s="14"/>
      <c r="AB56" s="14"/>
      <c r="AC56" s="14"/>
      <c r="AD56" s="14"/>
      <c r="AE56" s="14"/>
    </row>
    <row r="57">
      <c r="A57" s="11">
        <v>44218</v>
      </c>
      <c r="B57" s="5"/>
      <c r="C57" s="5"/>
      <c r="D57" s="5"/>
      <c r="E57" s="5"/>
      <c r="F57" s="5"/>
      <c r="G57" s="5"/>
      <c r="H57" s="5"/>
      <c r="I57" s="5"/>
      <c r="W57" s="11">
        <v>44218</v>
      </c>
      <c r="X57" s="5"/>
      <c r="Y57" s="5"/>
      <c r="Z57" s="5"/>
      <c r="AA57" s="5"/>
      <c r="AB57" s="5"/>
      <c r="AC57" s="5"/>
      <c r="AD57" s="5"/>
      <c r="AE57" s="5"/>
    </row>
    <row r="58">
      <c r="A58" s="11">
        <v>44219</v>
      </c>
      <c r="B58" s="14"/>
      <c r="C58" s="14"/>
      <c r="D58" s="14"/>
      <c r="E58" s="14"/>
      <c r="F58" s="14"/>
      <c r="G58" s="14"/>
      <c r="H58" s="14"/>
      <c r="I58" s="14"/>
      <c r="W58" s="11">
        <v>44219</v>
      </c>
      <c r="X58" s="14"/>
      <c r="Y58" s="14"/>
      <c r="Z58" s="14"/>
      <c r="AA58" s="14"/>
      <c r="AB58" s="14"/>
      <c r="AC58" s="14"/>
      <c r="AD58" s="14"/>
      <c r="AE58" s="14"/>
    </row>
    <row r="59">
      <c r="A59" s="11">
        <v>44220</v>
      </c>
      <c r="B59" s="5"/>
      <c r="C59" s="5"/>
      <c r="D59" s="5"/>
      <c r="E59" s="5"/>
      <c r="F59" s="5"/>
      <c r="G59" s="5"/>
      <c r="H59" s="5"/>
      <c r="I59" s="5"/>
      <c r="W59" s="11">
        <v>44220</v>
      </c>
      <c r="X59" s="5"/>
      <c r="Y59" s="5"/>
      <c r="Z59" s="5"/>
      <c r="AA59" s="5"/>
      <c r="AB59" s="5"/>
      <c r="AC59" s="5"/>
      <c r="AD59" s="5"/>
      <c r="AE59" s="5"/>
    </row>
    <row r="60">
      <c r="A60" s="11">
        <v>44221</v>
      </c>
      <c r="B60" s="14">
        <v>7000</v>
      </c>
      <c r="C60" s="14"/>
      <c r="D60" s="14"/>
      <c r="E60" s="14"/>
      <c r="F60" s="14"/>
      <c r="G60" s="14"/>
      <c r="H60" s="14"/>
      <c r="I60" s="14"/>
      <c r="W60" s="11">
        <v>44221</v>
      </c>
      <c r="X60" s="14"/>
      <c r="Y60" s="14"/>
      <c r="Z60" s="14"/>
      <c r="AA60" s="14"/>
      <c r="AB60" s="14"/>
      <c r="AC60" s="14"/>
      <c r="AD60" s="14"/>
      <c r="AE60" s="14"/>
    </row>
    <row r="61">
      <c r="A61" s="11">
        <v>44222</v>
      </c>
      <c r="B61" s="5"/>
      <c r="C61" s="5"/>
      <c r="D61" s="5">
        <v>2000</v>
      </c>
      <c r="E61" s="5"/>
      <c r="F61" s="5"/>
      <c r="G61" s="5"/>
      <c r="H61" s="5"/>
      <c r="I61" s="5"/>
      <c r="W61" s="11">
        <v>44222</v>
      </c>
      <c r="X61" s="5">
        <v>3930</v>
      </c>
      <c r="Y61" s="5"/>
      <c r="Z61" s="5"/>
      <c r="AA61" s="5"/>
      <c r="AB61" s="5"/>
      <c r="AC61" s="5"/>
      <c r="AD61" s="5"/>
      <c r="AE61" s="5"/>
    </row>
    <row r="62">
      <c r="A62" s="11">
        <v>44223</v>
      </c>
      <c r="B62" s="14"/>
      <c r="C62" s="14"/>
      <c r="D62" s="14"/>
      <c r="E62" s="14"/>
      <c r="F62" s="14"/>
      <c r="G62" s="14"/>
      <c r="H62" s="14">
        <v>400</v>
      </c>
      <c r="I62" s="14"/>
      <c r="W62" s="11">
        <v>44223</v>
      </c>
      <c r="X62" s="14"/>
      <c r="Y62" s="14"/>
      <c r="Z62" s="14"/>
      <c r="AA62" s="14"/>
      <c r="AB62" s="14"/>
      <c r="AC62" s="14"/>
      <c r="AD62" s="14"/>
      <c r="AE62" s="14"/>
    </row>
    <row r="63">
      <c r="A63" s="11">
        <v>44224</v>
      </c>
      <c r="B63" s="5"/>
      <c r="C63" s="5"/>
      <c r="D63" s="5"/>
      <c r="E63" s="5"/>
      <c r="F63" s="5"/>
      <c r="G63" s="5"/>
      <c r="H63" s="5"/>
      <c r="I63" s="5"/>
      <c r="W63" s="11">
        <v>44224</v>
      </c>
      <c r="X63" s="5"/>
      <c r="Y63" s="5"/>
      <c r="Z63" s="5"/>
      <c r="AA63" s="5"/>
      <c r="AB63" s="5"/>
      <c r="AC63" s="5"/>
      <c r="AD63" s="5"/>
      <c r="AE63" s="5"/>
    </row>
    <row r="64">
      <c r="A64" s="11">
        <v>44225</v>
      </c>
      <c r="B64" s="14"/>
      <c r="C64" s="14"/>
      <c r="D64" s="14"/>
      <c r="E64" s="14"/>
      <c r="F64" s="14"/>
      <c r="G64" s="14"/>
      <c r="H64" s="14"/>
      <c r="I64" s="14"/>
      <c r="W64" s="11">
        <v>44225</v>
      </c>
      <c r="X64" s="14"/>
      <c r="Y64" s="14"/>
      <c r="Z64" s="14"/>
      <c r="AA64" s="14"/>
      <c r="AB64" s="14"/>
      <c r="AC64" s="14"/>
      <c r="AD64" s="14"/>
      <c r="AE64" s="14"/>
    </row>
    <row r="65">
      <c r="A65" s="11">
        <v>44226</v>
      </c>
      <c r="B65" s="3"/>
      <c r="C65" s="3"/>
      <c r="D65" s="3"/>
      <c r="E65" s="3"/>
      <c r="F65" s="3"/>
      <c r="G65" s="3"/>
      <c r="H65" s="3"/>
      <c r="I65" s="3"/>
      <c r="W65" s="11">
        <v>44226</v>
      </c>
      <c r="X65" s="3"/>
      <c r="Y65" s="3"/>
      <c r="Z65" s="3"/>
      <c r="AA65" s="3"/>
      <c r="AB65" s="3"/>
      <c r="AC65" s="3"/>
      <c r="AD65" s="3"/>
      <c r="AE65" s="3"/>
    </row>
    <row r="66">
      <c r="A66" s="11">
        <v>44227</v>
      </c>
      <c r="B66" s="22"/>
      <c r="C66" s="22"/>
      <c r="D66" s="22"/>
      <c r="E66" s="22"/>
      <c r="F66" s="22">
        <f>3000-280</f>
        <v>2720</v>
      </c>
      <c r="G66" s="22"/>
      <c r="H66" s="22"/>
      <c r="I66" s="22"/>
      <c r="J66" t="s">
        <v>61</v>
      </c>
      <c r="R66" s="33">
        <f>SUM(R37:R65)</f>
        <v>105860.10000000001</v>
      </c>
      <c r="W66" s="11">
        <v>44227</v>
      </c>
      <c r="X66" s="22"/>
      <c r="Y66" s="22"/>
      <c r="Z66" s="22"/>
      <c r="AA66" s="22"/>
      <c r="AB66" s="22"/>
      <c r="AC66" s="22"/>
      <c r="AD66" s="22"/>
      <c r="AE66" s="22"/>
    </row>
    <row r="67">
      <c r="A67" s="7"/>
      <c r="B67" s="7">
        <f t="shared" ref="B67:H67" si="42">SUM(B36:B65)</f>
        <v>36958.32</v>
      </c>
      <c r="C67" s="7">
        <f t="shared" si="42"/>
        <v>0</v>
      </c>
      <c r="D67" s="7">
        <f t="shared" si="42"/>
        <v>3000</v>
      </c>
      <c r="E67" s="7">
        <f>SUM(E36:E66)</f>
        <v>42.5</v>
      </c>
      <c r="F67" s="7">
        <f t="shared" si="42"/>
        <v>1001</v>
      </c>
      <c r="G67" s="7">
        <f t="shared" si="42"/>
        <v>0</v>
      </c>
      <c r="H67" s="7">
        <f t="shared" si="42"/>
        <v>1200</v>
      </c>
      <c r="I67" s="7">
        <f>SUM(B67:H67)+I39</f>
        <v>47208.120000000003</v>
      </c>
      <c r="R67" s="33">
        <f>SUM(R37:R65)</f>
        <v>105860.10000000001</v>
      </c>
      <c r="W67" s="7"/>
      <c r="X67" s="7">
        <f t="shared" ref="X67:AD67" si="43">SUM(X36:X65)</f>
        <v>20058.540000000001</v>
      </c>
      <c r="Y67" s="7">
        <f t="shared" si="43"/>
        <v>0</v>
      </c>
      <c r="Z67" s="7">
        <f t="shared" si="43"/>
        <v>0</v>
      </c>
      <c r="AA67" s="7">
        <f>SUM(AA36:AA66)</f>
        <v>0</v>
      </c>
      <c r="AB67" s="7">
        <f t="shared" ref="AB67:AE67" si="44">SUM(AB36:AB65)</f>
        <v>0</v>
      </c>
      <c r="AC67" s="7">
        <f t="shared" si="44"/>
        <v>0</v>
      </c>
      <c r="AD67" s="7">
        <f t="shared" si="44"/>
        <v>0</v>
      </c>
      <c r="AE67" s="7">
        <f>SUM(X67:AD67)+AE39</f>
        <v>20058.540000000001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C10" zoomScale="70" workbookViewId="0">
      <selection activeCell="V33" activeCellId="0" sqref="V33"/>
    </sheetView>
  </sheetViews>
  <sheetFormatPr defaultRowHeight="14.25"/>
  <cols>
    <col bestFit="1" customWidth="1" min="1" max="1" width="11.42578125"/>
    <col bestFit="1" customWidth="1" min="8" max="8" width="12.28515625"/>
    <col bestFit="1" customWidth="1" min="17" max="17" width="21.42578125"/>
    <col bestFit="1" customWidth="1" min="19" max="19" width="16.85546875"/>
    <col bestFit="1" customWidth="1" min="21" max="21" width="12.7109375"/>
    <col bestFit="1" customWidth="1" min="28" max="28" width="12.28515625"/>
    <col bestFit="1" customWidth="1" min="36" max="36" width="24.2851562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0" t="s">
        <v>49</v>
      </c>
      <c r="R1" s="10" t="s">
        <v>62</v>
      </c>
      <c r="S1" s="45"/>
      <c r="T1" s="8"/>
      <c r="U1" s="10" t="s">
        <v>1</v>
      </c>
      <c r="V1" s="10" t="s">
        <v>2</v>
      </c>
      <c r="W1" s="10" t="s">
        <v>3</v>
      </c>
      <c r="X1" s="10" t="s">
        <v>4</v>
      </c>
      <c r="Y1" s="10" t="s">
        <v>5</v>
      </c>
      <c r="Z1" s="10" t="s">
        <v>6</v>
      </c>
      <c r="AA1" s="10" t="s">
        <v>7</v>
      </c>
      <c r="AB1" s="10" t="s">
        <v>8</v>
      </c>
      <c r="AC1" s="10" t="s">
        <v>9</v>
      </c>
      <c r="AD1" s="10" t="s">
        <v>10</v>
      </c>
      <c r="AE1" s="10" t="s">
        <v>11</v>
      </c>
      <c r="AF1" s="10" t="s">
        <v>12</v>
      </c>
      <c r="AG1" s="10" t="s">
        <v>13</v>
      </c>
      <c r="AH1" s="10" t="s">
        <v>63</v>
      </c>
      <c r="AI1" s="10" t="s">
        <v>20</v>
      </c>
      <c r="AJ1" s="10" t="s">
        <v>49</v>
      </c>
      <c r="AK1" s="10"/>
      <c r="AL1" s="1"/>
    </row>
    <row r="2">
      <c r="A2" s="11">
        <v>44228</v>
      </c>
      <c r="B2" s="14">
        <v>60</v>
      </c>
      <c r="C2" s="14">
        <f>96.96+295.98+66.99</f>
        <v>459.93000000000001</v>
      </c>
      <c r="D2" s="14"/>
      <c r="E2" s="14"/>
      <c r="F2" s="14"/>
      <c r="G2" s="14"/>
      <c r="H2" s="14"/>
      <c r="I2" s="14">
        <v>8998</v>
      </c>
      <c r="J2" s="14"/>
      <c r="K2" s="14"/>
      <c r="L2" s="14"/>
      <c r="M2" s="14"/>
      <c r="N2" s="14"/>
      <c r="O2" s="14"/>
      <c r="P2" s="14"/>
      <c r="Q2" s="14"/>
      <c r="R2" s="14"/>
      <c r="S2" s="46"/>
      <c r="T2" s="8"/>
      <c r="U2" s="14">
        <v>40</v>
      </c>
      <c r="V2" s="14"/>
      <c r="W2" s="14"/>
      <c r="X2" s="14"/>
      <c r="Y2" s="14"/>
      <c r="Z2" s="14"/>
      <c r="AA2" s="14"/>
      <c r="AB2" s="14">
        <v>325</v>
      </c>
      <c r="AC2" s="14"/>
      <c r="AD2" s="14"/>
      <c r="AE2" s="14"/>
      <c r="AF2" s="14"/>
      <c r="AG2" s="14"/>
      <c r="AH2" s="14"/>
      <c r="AI2" s="14"/>
      <c r="AJ2" s="14"/>
      <c r="AK2" s="14"/>
      <c r="AL2" s="14"/>
    </row>
    <row r="3">
      <c r="A3" s="11">
        <v>44229</v>
      </c>
      <c r="B3" s="5">
        <v>60</v>
      </c>
      <c r="C3" s="5">
        <v>774.75</v>
      </c>
      <c r="D3" s="5">
        <v>35</v>
      </c>
      <c r="E3" s="5"/>
      <c r="F3" s="5"/>
      <c r="G3" s="5"/>
      <c r="H3" s="5"/>
      <c r="I3" s="5"/>
      <c r="J3" s="5"/>
      <c r="K3" s="5"/>
      <c r="L3" s="5"/>
      <c r="M3" s="5"/>
      <c r="N3" s="5"/>
      <c r="O3" s="5"/>
      <c r="P3" s="5"/>
      <c r="Q3" s="5"/>
      <c r="R3" s="5"/>
      <c r="S3" s="41"/>
      <c r="T3" s="8"/>
      <c r="U3" s="5">
        <v>80</v>
      </c>
      <c r="V3" s="5"/>
      <c r="W3" s="5"/>
      <c r="X3" s="5"/>
      <c r="Y3" s="5"/>
      <c r="Z3" s="5"/>
      <c r="AA3" s="5"/>
      <c r="AB3" s="5"/>
      <c r="AC3" s="5"/>
      <c r="AD3" s="5"/>
      <c r="AE3" s="5"/>
      <c r="AF3" s="5"/>
      <c r="AG3" s="5"/>
      <c r="AH3" s="5">
        <v>1100</v>
      </c>
      <c r="AI3" s="5"/>
      <c r="AJ3" s="5"/>
      <c r="AK3" s="5"/>
      <c r="AL3" s="5"/>
    </row>
    <row r="4">
      <c r="A4" s="11">
        <v>44230</v>
      </c>
      <c r="B4" s="14">
        <v>30</v>
      </c>
      <c r="C4" s="14">
        <v>86.980000000000004</v>
      </c>
      <c r="D4" s="14"/>
      <c r="E4" s="14"/>
      <c r="F4" s="14"/>
      <c r="G4" s="14"/>
      <c r="H4" s="14"/>
      <c r="I4" s="14"/>
      <c r="J4" s="14"/>
      <c r="K4" s="14"/>
      <c r="L4" s="14"/>
      <c r="M4" s="14"/>
      <c r="N4" s="14"/>
      <c r="O4" s="14"/>
      <c r="P4" s="14"/>
      <c r="Q4" s="14"/>
      <c r="R4" s="14"/>
      <c r="S4" s="46"/>
      <c r="T4" s="8"/>
      <c r="U4" s="14">
        <v>60</v>
      </c>
      <c r="V4" s="14"/>
      <c r="W4" s="14"/>
      <c r="X4" s="14"/>
      <c r="Y4" s="14"/>
      <c r="Z4" s="14"/>
      <c r="AA4" s="14"/>
      <c r="AB4" s="14"/>
      <c r="AC4" s="14"/>
      <c r="AD4" s="14"/>
      <c r="AE4" s="14"/>
      <c r="AF4" s="14"/>
      <c r="AG4" s="14"/>
      <c r="AH4" s="14"/>
      <c r="AI4" s="14"/>
      <c r="AJ4" s="14"/>
      <c r="AK4" s="14"/>
      <c r="AL4" s="14"/>
    </row>
    <row r="5">
      <c r="A5" s="11">
        <v>44231</v>
      </c>
      <c r="B5" s="5">
        <v>30</v>
      </c>
      <c r="C5" s="5"/>
      <c r="D5" s="5">
        <v>122</v>
      </c>
      <c r="E5" s="5"/>
      <c r="F5" s="5"/>
      <c r="G5" s="5"/>
      <c r="H5" s="5"/>
      <c r="I5" s="5"/>
      <c r="J5" s="5"/>
      <c r="K5" s="5"/>
      <c r="L5" s="5">
        <v>10</v>
      </c>
      <c r="M5" s="5"/>
      <c r="N5" s="5"/>
      <c r="O5" s="5"/>
      <c r="P5" s="5"/>
      <c r="Q5" s="5"/>
      <c r="R5" s="5"/>
      <c r="S5" s="41"/>
      <c r="T5" s="8"/>
      <c r="U5" s="5">
        <v>20</v>
      </c>
      <c r="V5" s="5">
        <f>346.92+42</f>
        <v>388.92000000000002</v>
      </c>
      <c r="W5" s="5"/>
      <c r="X5" s="5"/>
      <c r="Y5" s="5"/>
      <c r="Z5" s="5"/>
      <c r="AA5" s="5"/>
      <c r="AB5" s="5"/>
      <c r="AC5" s="5"/>
      <c r="AD5" s="5"/>
      <c r="AE5" s="5"/>
      <c r="AF5" s="5"/>
      <c r="AG5" s="5"/>
      <c r="AH5" s="5"/>
      <c r="AI5" s="5"/>
      <c r="AJ5" s="5"/>
      <c r="AK5" s="5"/>
      <c r="AL5" s="5"/>
    </row>
    <row r="6">
      <c r="A6" s="11">
        <v>44232</v>
      </c>
      <c r="B6" s="14">
        <v>60</v>
      </c>
      <c r="C6" s="14"/>
      <c r="D6" s="14">
        <f>58+2290</f>
        <v>2348</v>
      </c>
      <c r="E6" s="14"/>
      <c r="F6" s="14"/>
      <c r="G6" s="14"/>
      <c r="H6" s="14"/>
      <c r="I6" s="14"/>
      <c r="J6" s="14"/>
      <c r="K6" s="14"/>
      <c r="L6" s="14">
        <v>1999.99</v>
      </c>
      <c r="M6" s="14"/>
      <c r="N6" s="14"/>
      <c r="O6" s="14"/>
      <c r="P6" s="14"/>
      <c r="Q6" s="14"/>
      <c r="R6" s="14"/>
      <c r="S6" s="46"/>
      <c r="T6" s="8"/>
      <c r="U6" s="14">
        <v>40</v>
      </c>
      <c r="V6" s="14">
        <v>59.979999999999997</v>
      </c>
      <c r="W6" s="14"/>
      <c r="X6" s="14"/>
      <c r="Y6" s="14"/>
      <c r="Z6" s="14"/>
      <c r="AA6" s="14"/>
      <c r="AB6" s="14"/>
      <c r="AC6" s="14"/>
      <c r="AD6" s="14"/>
      <c r="AE6" s="14"/>
      <c r="AF6" s="14"/>
      <c r="AG6" s="14">
        <v>40</v>
      </c>
      <c r="AH6" s="14"/>
      <c r="AI6" s="14"/>
      <c r="AJ6" s="14"/>
      <c r="AK6" s="14"/>
      <c r="AL6" s="14"/>
    </row>
    <row r="7">
      <c r="A7" s="11">
        <v>44233</v>
      </c>
      <c r="B7" s="5">
        <v>40</v>
      </c>
      <c r="C7" s="5">
        <f>358.98+68+44.4+(1199.3-99.9-99.9-139.9-219.9-269.9)</f>
        <v>841.17999999999995</v>
      </c>
      <c r="D7" s="5"/>
      <c r="E7" s="5"/>
      <c r="F7" s="5"/>
      <c r="G7" s="5"/>
      <c r="H7" s="5"/>
      <c r="I7" s="5">
        <f>91.9+269.9+139.9+99.9</f>
        <v>601.59999999999991</v>
      </c>
      <c r="J7" s="5"/>
      <c r="K7" s="5"/>
      <c r="L7" s="5"/>
      <c r="M7" s="5"/>
      <c r="N7" s="5"/>
      <c r="O7" s="5"/>
      <c r="P7" s="5"/>
      <c r="Q7" s="5">
        <f>158+219.9</f>
        <v>377.89999999999998</v>
      </c>
      <c r="R7" s="5">
        <v>1500</v>
      </c>
      <c r="S7" s="41"/>
      <c r="T7" s="8"/>
      <c r="U7" s="5">
        <v>102</v>
      </c>
      <c r="V7" s="5">
        <f>206.4+286.99</f>
        <v>493.38999999999999</v>
      </c>
      <c r="W7" s="5"/>
      <c r="X7" s="5"/>
      <c r="Y7" s="5"/>
      <c r="Z7" s="5"/>
      <c r="AA7" s="5"/>
      <c r="AB7" s="5"/>
      <c r="AC7" s="5"/>
      <c r="AD7" s="5"/>
      <c r="AE7" s="5"/>
      <c r="AF7" s="5"/>
      <c r="AG7" s="5"/>
      <c r="AH7" s="5"/>
      <c r="AI7" s="5"/>
      <c r="AJ7" s="5"/>
      <c r="AK7" s="5"/>
      <c r="AL7" s="5"/>
    </row>
    <row r="8">
      <c r="A8" s="11">
        <v>44234</v>
      </c>
      <c r="B8" s="14"/>
      <c r="C8" s="14"/>
      <c r="D8" s="14"/>
      <c r="E8" s="14"/>
      <c r="F8" s="14"/>
      <c r="G8" s="14"/>
      <c r="H8" s="14"/>
      <c r="I8" s="14"/>
      <c r="J8" s="14"/>
      <c r="K8" s="14"/>
      <c r="L8" s="14"/>
      <c r="M8" s="14"/>
      <c r="N8" s="14"/>
      <c r="O8" s="14"/>
      <c r="P8" s="14"/>
      <c r="Q8" s="14"/>
      <c r="R8" s="14"/>
      <c r="S8" s="46"/>
      <c r="T8" s="8"/>
      <c r="U8" s="14"/>
      <c r="V8" s="14"/>
      <c r="W8" s="14"/>
      <c r="X8" s="14"/>
      <c r="Y8" s="14"/>
      <c r="Z8" s="14"/>
      <c r="AA8" s="14"/>
      <c r="AB8" s="14"/>
      <c r="AC8" s="14"/>
      <c r="AD8" s="14"/>
      <c r="AE8" s="14"/>
      <c r="AF8" s="14"/>
      <c r="AG8" s="14"/>
      <c r="AH8" s="14"/>
      <c r="AI8" s="14"/>
      <c r="AJ8" s="14"/>
      <c r="AK8" s="14"/>
      <c r="AL8" s="14"/>
    </row>
    <row r="9">
      <c r="A9" s="11">
        <v>44235</v>
      </c>
      <c r="B9" s="5"/>
      <c r="C9" s="5"/>
      <c r="D9" s="5">
        <v>58</v>
      </c>
      <c r="E9" s="5"/>
      <c r="F9" s="5"/>
      <c r="G9" s="5"/>
      <c r="H9" s="5"/>
      <c r="I9" s="5"/>
      <c r="J9" s="5"/>
      <c r="K9" s="5"/>
      <c r="L9" s="5"/>
      <c r="M9" s="5"/>
      <c r="N9" s="5"/>
      <c r="O9" s="5"/>
      <c r="P9" s="5"/>
      <c r="Q9" s="5"/>
      <c r="R9" s="5"/>
      <c r="S9" s="41"/>
      <c r="T9" s="8"/>
      <c r="U9" s="5">
        <v>40</v>
      </c>
      <c r="V9" s="5">
        <v>52</v>
      </c>
      <c r="W9" s="5"/>
      <c r="X9" s="5"/>
      <c r="Y9" s="5"/>
      <c r="Z9" s="5"/>
      <c r="AA9" s="5"/>
      <c r="AB9" s="5"/>
      <c r="AC9" s="5"/>
      <c r="AD9" s="5"/>
      <c r="AE9" s="5"/>
      <c r="AF9" s="5"/>
      <c r="AG9" s="5"/>
      <c r="AH9" s="5"/>
      <c r="AI9" s="5"/>
      <c r="AJ9" s="5"/>
      <c r="AK9" s="5"/>
      <c r="AL9" s="5"/>
    </row>
    <row r="10">
      <c r="A10" s="11">
        <v>44236</v>
      </c>
      <c r="B10" s="14"/>
      <c r="C10" s="14">
        <v>331.88</v>
      </c>
      <c r="D10" s="14"/>
      <c r="E10" s="14"/>
      <c r="F10" s="14"/>
      <c r="G10" s="14"/>
      <c r="H10" s="14"/>
      <c r="I10" s="14"/>
      <c r="J10" s="14"/>
      <c r="K10" s="14"/>
      <c r="L10" s="14"/>
      <c r="M10" s="14"/>
      <c r="N10" s="14"/>
      <c r="O10" s="14"/>
      <c r="P10" s="14"/>
      <c r="Q10" s="14"/>
      <c r="R10" s="14"/>
      <c r="S10" s="46"/>
      <c r="T10" s="8"/>
      <c r="U10" s="14">
        <v>20</v>
      </c>
      <c r="V10" s="14"/>
      <c r="W10" s="14"/>
      <c r="X10" s="14"/>
      <c r="Y10" s="14"/>
      <c r="Z10" s="14"/>
      <c r="AA10" s="14"/>
      <c r="AB10" s="14"/>
      <c r="AC10" s="14"/>
      <c r="AD10" s="14"/>
      <c r="AE10" s="14"/>
      <c r="AF10" s="14"/>
      <c r="AG10" s="14"/>
      <c r="AH10" s="14"/>
      <c r="AI10" s="14"/>
      <c r="AJ10" s="14"/>
      <c r="AK10" s="14"/>
      <c r="AL10" s="14"/>
    </row>
    <row r="11">
      <c r="A11" s="11">
        <v>44237</v>
      </c>
      <c r="B11" s="5"/>
      <c r="C11" s="5">
        <v>58.979999999999997</v>
      </c>
      <c r="D11" s="5">
        <v>107</v>
      </c>
      <c r="E11" s="5"/>
      <c r="F11" s="5"/>
      <c r="G11" s="5"/>
      <c r="H11" s="5"/>
      <c r="I11" s="5"/>
      <c r="J11" s="5"/>
      <c r="K11" s="5"/>
      <c r="L11" s="5"/>
      <c r="M11" s="5"/>
      <c r="N11" s="5"/>
      <c r="O11" s="5"/>
      <c r="P11" s="5"/>
      <c r="Q11" s="5"/>
      <c r="R11" s="5"/>
      <c r="S11" s="41"/>
      <c r="T11" s="8"/>
      <c r="U11" s="5">
        <v>40</v>
      </c>
      <c r="V11" s="5">
        <f>346+385.36</f>
        <v>731.36000000000001</v>
      </c>
      <c r="W11" s="5"/>
      <c r="X11" s="5"/>
      <c r="Y11" s="5"/>
      <c r="Z11" s="5"/>
      <c r="AA11" s="5"/>
      <c r="AB11" s="5">
        <v>130</v>
      </c>
      <c r="AC11" s="5"/>
      <c r="AD11" s="5"/>
      <c r="AE11" s="5"/>
      <c r="AF11" s="5"/>
      <c r="AG11" s="5"/>
      <c r="AH11" s="5"/>
      <c r="AI11" s="5"/>
      <c r="AJ11" s="5"/>
      <c r="AK11" s="5"/>
      <c r="AL11" s="5"/>
    </row>
    <row r="12">
      <c r="A12" s="11">
        <v>44238</v>
      </c>
      <c r="B12" s="14">
        <f>70</f>
        <v>70</v>
      </c>
      <c r="C12" s="14">
        <v>71.969999999999999</v>
      </c>
      <c r="D12" s="14">
        <f>71.75+102.99</f>
        <v>174.74000000000001</v>
      </c>
      <c r="E12" s="14"/>
      <c r="F12" s="14"/>
      <c r="G12" s="14"/>
      <c r="H12" s="14"/>
      <c r="I12" s="14"/>
      <c r="J12" s="14"/>
      <c r="K12" s="14"/>
      <c r="L12" s="14"/>
      <c r="M12" s="14"/>
      <c r="N12" s="14"/>
      <c r="O12" s="14"/>
      <c r="P12" s="14"/>
      <c r="Q12" s="14"/>
      <c r="R12" s="14"/>
      <c r="S12" s="46"/>
      <c r="T12" s="8"/>
      <c r="U12" s="14">
        <v>20</v>
      </c>
      <c r="V12" s="14">
        <v>62</v>
      </c>
      <c r="W12" s="14"/>
      <c r="X12" s="14"/>
      <c r="Y12" s="14"/>
      <c r="Z12" s="14"/>
      <c r="AA12" s="14"/>
      <c r="AB12" s="14"/>
      <c r="AC12" s="14"/>
      <c r="AD12" s="14"/>
      <c r="AE12" s="14"/>
      <c r="AF12" s="14"/>
      <c r="AG12" s="14"/>
      <c r="AH12" s="14"/>
      <c r="AI12" s="14"/>
      <c r="AJ12" s="14"/>
      <c r="AK12" s="14"/>
      <c r="AL12" s="14"/>
    </row>
    <row r="13">
      <c r="A13" s="11">
        <v>44239</v>
      </c>
      <c r="B13" s="5">
        <f>774+30</f>
        <v>804</v>
      </c>
      <c r="C13" s="5">
        <f>20.8+63.96</f>
        <v>84.760000000000005</v>
      </c>
      <c r="D13" s="5">
        <v>33</v>
      </c>
      <c r="E13" s="5"/>
      <c r="F13" s="5"/>
      <c r="G13" s="5"/>
      <c r="H13" s="5"/>
      <c r="I13" s="5"/>
      <c r="J13" s="5"/>
      <c r="K13" s="5"/>
      <c r="L13" s="5"/>
      <c r="M13" s="5"/>
      <c r="N13" s="5"/>
      <c r="O13" s="5"/>
      <c r="P13" s="5"/>
      <c r="Q13" s="5"/>
      <c r="R13" s="5"/>
      <c r="S13" s="41"/>
      <c r="T13" s="8"/>
      <c r="U13" s="5">
        <v>40</v>
      </c>
      <c r="V13" s="5"/>
      <c r="W13" s="5"/>
      <c r="X13" s="5"/>
      <c r="Y13" s="5"/>
      <c r="Z13" s="5"/>
      <c r="AA13" s="5"/>
      <c r="AB13" s="5">
        <v>158</v>
      </c>
      <c r="AC13" s="5"/>
      <c r="AD13" s="5"/>
      <c r="AE13" s="5"/>
      <c r="AF13" s="5"/>
      <c r="AG13" s="5"/>
      <c r="AH13" s="5"/>
      <c r="AI13" s="5"/>
      <c r="AJ13" s="5"/>
      <c r="AK13" s="5"/>
      <c r="AL13" s="5"/>
    </row>
    <row r="14">
      <c r="A14" s="11">
        <v>44240</v>
      </c>
      <c r="B14" s="14">
        <f>202+40+680+40</f>
        <v>962</v>
      </c>
      <c r="C14" s="14">
        <f>79.99+199.89+300.91</f>
        <v>580.78999999999996</v>
      </c>
      <c r="D14" s="14">
        <v>516</v>
      </c>
      <c r="E14" s="14"/>
      <c r="F14" s="14"/>
      <c r="G14" s="14"/>
      <c r="H14" s="14"/>
      <c r="I14" s="14"/>
      <c r="J14" s="14"/>
      <c r="K14" s="14"/>
      <c r="L14" s="14"/>
      <c r="M14" s="14"/>
      <c r="N14" s="14"/>
      <c r="O14" s="14"/>
      <c r="P14" s="14"/>
      <c r="Q14" s="14"/>
      <c r="R14" s="14"/>
      <c r="S14" s="46"/>
      <c r="T14" s="8"/>
      <c r="U14" s="14"/>
      <c r="V14" s="14">
        <v>449.99000000000001</v>
      </c>
      <c r="W14" s="14"/>
      <c r="X14" s="14"/>
      <c r="Y14" s="14"/>
      <c r="Z14" s="14"/>
      <c r="AA14" s="14"/>
      <c r="AB14" s="14">
        <v>69.900000000000006</v>
      </c>
      <c r="AC14" s="14"/>
      <c r="AD14" s="14"/>
      <c r="AE14" s="14"/>
      <c r="AF14" s="14"/>
      <c r="AG14" s="14"/>
      <c r="AH14" s="14"/>
      <c r="AI14" s="14"/>
      <c r="AJ14" s="14"/>
      <c r="AK14" s="14"/>
      <c r="AL14" s="14"/>
    </row>
    <row r="15">
      <c r="A15" s="11">
        <v>44241</v>
      </c>
      <c r="B15" s="5">
        <v>40</v>
      </c>
      <c r="C15" s="5">
        <v>30</v>
      </c>
      <c r="D15" s="5"/>
      <c r="E15" s="5"/>
      <c r="F15" s="5"/>
      <c r="G15" s="5"/>
      <c r="H15" s="5"/>
      <c r="I15">
        <f>94+198</f>
        <v>292</v>
      </c>
      <c r="J15" s="5"/>
      <c r="K15" s="5"/>
      <c r="L15" s="5"/>
      <c r="M15" s="5"/>
      <c r="N15" s="5"/>
      <c r="O15" s="5"/>
      <c r="P15" s="5"/>
      <c r="Q15" s="5"/>
      <c r="R15" s="5"/>
      <c r="S15" s="41"/>
      <c r="T15" s="8"/>
      <c r="U15" s="5">
        <v>40</v>
      </c>
      <c r="V15" s="5">
        <f>446.45+866.73</f>
        <v>1313.1800000000001</v>
      </c>
      <c r="W15" s="5"/>
      <c r="X15" s="5"/>
      <c r="Y15" s="5"/>
      <c r="Z15" s="5"/>
      <c r="AA15" s="5"/>
      <c r="AC15" s="5"/>
      <c r="AD15" s="5"/>
      <c r="AE15" s="5"/>
      <c r="AF15" s="5"/>
      <c r="AG15" s="5"/>
      <c r="AH15" s="5"/>
      <c r="AI15" s="5"/>
      <c r="AJ15" s="5"/>
      <c r="AK15" s="5"/>
      <c r="AL15" s="5"/>
    </row>
    <row r="16">
      <c r="A16" s="11">
        <v>44242</v>
      </c>
      <c r="B16" s="14">
        <f>96+162</f>
        <v>258</v>
      </c>
      <c r="C16" s="14"/>
      <c r="D16" s="14">
        <v>120</v>
      </c>
      <c r="E16" s="14"/>
      <c r="F16" s="14">
        <v>260</v>
      </c>
      <c r="G16" s="14"/>
      <c r="H16" s="14"/>
      <c r="I16" s="14"/>
      <c r="J16" s="14"/>
      <c r="K16" s="14"/>
      <c r="L16" s="14">
        <f>5000+550+159.99</f>
        <v>5709.9899999999998</v>
      </c>
      <c r="M16" s="14"/>
      <c r="N16" s="14"/>
      <c r="O16" s="14"/>
      <c r="P16" s="14"/>
      <c r="Q16" s="14"/>
      <c r="R16" s="14"/>
      <c r="S16" s="46"/>
      <c r="T16" s="8"/>
      <c r="U16" s="14">
        <f>194+193+99</f>
        <v>486</v>
      </c>
      <c r="V16" s="14"/>
      <c r="W16" s="14"/>
      <c r="X16" s="14"/>
      <c r="Y16" s="14"/>
      <c r="Z16" s="14"/>
      <c r="AA16" s="14"/>
      <c r="AB16" s="14"/>
      <c r="AC16" s="14"/>
      <c r="AD16" s="14"/>
      <c r="AE16" s="14"/>
      <c r="AF16" s="14"/>
      <c r="AG16" s="14"/>
      <c r="AH16" s="14"/>
      <c r="AI16" s="14"/>
      <c r="AJ16" s="14"/>
      <c r="AK16" s="14"/>
      <c r="AL16" s="14"/>
    </row>
    <row r="17">
      <c r="A17" s="11">
        <v>44243</v>
      </c>
      <c r="B17" s="5">
        <f>30+20</f>
        <v>50</v>
      </c>
      <c r="C17" s="5">
        <v>172.93000000000001</v>
      </c>
      <c r="D17" s="5"/>
      <c r="E17" s="5"/>
      <c r="F17" s="5">
        <v>195</v>
      </c>
      <c r="G17" s="5"/>
      <c r="H17" s="5"/>
      <c r="I17" s="5"/>
      <c r="J17" s="5"/>
      <c r="K17" s="5"/>
      <c r="L17" s="5"/>
      <c r="M17" s="5"/>
      <c r="N17" s="5"/>
      <c r="O17" s="5"/>
      <c r="P17" s="5">
        <v>199</v>
      </c>
      <c r="Q17" s="5"/>
      <c r="R17" s="5"/>
      <c r="S17" s="41"/>
      <c r="T17" s="8"/>
      <c r="U17" s="5">
        <f>60+156</f>
        <v>216</v>
      </c>
      <c r="V17" s="5"/>
      <c r="W17" s="5"/>
      <c r="X17" s="5"/>
      <c r="Y17" s="5"/>
      <c r="Z17" s="5"/>
      <c r="AA17" s="5"/>
      <c r="AB17" s="5"/>
      <c r="AC17" s="5"/>
      <c r="AD17" s="5"/>
      <c r="AE17" s="5"/>
      <c r="AF17" s="5"/>
      <c r="AG17" s="5"/>
      <c r="AH17" s="5"/>
      <c r="AI17" s="5"/>
      <c r="AJ17" s="5"/>
      <c r="AK17" s="5"/>
      <c r="AL17" s="5"/>
    </row>
    <row r="18">
      <c r="A18" s="11">
        <v>44244</v>
      </c>
      <c r="B18" s="14">
        <v>70</v>
      </c>
      <c r="C18" s="14"/>
      <c r="D18" s="14">
        <v>154</v>
      </c>
      <c r="E18" s="14"/>
      <c r="F18" s="14">
        <v>240</v>
      </c>
      <c r="G18" s="14"/>
      <c r="H18" s="14"/>
      <c r="I18" s="14"/>
      <c r="J18" s="14"/>
      <c r="K18" s="14"/>
      <c r="L18" s="14"/>
      <c r="M18" s="14"/>
      <c r="N18" s="14"/>
      <c r="O18" s="14"/>
      <c r="P18" s="14"/>
      <c r="Q18" s="14"/>
      <c r="R18" s="14"/>
      <c r="S18" s="46"/>
      <c r="T18" s="8"/>
      <c r="U18" s="14">
        <v>40</v>
      </c>
      <c r="V18" s="14">
        <v>455.95999999999998</v>
      </c>
      <c r="W18" s="14"/>
      <c r="X18" s="14"/>
      <c r="Y18" s="14"/>
      <c r="Z18" s="14"/>
      <c r="AA18" s="14"/>
      <c r="AB18" s="14"/>
      <c r="AC18" s="14"/>
      <c r="AD18" s="14"/>
      <c r="AE18" s="14"/>
      <c r="AF18" s="14"/>
      <c r="AG18" s="14"/>
      <c r="AH18" s="14"/>
      <c r="AI18" s="14"/>
      <c r="AJ18" s="14"/>
      <c r="AK18" s="14"/>
      <c r="AL18" s="14"/>
    </row>
    <row r="19">
      <c r="A19" s="11">
        <v>44245</v>
      </c>
      <c r="B19" s="5">
        <v>110</v>
      </c>
      <c r="C19" s="5"/>
      <c r="D19" s="5">
        <v>30</v>
      </c>
      <c r="E19" s="5"/>
      <c r="F19" s="5"/>
      <c r="G19" s="5"/>
      <c r="H19" s="5">
        <f>1279+1999</f>
        <v>3278</v>
      </c>
      <c r="I19" s="5"/>
      <c r="J19" s="5"/>
      <c r="K19" s="5"/>
      <c r="L19" s="5"/>
      <c r="M19" s="5"/>
      <c r="N19" s="5"/>
      <c r="O19" s="5"/>
      <c r="P19" s="5"/>
      <c r="Q19" s="5"/>
      <c r="R19" s="5"/>
      <c r="S19" s="41"/>
      <c r="T19" s="8"/>
      <c r="U19" s="5">
        <v>40</v>
      </c>
      <c r="V19" s="5">
        <f>71.97+123</f>
        <v>194.97</v>
      </c>
      <c r="W19" s="5"/>
      <c r="X19" s="5"/>
      <c r="Y19" s="5"/>
      <c r="Z19" s="5"/>
      <c r="AA19" s="5"/>
      <c r="AB19" s="5"/>
      <c r="AC19" s="5"/>
      <c r="AD19" s="5"/>
      <c r="AE19" s="5"/>
      <c r="AF19" s="5"/>
      <c r="AG19" s="5"/>
      <c r="AH19" s="5"/>
      <c r="AI19" s="5"/>
      <c r="AJ19" s="5"/>
      <c r="AK19" s="5"/>
      <c r="AL19" s="5"/>
    </row>
    <row r="20">
      <c r="A20" s="11">
        <v>44246</v>
      </c>
      <c r="B20" s="14">
        <v>60</v>
      </c>
      <c r="C20" s="14"/>
      <c r="D20" s="14">
        <f>255+374.95</f>
        <v>629.95000000000005</v>
      </c>
      <c r="E20" s="14"/>
      <c r="F20" s="14"/>
      <c r="G20" s="14"/>
      <c r="H20" s="14"/>
      <c r="I20" s="14"/>
      <c r="J20" s="14"/>
      <c r="K20" s="14"/>
      <c r="L20" s="14"/>
      <c r="M20" s="14"/>
      <c r="N20" s="14"/>
      <c r="O20" s="14">
        <v>730</v>
      </c>
      <c r="P20" s="34"/>
      <c r="Q20" s="14"/>
      <c r="R20" s="14"/>
      <c r="S20" s="46"/>
      <c r="T20" s="8"/>
      <c r="U20" s="14">
        <v>40</v>
      </c>
      <c r="V20" s="14">
        <f>159.99+530+66.4</f>
        <v>756.38999999999999</v>
      </c>
      <c r="W20" s="14"/>
      <c r="X20" s="14"/>
      <c r="Y20" s="14"/>
      <c r="Z20" s="14"/>
      <c r="AA20" s="14">
        <v>2300</v>
      </c>
      <c r="AB20" s="14">
        <v>122</v>
      </c>
      <c r="AC20" s="14"/>
      <c r="AD20" s="14"/>
      <c r="AE20" s="14">
        <v>110</v>
      </c>
      <c r="AF20" s="14"/>
      <c r="AG20" s="14"/>
      <c r="AH20" s="14"/>
      <c r="AI20" s="34"/>
      <c r="AJ20" s="14"/>
      <c r="AK20" s="14"/>
      <c r="AL20" s="14"/>
    </row>
    <row r="21">
      <c r="A21" s="11">
        <v>44247</v>
      </c>
      <c r="B21" s="35">
        <v>60</v>
      </c>
      <c r="C21" s="5"/>
      <c r="D21" s="5">
        <v>2299.9499999999998</v>
      </c>
      <c r="E21" s="5"/>
      <c r="F21" s="5"/>
      <c r="G21" s="5"/>
      <c r="H21" s="5"/>
      <c r="I21" s="5"/>
      <c r="J21" s="5"/>
      <c r="K21" s="5"/>
      <c r="L21" s="5"/>
      <c r="M21" s="5"/>
      <c r="N21" s="5"/>
      <c r="O21" s="5"/>
      <c r="P21" s="5"/>
      <c r="Q21" s="5"/>
      <c r="R21" s="5"/>
      <c r="S21" s="41"/>
      <c r="T21" s="8"/>
      <c r="U21" s="35">
        <f>20+69+79</f>
        <v>168</v>
      </c>
      <c r="V21" s="5"/>
      <c r="W21" s="5">
        <f>3000+300+5000</f>
        <v>8300</v>
      </c>
      <c r="X21" s="5"/>
      <c r="Y21" s="5"/>
      <c r="Z21" s="5"/>
      <c r="AA21" s="5"/>
      <c r="AB21" s="5"/>
      <c r="AC21" s="5"/>
      <c r="AD21" s="5"/>
      <c r="AE21" s="5"/>
      <c r="AF21" s="5"/>
      <c r="AG21" s="5"/>
      <c r="AH21" s="5"/>
      <c r="AI21" s="5"/>
      <c r="AJ21" s="5"/>
      <c r="AK21" s="5"/>
      <c r="AL21" s="5"/>
    </row>
    <row r="22">
      <c r="A22" s="11">
        <v>44248</v>
      </c>
      <c r="B22" s="14">
        <v>185</v>
      </c>
      <c r="C22" s="36"/>
      <c r="D22" s="36"/>
      <c r="E22" s="14"/>
      <c r="F22" s="14"/>
      <c r="G22" s="14"/>
      <c r="H22" s="14"/>
      <c r="I22" s="14"/>
      <c r="J22" s="14"/>
      <c r="K22" s="14"/>
      <c r="L22" s="14"/>
      <c r="M22" s="14"/>
      <c r="N22" s="14"/>
      <c r="O22" s="14"/>
      <c r="P22" s="14"/>
      <c r="Q22" s="14"/>
      <c r="R22" s="14"/>
      <c r="S22" s="46"/>
      <c r="T22" s="8"/>
      <c r="U22" s="14"/>
      <c r="V22" s="36"/>
      <c r="W22" s="36"/>
      <c r="X22" s="14"/>
      <c r="Y22" s="14"/>
      <c r="Z22" s="14"/>
      <c r="AA22" s="14"/>
      <c r="AB22" s="14"/>
      <c r="AC22" s="14"/>
      <c r="AD22" s="14"/>
      <c r="AE22" s="14"/>
      <c r="AF22" s="14"/>
      <c r="AG22" s="14"/>
      <c r="AH22" s="14"/>
      <c r="AI22" s="14"/>
      <c r="AJ22" s="14"/>
      <c r="AK22" s="14"/>
      <c r="AL22" s="14"/>
    </row>
    <row r="23">
      <c r="A23" s="11">
        <v>44249</v>
      </c>
      <c r="B23" s="5">
        <v>40</v>
      </c>
      <c r="E23" s="5"/>
      <c r="F23" s="5"/>
      <c r="G23" s="5"/>
      <c r="H23" s="5"/>
      <c r="I23" s="5"/>
      <c r="J23" s="5"/>
      <c r="K23" s="5"/>
      <c r="L23" s="5"/>
      <c r="M23" s="5"/>
      <c r="N23" s="5"/>
      <c r="O23" s="5"/>
      <c r="P23" s="5"/>
      <c r="Q23" s="5"/>
      <c r="R23" s="5"/>
      <c r="S23" s="41"/>
      <c r="T23" s="8"/>
      <c r="U23" s="5"/>
      <c r="V23">
        <v>966.38999999999999</v>
      </c>
      <c r="X23" s="5"/>
      <c r="Y23" s="5"/>
      <c r="Z23" s="5"/>
      <c r="AA23" s="5"/>
      <c r="AB23" s="5">
        <v>316.5</v>
      </c>
      <c r="AC23" s="5"/>
      <c r="AD23" s="5"/>
      <c r="AE23" s="5"/>
      <c r="AF23" s="5"/>
      <c r="AG23" s="5"/>
      <c r="AH23" s="5"/>
      <c r="AI23" s="5"/>
      <c r="AJ23" s="5"/>
      <c r="AK23" s="5"/>
      <c r="AL23" s="5"/>
    </row>
    <row r="24">
      <c r="A24" s="11">
        <v>44250</v>
      </c>
      <c r="B24" s="14"/>
      <c r="C24" s="14"/>
      <c r="D24" s="14"/>
      <c r="E24" s="14"/>
      <c r="F24" s="14"/>
      <c r="G24" s="14"/>
      <c r="H24" s="14"/>
      <c r="I24" s="14"/>
      <c r="J24" s="14"/>
      <c r="K24" s="14"/>
      <c r="L24" s="14"/>
      <c r="M24" s="14"/>
      <c r="N24" s="14"/>
      <c r="O24" s="14"/>
      <c r="P24" s="14"/>
      <c r="Q24" s="14"/>
      <c r="R24" s="14"/>
      <c r="S24" s="46"/>
      <c r="T24" s="8"/>
      <c r="U24" s="14"/>
      <c r="V24" s="14"/>
      <c r="W24" s="14"/>
      <c r="X24" s="14"/>
      <c r="Y24" s="14"/>
      <c r="Z24" s="14"/>
      <c r="AA24" s="14"/>
      <c r="AB24" s="14"/>
      <c r="AC24" s="14"/>
      <c r="AD24" s="14"/>
      <c r="AE24" s="14"/>
      <c r="AF24" s="14"/>
      <c r="AG24" s="14"/>
      <c r="AH24" s="14"/>
      <c r="AI24" s="14"/>
      <c r="AJ24" s="14"/>
      <c r="AK24" s="14"/>
      <c r="AL24" s="14"/>
    </row>
    <row r="25">
      <c r="A25" s="11">
        <v>44251</v>
      </c>
      <c r="B25" s="37">
        <v>30</v>
      </c>
      <c r="C25" s="5">
        <v>186.18000000000001</v>
      </c>
      <c r="D25" s="5">
        <v>58</v>
      </c>
      <c r="E25" s="5"/>
      <c r="F25" s="5"/>
      <c r="G25" s="5"/>
      <c r="H25" s="5"/>
      <c r="I25" s="5"/>
      <c r="J25" s="5"/>
      <c r="K25" s="5"/>
      <c r="L25" s="5"/>
      <c r="M25" s="5"/>
      <c r="N25" s="5"/>
      <c r="O25" s="5"/>
      <c r="P25" s="5"/>
      <c r="Q25" s="5"/>
      <c r="R25" s="5"/>
      <c r="S25" s="41"/>
      <c r="T25" s="8"/>
      <c r="V25" s="5"/>
      <c r="W25" s="5"/>
      <c r="X25" s="5"/>
      <c r="Y25" s="5"/>
      <c r="Z25" s="5"/>
      <c r="AA25" s="5"/>
      <c r="AB25" s="5"/>
      <c r="AC25" s="5"/>
      <c r="AD25" s="5"/>
      <c r="AE25" s="5"/>
      <c r="AF25" s="5"/>
      <c r="AG25" s="5"/>
      <c r="AH25" s="5"/>
      <c r="AI25" s="5"/>
      <c r="AJ25" s="5"/>
      <c r="AK25" s="5"/>
      <c r="AL25" s="5"/>
    </row>
    <row r="26">
      <c r="A26" s="11">
        <v>44252</v>
      </c>
      <c r="B26" s="14"/>
      <c r="C26" s="14"/>
      <c r="D26" s="14">
        <v>122</v>
      </c>
      <c r="E26" s="14"/>
      <c r="F26" s="14"/>
      <c r="G26" s="14"/>
      <c r="H26" s="14"/>
      <c r="I26" s="14"/>
      <c r="J26" s="14"/>
      <c r="K26" s="14"/>
      <c r="L26" s="14"/>
      <c r="M26" s="14"/>
      <c r="N26" s="14"/>
      <c r="O26" s="14"/>
      <c r="P26" s="14"/>
      <c r="Q26" s="14"/>
      <c r="R26" s="14"/>
      <c r="S26" s="46"/>
      <c r="T26" s="8"/>
      <c r="U26" s="14"/>
      <c r="V26" s="14"/>
      <c r="W26" s="14"/>
      <c r="X26" s="14"/>
      <c r="Y26" s="14"/>
      <c r="Z26" s="14"/>
      <c r="AA26" s="14"/>
      <c r="AB26" s="14"/>
      <c r="AC26" s="14"/>
      <c r="AD26" s="14"/>
      <c r="AE26" s="14"/>
      <c r="AF26" s="14"/>
      <c r="AG26" s="14"/>
      <c r="AH26" s="14"/>
      <c r="AI26" s="14"/>
      <c r="AJ26" s="14"/>
      <c r="AK26" s="14"/>
      <c r="AL26" s="14"/>
    </row>
    <row r="27">
      <c r="A27" s="11">
        <v>44253</v>
      </c>
      <c r="B27" s="5">
        <f>40+50</f>
        <v>90</v>
      </c>
      <c r="C27" s="5">
        <v>62.990000000000002</v>
      </c>
      <c r="D27" s="5">
        <v>380</v>
      </c>
      <c r="E27" s="5"/>
      <c r="F27" s="5"/>
      <c r="G27" s="5"/>
      <c r="H27" s="5"/>
      <c r="I27" s="5">
        <v>82</v>
      </c>
      <c r="J27" s="5"/>
      <c r="K27" s="5"/>
      <c r="L27" s="5"/>
      <c r="M27" s="5"/>
      <c r="N27" s="5"/>
      <c r="O27" s="5"/>
      <c r="P27" s="5"/>
      <c r="Q27" s="5"/>
      <c r="R27" s="5"/>
      <c r="S27" s="41"/>
      <c r="T27" s="8"/>
      <c r="U27" s="5"/>
      <c r="V27" s="5"/>
      <c r="W27" s="5"/>
      <c r="X27" s="5"/>
      <c r="Y27" s="5"/>
      <c r="Z27" s="5"/>
      <c r="AA27" s="5"/>
      <c r="AB27" s="5"/>
      <c r="AC27" s="5"/>
      <c r="AD27" s="5"/>
      <c r="AE27" s="5"/>
      <c r="AF27" s="5"/>
      <c r="AG27" s="5"/>
      <c r="AH27" s="5"/>
      <c r="AI27" s="5"/>
      <c r="AJ27" s="5"/>
      <c r="AK27" s="5"/>
      <c r="AL27" s="5"/>
    </row>
    <row r="28">
      <c r="A28" s="11">
        <v>44254</v>
      </c>
      <c r="B28" s="14">
        <v>40</v>
      </c>
      <c r="C28" s="14"/>
      <c r="D28" s="14"/>
      <c r="E28" s="14">
        <v>1000</v>
      </c>
      <c r="F28" s="14"/>
      <c r="G28" s="14"/>
      <c r="H28" s="14"/>
      <c r="I28" s="14"/>
      <c r="J28" s="14"/>
      <c r="K28" s="14"/>
      <c r="L28" s="14"/>
      <c r="M28" s="14"/>
      <c r="N28" s="14"/>
      <c r="O28" s="14"/>
      <c r="P28" s="14"/>
      <c r="Q28" s="14"/>
      <c r="R28" s="14"/>
      <c r="S28" s="46"/>
      <c r="T28" s="8"/>
      <c r="U28" s="14"/>
      <c r="V28" s="14"/>
      <c r="W28" s="14"/>
      <c r="X28" s="14"/>
      <c r="Y28" s="14"/>
      <c r="Z28" s="14"/>
      <c r="AA28" s="14"/>
      <c r="AB28" s="14"/>
      <c r="AC28" s="14"/>
      <c r="AD28" s="14"/>
      <c r="AE28" s="14"/>
      <c r="AF28" s="14"/>
      <c r="AG28" s="14"/>
      <c r="AH28" s="14"/>
      <c r="AI28" s="14"/>
      <c r="AJ28" s="14"/>
      <c r="AK28" s="14"/>
      <c r="AL28" s="14"/>
    </row>
    <row r="29">
      <c r="A29" s="11">
        <v>44255</v>
      </c>
      <c r="B29" s="5"/>
      <c r="C29" s="5"/>
      <c r="D29" s="5"/>
      <c r="E29" s="5"/>
      <c r="F29" s="5">
        <v>199</v>
      </c>
      <c r="G29" s="5"/>
      <c r="H29" s="5"/>
      <c r="I29" s="5"/>
      <c r="J29" s="5"/>
      <c r="K29" s="5"/>
      <c r="L29" s="5"/>
      <c r="M29" s="5"/>
      <c r="N29" s="5"/>
      <c r="O29" s="5"/>
      <c r="P29" s="5"/>
      <c r="Q29" s="5"/>
      <c r="R29" s="5"/>
      <c r="S29" s="41"/>
      <c r="T29" s="8"/>
      <c r="U29" s="5"/>
      <c r="V29" s="5"/>
      <c r="W29" s="5"/>
      <c r="X29" s="5"/>
      <c r="Y29" s="5"/>
      <c r="Z29" s="5"/>
      <c r="AA29" s="5"/>
      <c r="AB29" s="5"/>
      <c r="AC29" s="5"/>
      <c r="AD29" s="5"/>
      <c r="AE29" s="5"/>
      <c r="AF29" s="5"/>
      <c r="AG29" s="5"/>
      <c r="AH29" s="5"/>
      <c r="AI29" s="5"/>
      <c r="AJ29" s="5"/>
      <c r="AK29" s="5"/>
      <c r="AL29" s="5"/>
    </row>
    <row r="30">
      <c r="A30" s="7"/>
      <c r="B30" s="7">
        <f t="shared" ref="B30:Q30" si="45">SUM(B2:B29)</f>
        <v>3149</v>
      </c>
      <c r="C30" s="7">
        <f t="shared" si="45"/>
        <v>3743.3199999999997</v>
      </c>
      <c r="D30" s="7">
        <f t="shared" si="45"/>
        <v>7187.6399999999994</v>
      </c>
      <c r="E30" s="7">
        <f t="shared" si="45"/>
        <v>1000</v>
      </c>
      <c r="F30" s="7">
        <f t="shared" si="45"/>
        <v>894</v>
      </c>
      <c r="G30" s="7">
        <f t="shared" si="45"/>
        <v>0</v>
      </c>
      <c r="H30" s="7">
        <f t="shared" si="45"/>
        <v>3278</v>
      </c>
      <c r="I30" s="7">
        <f t="shared" si="45"/>
        <v>9973.6000000000004</v>
      </c>
      <c r="J30" s="7">
        <f t="shared" si="45"/>
        <v>0</v>
      </c>
      <c r="K30" s="7">
        <f t="shared" si="45"/>
        <v>0</v>
      </c>
      <c r="L30" s="7">
        <f t="shared" si="45"/>
        <v>7719.9799999999996</v>
      </c>
      <c r="M30" s="7">
        <f t="shared" si="45"/>
        <v>0</v>
      </c>
      <c r="N30" s="7">
        <f t="shared" si="45"/>
        <v>0</v>
      </c>
      <c r="O30" s="7">
        <f t="shared" si="45"/>
        <v>730</v>
      </c>
      <c r="P30" s="7">
        <f t="shared" si="45"/>
        <v>199</v>
      </c>
      <c r="Q30" s="7">
        <f t="shared" si="45"/>
        <v>377.89999999999998</v>
      </c>
      <c r="R30" s="7">
        <f>SUM(R2:R29)</f>
        <v>1500</v>
      </c>
      <c r="S30" s="47">
        <f>SUM(B30:R30)</f>
        <v>39752.439999999995</v>
      </c>
      <c r="T30" s="8"/>
      <c r="U30" s="7">
        <f t="shared" ref="U30:AJ30" si="46">SUM(U2:U29)</f>
        <v>1532</v>
      </c>
      <c r="V30" s="7">
        <f t="shared" si="46"/>
        <v>5924.5300000000016</v>
      </c>
      <c r="W30" s="7">
        <f t="shared" si="46"/>
        <v>8300</v>
      </c>
      <c r="X30" s="7">
        <f t="shared" si="46"/>
        <v>0</v>
      </c>
      <c r="Y30" s="7">
        <f t="shared" si="46"/>
        <v>0</v>
      </c>
      <c r="Z30" s="7">
        <f t="shared" si="46"/>
        <v>0</v>
      </c>
      <c r="AA30" s="7">
        <f t="shared" si="46"/>
        <v>2300</v>
      </c>
      <c r="AB30" s="7">
        <f t="shared" si="46"/>
        <v>1121.4000000000001</v>
      </c>
      <c r="AC30" s="7">
        <f t="shared" si="46"/>
        <v>0</v>
      </c>
      <c r="AD30" s="7">
        <f t="shared" si="46"/>
        <v>0</v>
      </c>
      <c r="AE30" s="7">
        <f t="shared" si="46"/>
        <v>110</v>
      </c>
      <c r="AF30" s="7">
        <f t="shared" si="46"/>
        <v>0</v>
      </c>
      <c r="AG30" s="7">
        <f t="shared" si="46"/>
        <v>40</v>
      </c>
      <c r="AH30" s="7">
        <f t="shared" si="46"/>
        <v>1100</v>
      </c>
      <c r="AI30" s="7">
        <f t="shared" si="46"/>
        <v>0</v>
      </c>
      <c r="AJ30" s="7">
        <f t="shared" si="46"/>
        <v>0</v>
      </c>
      <c r="AK30" s="7" t="s">
        <v>14</v>
      </c>
      <c r="AL30" s="47">
        <f>SUM(U30:AJ30)</f>
        <v>20427.930000000004</v>
      </c>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5"/>
      <c r="AE31" s="5"/>
      <c r="AF31" s="5"/>
      <c r="AG31" s="5"/>
      <c r="AH31" s="5"/>
      <c r="AI31" s="5"/>
      <c r="AJ31" s="5"/>
      <c r="AK31" s="5"/>
      <c r="AL31" s="5"/>
    </row>
    <row r="32">
      <c r="A32" s="10" t="s">
        <v>0</v>
      </c>
      <c r="B32" s="10" t="s">
        <v>50</v>
      </c>
      <c r="C32" s="10" t="s">
        <v>13</v>
      </c>
      <c r="D32" s="10" t="s">
        <v>11</v>
      </c>
      <c r="E32" s="10" t="s">
        <v>51</v>
      </c>
      <c r="F32" s="10" t="s">
        <v>52</v>
      </c>
      <c r="G32" s="10" t="s">
        <v>53</v>
      </c>
      <c r="H32" s="10" t="s">
        <v>54</v>
      </c>
      <c r="I32" s="10" t="s">
        <v>55</v>
      </c>
      <c r="J32" s="5"/>
      <c r="K32" s="5"/>
      <c r="L32" s="5"/>
      <c r="M32" s="5"/>
      <c r="N32" s="5"/>
      <c r="O32" s="5"/>
      <c r="P32" s="5"/>
      <c r="Q32" s="5"/>
      <c r="R32" s="5"/>
      <c r="S32" s="5"/>
      <c r="T32" s="8"/>
      <c r="U32" s="10" t="s">
        <v>0</v>
      </c>
      <c r="V32" s="10" t="s">
        <v>15</v>
      </c>
      <c r="W32" s="10" t="s">
        <v>64</v>
      </c>
      <c r="X32" s="10" t="s">
        <v>17</v>
      </c>
      <c r="Y32" s="10" t="s">
        <v>18</v>
      </c>
      <c r="Z32" s="10" t="s">
        <v>21</v>
      </c>
      <c r="AA32" s="10" t="s">
        <v>26</v>
      </c>
      <c r="AB32" s="10" t="s">
        <v>27</v>
      </c>
      <c r="AC32" s="1"/>
      <c r="AD32" s="5"/>
      <c r="AE32" s="5"/>
      <c r="AF32" s="5"/>
      <c r="AG32" s="5"/>
      <c r="AH32" s="5"/>
      <c r="AI32" s="5"/>
      <c r="AJ32" s="5"/>
      <c r="AK32" s="5"/>
      <c r="AL32" s="5"/>
    </row>
    <row r="33">
      <c r="A33" s="11">
        <v>44228</v>
      </c>
      <c r="B33" s="14"/>
      <c r="C33" s="14"/>
      <c r="D33" s="14"/>
      <c r="E33" s="14"/>
      <c r="F33" s="14"/>
      <c r="G33" s="14"/>
      <c r="H33" s="14"/>
      <c r="I33" s="14"/>
      <c r="J33" s="5"/>
      <c r="K33" s="5"/>
      <c r="L33" s="5"/>
      <c r="M33" s="5"/>
      <c r="N33" s="6"/>
      <c r="O33" s="6"/>
      <c r="P33" s="5"/>
      <c r="Q33" s="5"/>
      <c r="R33" s="5"/>
      <c r="S33" s="5"/>
      <c r="T33" s="8"/>
      <c r="U33" s="11">
        <v>44228</v>
      </c>
      <c r="V33" s="14"/>
      <c r="W33" s="14"/>
      <c r="X33" s="14"/>
      <c r="Y33" s="14"/>
      <c r="Z33" s="14"/>
      <c r="AA33" s="14"/>
      <c r="AB33" s="14"/>
      <c r="AC33" s="14"/>
      <c r="AD33" s="5"/>
      <c r="AE33" s="5"/>
      <c r="AF33" s="5"/>
      <c r="AG33" s="5"/>
      <c r="AH33" s="5"/>
      <c r="AI33" s="5"/>
      <c r="AJ33" s="5"/>
      <c r="AK33" s="5"/>
      <c r="AL33" s="5"/>
    </row>
    <row r="34">
      <c r="A34" s="11">
        <v>44229</v>
      </c>
      <c r="B34" s="5"/>
      <c r="C34" s="5"/>
      <c r="D34" s="5"/>
      <c r="E34" s="5"/>
      <c r="F34" s="5"/>
      <c r="G34" s="5"/>
      <c r="H34" s="5"/>
      <c r="I34" s="5"/>
      <c r="J34" s="5"/>
      <c r="K34" s="5"/>
      <c r="L34" s="5"/>
      <c r="M34" s="5"/>
      <c r="N34" s="5"/>
      <c r="O34" s="5"/>
      <c r="P34" s="5"/>
      <c r="Q34" s="5"/>
      <c r="R34" s="5"/>
      <c r="S34" s="5"/>
      <c r="T34" s="8"/>
      <c r="U34" s="11">
        <v>44229</v>
      </c>
      <c r="V34" s="5"/>
      <c r="W34" s="5"/>
      <c r="X34" s="5"/>
      <c r="Y34" s="5"/>
      <c r="Z34" s="5"/>
      <c r="AA34" s="5"/>
      <c r="AB34" s="5"/>
      <c r="AC34" s="5"/>
      <c r="AD34" s="5"/>
      <c r="AE34" s="5"/>
      <c r="AF34" s="5"/>
      <c r="AG34" s="5"/>
      <c r="AH34" s="5"/>
      <c r="AI34" s="5"/>
      <c r="AJ34" s="5"/>
      <c r="AK34" s="5"/>
      <c r="AL34" s="5"/>
    </row>
    <row r="35">
      <c r="A35" s="11">
        <v>44230</v>
      </c>
      <c r="B35" s="14"/>
      <c r="C35" s="14"/>
      <c r="D35" s="14"/>
      <c r="E35" s="14"/>
      <c r="F35" s="14">
        <v>2001</v>
      </c>
      <c r="G35" s="14"/>
      <c r="H35" s="14"/>
      <c r="I35" s="14"/>
      <c r="J35" s="5"/>
      <c r="K35" s="5"/>
      <c r="L35" s="5"/>
      <c r="M35" s="5"/>
      <c r="N35" s="5"/>
      <c r="O35" s="5"/>
      <c r="P35" s="5"/>
      <c r="Q35" s="5"/>
      <c r="R35" s="5"/>
      <c r="S35" s="5"/>
      <c r="T35" s="8"/>
      <c r="U35" s="11">
        <v>44230</v>
      </c>
      <c r="V35" s="14"/>
      <c r="W35" s="14"/>
      <c r="X35" s="14"/>
      <c r="Y35" s="14"/>
      <c r="Z35" s="14"/>
      <c r="AA35" s="14"/>
      <c r="AB35" s="14"/>
      <c r="AC35" s="14"/>
      <c r="AD35" s="5"/>
      <c r="AE35" s="5"/>
      <c r="AF35" s="5"/>
      <c r="AG35" s="5"/>
      <c r="AH35" s="5"/>
      <c r="AI35" s="5"/>
      <c r="AJ35" s="5"/>
      <c r="AK35" s="5"/>
      <c r="AL35" s="5"/>
    </row>
    <row r="36">
      <c r="A36" s="11">
        <v>44231</v>
      </c>
      <c r="B36" s="5">
        <v>26255.209999999999</v>
      </c>
      <c r="C36" s="5"/>
      <c r="D36" s="5"/>
      <c r="E36" s="5">
        <f>108.96</f>
        <v>108.95999999999999</v>
      </c>
      <c r="F36" s="5"/>
      <c r="G36" s="5"/>
      <c r="H36" s="5"/>
      <c r="I36" s="5">
        <f>52.5+1067</f>
        <v>1119.5</v>
      </c>
      <c r="J36" s="5"/>
      <c r="K36" s="5"/>
      <c r="L36" s="5"/>
      <c r="M36" s="5"/>
      <c r="N36" s="5"/>
      <c r="O36" s="5"/>
      <c r="P36" s="5"/>
      <c r="Q36" s="5"/>
      <c r="R36" s="5"/>
      <c r="S36" s="5"/>
      <c r="T36" s="8"/>
      <c r="U36" s="11">
        <v>44231</v>
      </c>
      <c r="V36" s="5"/>
      <c r="W36" s="5"/>
      <c r="X36" s="5"/>
      <c r="Y36" s="5"/>
      <c r="Z36" s="5"/>
      <c r="AA36" s="5"/>
      <c r="AB36" s="5"/>
      <c r="AC36" s="5"/>
      <c r="AD36" s="5"/>
      <c r="AE36" s="5"/>
      <c r="AF36" s="5"/>
      <c r="AG36" s="5"/>
      <c r="AH36" s="5"/>
      <c r="AI36" s="5"/>
      <c r="AJ36" s="5"/>
      <c r="AK36" s="5"/>
      <c r="AL36" s="5"/>
    </row>
    <row r="37">
      <c r="A37" s="11">
        <v>44232</v>
      </c>
      <c r="B37" s="14"/>
      <c r="C37" s="14"/>
      <c r="D37" s="14"/>
      <c r="E37" s="14">
        <v>829</v>
      </c>
      <c r="F37" s="14"/>
      <c r="G37" s="14"/>
      <c r="H37" s="14"/>
      <c r="I37" s="14"/>
      <c r="J37" s="5"/>
      <c r="K37" s="5"/>
      <c r="L37" s="5"/>
      <c r="M37" s="5"/>
      <c r="N37" s="5"/>
      <c r="O37" s="5"/>
      <c r="P37" s="5"/>
      <c r="Q37" s="5"/>
      <c r="R37" s="5"/>
      <c r="S37" s="5"/>
      <c r="T37" s="8"/>
      <c r="U37" s="11">
        <v>44232</v>
      </c>
      <c r="V37" s="14"/>
      <c r="W37" s="14"/>
      <c r="X37" s="14"/>
      <c r="Y37" s="14"/>
      <c r="Z37" s="14"/>
      <c r="AA37" s="14"/>
      <c r="AB37" s="14"/>
      <c r="AC37" s="14"/>
      <c r="AD37" s="5"/>
      <c r="AE37" s="5"/>
      <c r="AF37" s="5"/>
      <c r="AG37" s="5"/>
      <c r="AH37" s="5"/>
      <c r="AI37" s="5"/>
      <c r="AJ37" s="5"/>
      <c r="AK37" s="5"/>
      <c r="AL37" s="5"/>
    </row>
    <row r="38">
      <c r="A38" s="11">
        <v>44233</v>
      </c>
      <c r="B38" s="5"/>
      <c r="C38" s="5"/>
      <c r="D38" s="5"/>
      <c r="E38" s="5"/>
      <c r="F38" s="5"/>
      <c r="G38" s="5"/>
      <c r="H38" s="5"/>
      <c r="I38" s="5"/>
      <c r="J38" s="5"/>
      <c r="K38" s="5"/>
      <c r="L38" s="5"/>
      <c r="M38" s="5"/>
      <c r="N38" s="5"/>
      <c r="O38" s="5"/>
      <c r="P38" s="5"/>
      <c r="Q38" s="5"/>
      <c r="R38" s="5"/>
      <c r="S38" s="5"/>
      <c r="T38" s="8"/>
      <c r="U38" s="11">
        <v>44233</v>
      </c>
      <c r="V38" s="5"/>
      <c r="W38" s="5">
        <v>1500</v>
      </c>
      <c r="X38" s="5"/>
      <c r="Y38" s="5"/>
      <c r="Z38" s="5"/>
      <c r="AA38" s="5"/>
      <c r="AB38" s="5"/>
      <c r="AC38" s="5"/>
      <c r="AD38" s="5"/>
      <c r="AE38" s="5"/>
      <c r="AF38" s="5"/>
      <c r="AG38" s="5"/>
      <c r="AH38" s="5"/>
      <c r="AI38" s="5"/>
      <c r="AJ38" s="5"/>
      <c r="AK38" s="5"/>
      <c r="AL38" s="5"/>
    </row>
    <row r="39">
      <c r="A39" s="11">
        <v>44234</v>
      </c>
      <c r="B39" s="14"/>
      <c r="C39" s="14"/>
      <c r="D39" s="14"/>
      <c r="E39" s="14"/>
      <c r="F39" s="14"/>
      <c r="G39" s="14"/>
      <c r="H39" s="14"/>
      <c r="I39" s="14"/>
      <c r="J39" s="5"/>
      <c r="K39" s="5"/>
      <c r="L39" s="5"/>
      <c r="M39" s="5"/>
      <c r="N39" s="5"/>
      <c r="O39" s="5"/>
      <c r="P39" s="5"/>
      <c r="Q39" s="5"/>
      <c r="R39" s="5"/>
      <c r="S39" s="5"/>
      <c r="T39" s="8"/>
      <c r="U39" s="11">
        <v>44234</v>
      </c>
      <c r="V39" s="14"/>
      <c r="W39" s="14"/>
      <c r="X39" s="14"/>
      <c r="Y39" s="14"/>
      <c r="Z39" s="14"/>
      <c r="AA39" s="14"/>
      <c r="AB39" s="14"/>
      <c r="AC39" s="14"/>
      <c r="AD39" s="5"/>
      <c r="AE39" s="5"/>
      <c r="AF39" s="5"/>
      <c r="AG39" s="5"/>
      <c r="AH39" s="5"/>
      <c r="AI39" s="5"/>
      <c r="AJ39" s="5"/>
      <c r="AK39" s="5"/>
      <c r="AL39" s="5"/>
    </row>
    <row r="40">
      <c r="A40" s="11">
        <v>44235</v>
      </c>
      <c r="B40" s="5"/>
      <c r="C40" s="5"/>
      <c r="D40" s="5"/>
      <c r="E40" s="5"/>
      <c r="F40" s="5"/>
      <c r="G40" s="5"/>
      <c r="H40" s="5"/>
      <c r="I40" s="5"/>
      <c r="J40" s="5"/>
      <c r="K40" s="5"/>
      <c r="L40" s="5"/>
      <c r="M40" s="5"/>
      <c r="N40" s="5"/>
      <c r="O40" s="5"/>
      <c r="P40" s="5"/>
      <c r="Q40" s="5"/>
      <c r="R40" s="5"/>
      <c r="S40" s="5"/>
      <c r="T40" s="8"/>
      <c r="U40" s="11">
        <v>44235</v>
      </c>
      <c r="V40" s="5"/>
      <c r="W40" s="5"/>
      <c r="X40" s="5"/>
      <c r="Y40" s="5"/>
      <c r="Z40" s="5"/>
      <c r="AA40" s="5"/>
      <c r="AB40" s="5"/>
      <c r="AC40" s="5"/>
      <c r="AD40" s="5"/>
      <c r="AE40" s="5"/>
      <c r="AF40" s="5"/>
      <c r="AG40" s="5"/>
      <c r="AH40" s="5"/>
      <c r="AI40" s="5"/>
      <c r="AJ40" s="5"/>
      <c r="AK40" s="5"/>
      <c r="AL40" s="5"/>
    </row>
    <row r="41">
      <c r="A41" s="11">
        <v>44236</v>
      </c>
      <c r="B41" s="38"/>
      <c r="C41" s="14"/>
      <c r="D41" s="14"/>
      <c r="E41" s="14"/>
      <c r="F41" s="14"/>
      <c r="G41" s="14"/>
      <c r="H41" s="14"/>
      <c r="I41" s="14"/>
      <c r="J41" s="5"/>
      <c r="K41" s="5"/>
      <c r="L41" s="5"/>
      <c r="M41" s="5"/>
      <c r="N41" s="5"/>
      <c r="O41" s="5"/>
      <c r="P41" s="5"/>
      <c r="Q41" s="5"/>
      <c r="R41" s="5"/>
      <c r="S41" s="5"/>
      <c r="T41" s="8"/>
      <c r="U41" s="11">
        <v>44236</v>
      </c>
      <c r="V41" s="38"/>
      <c r="W41" s="14"/>
      <c r="X41" s="14"/>
      <c r="Y41" s="14"/>
      <c r="Z41" s="14"/>
      <c r="AA41" s="14"/>
      <c r="AB41" s="14"/>
      <c r="AC41" s="14"/>
      <c r="AD41" s="5"/>
      <c r="AE41" s="5"/>
      <c r="AF41" s="5"/>
      <c r="AG41" s="5"/>
      <c r="AH41" s="5"/>
      <c r="AI41" s="5"/>
      <c r="AJ41" s="5"/>
      <c r="AK41" s="5"/>
      <c r="AL41" s="5"/>
    </row>
    <row r="42">
      <c r="A42" s="11">
        <v>44237</v>
      </c>
      <c r="B42" s="5"/>
      <c r="C42" s="5"/>
      <c r="D42" s="5"/>
      <c r="E42" s="5"/>
      <c r="F42" s="5"/>
      <c r="G42" s="5"/>
      <c r="H42" s="5"/>
      <c r="I42" s="5"/>
      <c r="J42" s="5"/>
      <c r="K42" s="5"/>
      <c r="L42" s="5"/>
      <c r="M42" s="5"/>
      <c r="N42" s="5"/>
      <c r="O42" s="5"/>
      <c r="P42" s="5"/>
      <c r="Q42" s="5"/>
      <c r="R42" s="5"/>
      <c r="S42" s="5"/>
      <c r="T42" s="8"/>
      <c r="U42" s="11">
        <v>44237</v>
      </c>
      <c r="V42" s="5"/>
      <c r="W42" s="5"/>
      <c r="X42" s="5"/>
      <c r="Y42" s="5"/>
      <c r="Z42" s="5"/>
      <c r="AA42" s="5"/>
      <c r="AB42" s="5"/>
      <c r="AC42" s="5"/>
      <c r="AD42" s="5"/>
      <c r="AE42" s="5"/>
      <c r="AF42" s="5"/>
      <c r="AG42" s="5"/>
      <c r="AH42" s="5"/>
      <c r="AI42" s="5"/>
      <c r="AJ42" s="5"/>
      <c r="AK42" s="5"/>
      <c r="AL42" s="5"/>
    </row>
    <row r="43">
      <c r="A43" s="11">
        <v>44238</v>
      </c>
      <c r="B43" s="14"/>
      <c r="C43" s="14"/>
      <c r="D43" s="14"/>
      <c r="E43" s="14"/>
      <c r="F43" s="14"/>
      <c r="G43" s="14"/>
      <c r="H43" s="14"/>
      <c r="I43" s="14"/>
      <c r="J43" s="5"/>
      <c r="K43" s="5"/>
      <c r="L43" s="5"/>
      <c r="M43" s="5"/>
      <c r="N43" s="5"/>
      <c r="O43" s="5"/>
      <c r="P43" s="5"/>
      <c r="Q43" s="5"/>
      <c r="R43" s="5"/>
      <c r="S43" s="5"/>
      <c r="T43" s="8"/>
      <c r="U43" s="11">
        <v>44238</v>
      </c>
      <c r="V43" s="14">
        <v>19625.380000000001</v>
      </c>
      <c r="W43" s="14"/>
      <c r="X43" s="14"/>
      <c r="Y43" s="14"/>
      <c r="Z43" s="14"/>
      <c r="AA43" s="14"/>
      <c r="AB43" s="14"/>
      <c r="AC43" s="14"/>
      <c r="AD43" s="5"/>
      <c r="AE43" s="5"/>
      <c r="AF43" s="5"/>
      <c r="AG43" s="5"/>
      <c r="AH43" s="5"/>
      <c r="AI43" s="5"/>
      <c r="AJ43" s="5"/>
      <c r="AK43" s="5"/>
      <c r="AL43" s="5"/>
    </row>
    <row r="44">
      <c r="A44" s="11">
        <v>44239</v>
      </c>
      <c r="B44" s="5"/>
      <c r="C44" s="5"/>
      <c r="D44" s="5"/>
      <c r="E44" s="5"/>
      <c r="F44" s="5"/>
      <c r="G44" s="5"/>
      <c r="H44" s="5"/>
      <c r="I44" s="5"/>
      <c r="J44" s="5"/>
      <c r="K44" s="5"/>
      <c r="L44" s="5"/>
      <c r="M44" s="5"/>
      <c r="N44" s="5"/>
      <c r="O44" s="5"/>
      <c r="P44" s="5"/>
      <c r="Q44" s="5"/>
      <c r="R44" s="5"/>
      <c r="S44" s="5"/>
      <c r="T44" s="8"/>
      <c r="U44" s="11">
        <v>44239</v>
      </c>
      <c r="V44" s="5"/>
      <c r="W44" s="5"/>
      <c r="X44" s="5"/>
      <c r="Y44" s="5"/>
      <c r="Z44" s="5"/>
      <c r="AA44" s="5"/>
      <c r="AB44" s="5"/>
      <c r="AC44" s="5"/>
      <c r="AD44" s="5"/>
      <c r="AE44" s="5"/>
      <c r="AF44" s="5"/>
      <c r="AG44" s="5"/>
      <c r="AH44" s="5"/>
      <c r="AI44" s="5"/>
      <c r="AJ44" s="5"/>
      <c r="AK44" s="5"/>
      <c r="AL44" s="5"/>
    </row>
    <row r="45">
      <c r="A45" s="11">
        <v>44240</v>
      </c>
      <c r="B45" s="14"/>
      <c r="C45" s="14"/>
      <c r="D45" s="14"/>
      <c r="E45" s="14"/>
      <c r="F45" s="14"/>
      <c r="G45" s="14"/>
      <c r="H45" s="14"/>
      <c r="I45" s="14"/>
      <c r="J45" s="5"/>
      <c r="K45" s="5"/>
      <c r="L45" s="5"/>
      <c r="M45" s="5"/>
      <c r="N45" s="5"/>
      <c r="O45" s="5"/>
      <c r="P45" s="5"/>
      <c r="Q45" s="5"/>
      <c r="R45" s="5"/>
      <c r="S45" s="5"/>
      <c r="T45" s="8"/>
      <c r="U45" s="11">
        <v>44240</v>
      </c>
      <c r="V45" s="14"/>
      <c r="W45" s="14"/>
      <c r="X45" s="14"/>
      <c r="Y45" s="14"/>
      <c r="Z45" s="14"/>
      <c r="AA45" s="14"/>
      <c r="AB45" s="14"/>
      <c r="AC45" s="14"/>
      <c r="AD45" s="5"/>
      <c r="AE45" s="5"/>
      <c r="AF45" s="5"/>
      <c r="AG45" s="5"/>
      <c r="AH45" s="5"/>
      <c r="AI45" s="5"/>
      <c r="AJ45" s="5"/>
      <c r="AK45" s="5"/>
      <c r="AL45" s="5"/>
    </row>
    <row r="46">
      <c r="A46" s="11">
        <v>44241</v>
      </c>
      <c r="B46" s="5"/>
      <c r="C46" s="5"/>
      <c r="D46" s="5"/>
      <c r="E46" s="5"/>
      <c r="F46" s="5"/>
      <c r="G46" s="5"/>
      <c r="H46" s="5"/>
      <c r="I46" s="5"/>
      <c r="J46" s="5"/>
      <c r="K46" s="5"/>
      <c r="L46" s="5"/>
      <c r="M46" s="5"/>
      <c r="N46" s="5"/>
      <c r="O46" s="5"/>
      <c r="P46" s="5"/>
      <c r="Q46" s="5"/>
      <c r="R46" s="5"/>
      <c r="S46" s="5"/>
      <c r="T46" s="8"/>
      <c r="U46" s="11">
        <v>44241</v>
      </c>
      <c r="V46" s="5"/>
      <c r="W46" s="5"/>
      <c r="X46" s="5"/>
      <c r="Y46" s="5"/>
      <c r="Z46" s="5"/>
      <c r="AA46" s="5"/>
      <c r="AB46" s="5"/>
      <c r="AC46" s="5"/>
      <c r="AD46" s="5"/>
      <c r="AE46" s="5"/>
      <c r="AF46" s="5"/>
      <c r="AG46" s="5"/>
      <c r="AH46" s="5"/>
      <c r="AI46" s="5"/>
      <c r="AJ46" s="5"/>
      <c r="AK46" s="5"/>
      <c r="AL46" s="5"/>
    </row>
    <row r="47">
      <c r="A47" s="11">
        <v>44242</v>
      </c>
      <c r="B47" s="14"/>
      <c r="C47" s="14"/>
      <c r="D47" s="14"/>
      <c r="E47" s="14"/>
      <c r="F47" s="14"/>
      <c r="G47" s="14"/>
      <c r="H47" s="14"/>
      <c r="I47" s="14"/>
      <c r="J47" s="5"/>
      <c r="K47" s="5"/>
      <c r="L47" s="5"/>
      <c r="M47" s="5"/>
      <c r="N47" s="5"/>
      <c r="O47" s="5"/>
      <c r="P47" s="5"/>
      <c r="Q47" s="5"/>
      <c r="R47" s="5"/>
      <c r="S47" s="5"/>
      <c r="T47" s="8"/>
      <c r="U47" s="11">
        <v>44242</v>
      </c>
      <c r="V47" s="14"/>
      <c r="W47" s="14"/>
      <c r="X47" s="14">
        <v>12500</v>
      </c>
      <c r="Y47" s="14"/>
      <c r="Z47" s="14"/>
      <c r="AA47" s="14"/>
      <c r="AB47" s="14"/>
      <c r="AC47" s="14"/>
      <c r="AD47" s="5"/>
      <c r="AE47" s="5"/>
      <c r="AF47" s="5"/>
      <c r="AG47" s="5"/>
      <c r="AH47" s="5"/>
      <c r="AI47" s="5"/>
      <c r="AJ47" s="5"/>
      <c r="AK47" s="5"/>
      <c r="AL47" s="5"/>
    </row>
    <row r="48">
      <c r="A48" s="11">
        <v>44243</v>
      </c>
      <c r="B48" s="5"/>
      <c r="C48" s="5"/>
      <c r="D48" s="5"/>
      <c r="E48" s="5"/>
      <c r="F48" s="5">
        <f>56000-46999</f>
        <v>9001</v>
      </c>
      <c r="G48" s="5"/>
      <c r="H48" s="5"/>
      <c r="I48" s="5"/>
      <c r="J48" s="5"/>
      <c r="K48" s="5"/>
      <c r="L48" s="5"/>
      <c r="M48" s="5"/>
      <c r="N48" s="5"/>
      <c r="O48" s="5"/>
      <c r="P48" s="5"/>
      <c r="Q48" s="5"/>
      <c r="R48" s="5"/>
      <c r="S48" s="5"/>
      <c r="T48" s="8"/>
      <c r="U48" s="11">
        <v>44243</v>
      </c>
      <c r="V48" s="5"/>
      <c r="W48" s="5"/>
      <c r="X48" s="5"/>
      <c r="Y48" s="5"/>
      <c r="Z48" s="5"/>
      <c r="AA48" s="5"/>
      <c r="AB48" s="5"/>
      <c r="AC48" s="5"/>
      <c r="AD48" s="5"/>
      <c r="AE48" s="5"/>
      <c r="AF48" s="5"/>
      <c r="AG48" s="5"/>
      <c r="AH48" s="5"/>
      <c r="AI48" s="5"/>
      <c r="AJ48" s="5"/>
      <c r="AK48" s="5"/>
      <c r="AL48" s="5"/>
    </row>
    <row r="49">
      <c r="A49" s="11">
        <v>44244</v>
      </c>
      <c r="B49" s="14"/>
      <c r="C49" s="14"/>
      <c r="D49" s="14"/>
      <c r="E49" s="14"/>
      <c r="F49" s="14">
        <v>34001</v>
      </c>
      <c r="G49" s="14"/>
      <c r="H49" s="14"/>
      <c r="I49" s="14"/>
      <c r="J49" s="5"/>
      <c r="K49" s="5"/>
      <c r="L49" s="5"/>
      <c r="M49" s="5"/>
      <c r="N49" s="5"/>
      <c r="O49" s="5"/>
      <c r="P49" s="5"/>
      <c r="Q49" s="5"/>
      <c r="R49" s="5"/>
      <c r="S49" s="5"/>
      <c r="T49" s="8"/>
      <c r="U49" s="11">
        <v>44244</v>
      </c>
      <c r="V49" s="14"/>
      <c r="W49" s="14"/>
      <c r="X49" s="14"/>
      <c r="Y49" s="14"/>
      <c r="Z49" s="14"/>
      <c r="AA49" s="14"/>
      <c r="AB49" s="14"/>
      <c r="AC49" s="14"/>
      <c r="AD49" s="5"/>
      <c r="AE49" s="5"/>
      <c r="AF49" s="5"/>
      <c r="AG49" s="5"/>
      <c r="AH49" s="5"/>
      <c r="AI49" s="5"/>
      <c r="AJ49" s="5"/>
      <c r="AK49" s="5"/>
      <c r="AL49" s="5"/>
    </row>
    <row r="50">
      <c r="A50" s="11">
        <v>44245</v>
      </c>
      <c r="B50" s="5"/>
      <c r="C50" s="5"/>
      <c r="D50" s="5"/>
      <c r="E50" s="5"/>
      <c r="F50" s="5">
        <f>94000-59999</f>
        <v>34001</v>
      </c>
      <c r="G50" s="5"/>
      <c r="H50" s="5"/>
      <c r="I50" s="5"/>
      <c r="J50" s="5"/>
      <c r="K50" s="5"/>
      <c r="L50" s="5"/>
      <c r="M50" s="5"/>
      <c r="N50" s="5"/>
      <c r="O50" s="5"/>
      <c r="P50" s="5"/>
      <c r="Q50" s="5"/>
      <c r="R50" s="5"/>
      <c r="S50" s="5"/>
      <c r="T50" s="8"/>
      <c r="U50" s="11">
        <v>44245</v>
      </c>
      <c r="V50" s="5"/>
      <c r="W50" s="5"/>
      <c r="X50" s="5"/>
      <c r="Y50" s="5"/>
      <c r="Z50" s="5"/>
      <c r="AA50" s="5"/>
      <c r="AB50" s="5"/>
      <c r="AC50" s="5"/>
      <c r="AD50" s="5"/>
      <c r="AE50" s="5"/>
      <c r="AF50" s="5"/>
      <c r="AG50" s="5"/>
      <c r="AH50" s="5"/>
      <c r="AI50" s="5"/>
      <c r="AJ50" s="5"/>
      <c r="AK50" s="5"/>
      <c r="AL50" s="5"/>
    </row>
    <row r="51">
      <c r="A51" s="11">
        <v>44246</v>
      </c>
      <c r="B51" s="14"/>
      <c r="C51" s="14"/>
      <c r="D51" s="14"/>
      <c r="E51" s="14"/>
      <c r="F51" s="14"/>
      <c r="G51" s="14"/>
      <c r="H51" s="14"/>
      <c r="I51" s="14"/>
      <c r="J51" s="5"/>
      <c r="K51" s="5"/>
      <c r="L51" s="5"/>
      <c r="M51" s="5"/>
      <c r="N51" s="5"/>
      <c r="O51" s="5"/>
      <c r="P51" s="5"/>
      <c r="Q51" s="5"/>
      <c r="R51" s="5"/>
      <c r="S51" s="5"/>
      <c r="T51" s="8"/>
      <c r="U51" s="11">
        <v>44246</v>
      </c>
      <c r="V51" s="14"/>
      <c r="W51" s="14"/>
      <c r="X51" s="14"/>
      <c r="Y51" s="14"/>
      <c r="Z51" s="14"/>
      <c r="AA51" s="14"/>
      <c r="AB51" s="14"/>
      <c r="AC51" s="14"/>
      <c r="AD51" s="5"/>
      <c r="AE51" s="5"/>
      <c r="AF51" s="5"/>
      <c r="AG51" s="5"/>
      <c r="AH51" s="5"/>
      <c r="AI51" s="5"/>
      <c r="AJ51" s="5"/>
      <c r="AK51" s="5"/>
      <c r="AL51" s="5"/>
    </row>
    <row r="52">
      <c r="A52" s="11">
        <v>44247</v>
      </c>
      <c r="B52" s="5">
        <v>1000</v>
      </c>
      <c r="C52" s="5"/>
      <c r="D52" s="5"/>
      <c r="E52" s="5"/>
      <c r="F52" s="5"/>
      <c r="G52" s="5"/>
      <c r="H52" s="5"/>
      <c r="I52" s="5"/>
      <c r="J52" s="5"/>
      <c r="K52" s="5"/>
      <c r="L52" s="5"/>
      <c r="M52" s="5"/>
      <c r="N52" s="5"/>
      <c r="O52" s="5"/>
      <c r="P52" s="5"/>
      <c r="Q52" s="5"/>
      <c r="R52" s="5"/>
      <c r="S52" s="5"/>
      <c r="T52" s="8"/>
      <c r="U52" s="11">
        <v>44247</v>
      </c>
      <c r="V52" s="5"/>
      <c r="W52" s="5"/>
      <c r="X52" s="5"/>
      <c r="Y52" s="5"/>
      <c r="Z52" s="5"/>
      <c r="AA52" s="5"/>
      <c r="AB52" s="5"/>
      <c r="AC52" s="5"/>
      <c r="AD52" s="5"/>
      <c r="AE52" s="5"/>
      <c r="AF52" s="5"/>
      <c r="AG52" s="5"/>
      <c r="AH52" s="5"/>
      <c r="AI52" s="5"/>
      <c r="AJ52" s="5"/>
      <c r="AK52" s="5"/>
      <c r="AL52" s="5"/>
    </row>
    <row r="53">
      <c r="A53" s="11">
        <v>44248</v>
      </c>
      <c r="B53" s="14"/>
      <c r="C53" s="14"/>
      <c r="D53" s="14"/>
      <c r="E53" s="14"/>
      <c r="F53" s="14"/>
      <c r="G53" s="14"/>
      <c r="H53" s="14"/>
      <c r="I53" s="14"/>
      <c r="J53" s="5"/>
      <c r="K53" s="5"/>
      <c r="L53" s="5"/>
      <c r="M53" s="5"/>
      <c r="N53" s="5"/>
      <c r="O53" s="5"/>
      <c r="P53" s="5"/>
      <c r="Q53" s="5"/>
      <c r="R53" s="5"/>
      <c r="S53" s="5"/>
      <c r="T53" s="8"/>
      <c r="U53" s="11">
        <v>44248</v>
      </c>
      <c r="V53" s="14"/>
      <c r="W53" s="14"/>
      <c r="X53" s="14"/>
      <c r="Y53" s="14"/>
      <c r="Z53" s="14"/>
      <c r="AA53" s="14"/>
      <c r="AB53" s="14"/>
      <c r="AC53" s="14"/>
      <c r="AD53" s="5"/>
      <c r="AE53" s="5"/>
      <c r="AF53" s="5"/>
      <c r="AG53" s="5"/>
      <c r="AH53" s="5"/>
      <c r="AI53" s="5"/>
      <c r="AJ53" s="5"/>
      <c r="AK53" s="5"/>
      <c r="AL53" s="5"/>
    </row>
    <row r="54">
      <c r="A54" s="11">
        <v>44249</v>
      </c>
      <c r="B54" s="5"/>
      <c r="C54" s="5"/>
      <c r="D54" s="5"/>
      <c r="E54" s="5"/>
      <c r="F54" s="5"/>
      <c r="G54" s="5"/>
      <c r="H54" s="5"/>
      <c r="I54" s="5"/>
      <c r="J54" s="5"/>
      <c r="K54" s="5"/>
      <c r="L54" s="5"/>
      <c r="M54" s="5"/>
      <c r="N54" s="5"/>
      <c r="O54" s="5"/>
      <c r="P54" s="5"/>
      <c r="Q54" s="5"/>
      <c r="R54" s="5"/>
      <c r="S54" s="5"/>
      <c r="T54" s="8"/>
      <c r="U54" s="11">
        <v>44249</v>
      </c>
      <c r="V54" s="5"/>
      <c r="W54" s="5"/>
      <c r="X54" s="5"/>
      <c r="Y54" s="5"/>
      <c r="Z54" s="5"/>
      <c r="AA54" s="5"/>
      <c r="AB54" s="5"/>
      <c r="AC54" s="5"/>
      <c r="AD54" s="5"/>
      <c r="AE54" s="5"/>
      <c r="AF54" s="5"/>
      <c r="AG54" s="5"/>
      <c r="AH54" s="5"/>
      <c r="AI54" s="5"/>
      <c r="AJ54" s="5"/>
      <c r="AK54" s="5"/>
      <c r="AL54" s="5"/>
    </row>
    <row r="55">
      <c r="A55" s="11">
        <v>44250</v>
      </c>
      <c r="B55" s="14"/>
      <c r="C55" s="14"/>
      <c r="D55" s="14"/>
      <c r="E55" s="14"/>
      <c r="F55" s="14"/>
      <c r="G55" s="14"/>
      <c r="H55" s="14"/>
      <c r="I55" s="14"/>
      <c r="J55" s="5"/>
      <c r="K55" s="5"/>
      <c r="L55" s="5"/>
      <c r="M55" s="5"/>
      <c r="N55" s="5"/>
      <c r="O55" s="5"/>
      <c r="P55" s="5"/>
      <c r="Q55" s="5"/>
      <c r="R55" s="5"/>
      <c r="S55" s="5"/>
      <c r="T55" s="8"/>
      <c r="U55" s="11">
        <v>44250</v>
      </c>
      <c r="V55" s="14"/>
      <c r="W55" s="14"/>
      <c r="X55" s="14"/>
      <c r="Y55" s="14"/>
      <c r="Z55" s="14"/>
      <c r="AA55" s="14"/>
      <c r="AB55" s="14"/>
      <c r="AC55" s="14"/>
      <c r="AD55" s="5"/>
      <c r="AE55" s="5"/>
      <c r="AF55" s="5"/>
      <c r="AG55" s="5"/>
      <c r="AH55" s="5"/>
      <c r="AI55" s="5"/>
      <c r="AJ55" s="5"/>
      <c r="AK55" s="5"/>
      <c r="AL55" s="5"/>
    </row>
    <row r="56">
      <c r="A56" s="11">
        <v>44251</v>
      </c>
      <c r="B56" s="5"/>
      <c r="C56" s="5"/>
      <c r="D56" s="5"/>
      <c r="E56" s="5"/>
      <c r="F56" s="5"/>
      <c r="G56" s="5"/>
      <c r="H56" s="5"/>
      <c r="I56" s="5"/>
      <c r="J56" s="5"/>
      <c r="K56" s="5"/>
      <c r="L56" s="5"/>
      <c r="M56" s="5"/>
      <c r="N56" s="5"/>
      <c r="O56" s="5"/>
      <c r="P56" s="5"/>
      <c r="Q56" s="5"/>
      <c r="R56" s="5"/>
      <c r="S56" s="5"/>
      <c r="T56" s="8"/>
      <c r="U56" s="11">
        <v>44251</v>
      </c>
      <c r="V56" s="5"/>
      <c r="W56" s="5"/>
      <c r="X56" s="5"/>
      <c r="Y56" s="5"/>
      <c r="Z56" s="5"/>
      <c r="AA56" s="5"/>
      <c r="AB56" s="5"/>
      <c r="AC56" s="5"/>
      <c r="AD56" s="5"/>
      <c r="AE56" s="5"/>
      <c r="AF56" s="5"/>
      <c r="AG56" s="5"/>
      <c r="AH56" s="5"/>
      <c r="AI56" s="5"/>
      <c r="AJ56" s="5"/>
      <c r="AK56" s="5"/>
      <c r="AL56" s="5"/>
    </row>
    <row r="57">
      <c r="A57" s="11">
        <v>44252</v>
      </c>
      <c r="B57" s="14">
        <v>10453.889999999999</v>
      </c>
      <c r="C57" s="14"/>
      <c r="D57" s="14"/>
      <c r="E57" s="14"/>
      <c r="F57" s="14"/>
      <c r="G57" s="14"/>
      <c r="H57" s="14"/>
      <c r="I57" s="14"/>
      <c r="J57" s="5"/>
      <c r="K57" s="5"/>
      <c r="L57" s="5"/>
      <c r="M57" s="5"/>
      <c r="N57" s="5"/>
      <c r="O57" s="5"/>
      <c r="P57" s="5"/>
      <c r="Q57" s="5"/>
      <c r="R57" s="5"/>
      <c r="S57" s="5"/>
      <c r="T57" s="8"/>
      <c r="U57" s="11">
        <v>44252</v>
      </c>
      <c r="V57" s="14"/>
      <c r="W57" s="14"/>
      <c r="X57" s="14"/>
      <c r="Y57" s="14"/>
      <c r="Z57" s="14"/>
      <c r="AA57" s="14"/>
      <c r="AB57" s="14"/>
      <c r="AC57" s="14"/>
      <c r="AD57" s="5"/>
      <c r="AE57" s="5"/>
      <c r="AF57" s="5"/>
      <c r="AG57" s="5"/>
      <c r="AH57" s="5"/>
      <c r="AI57" s="5"/>
      <c r="AJ57" s="5"/>
      <c r="AK57" s="5"/>
      <c r="AL57" s="5"/>
    </row>
    <row r="58">
      <c r="A58" s="11">
        <v>44253</v>
      </c>
      <c r="B58" s="5"/>
      <c r="C58" s="5"/>
      <c r="D58" s="5"/>
      <c r="E58" s="5"/>
      <c r="F58" s="5"/>
      <c r="G58" s="5"/>
      <c r="H58" s="5"/>
      <c r="I58" s="5"/>
      <c r="J58" s="5"/>
      <c r="K58" s="5"/>
      <c r="L58" s="5"/>
      <c r="M58" s="5"/>
      <c r="N58" s="5"/>
      <c r="O58" s="5"/>
      <c r="P58" s="5"/>
      <c r="Q58" s="5"/>
      <c r="R58" s="5"/>
      <c r="S58" s="5"/>
      <c r="T58" s="8"/>
      <c r="U58" s="11">
        <v>44253</v>
      </c>
      <c r="V58" s="5">
        <v>6826</v>
      </c>
      <c r="W58" s="5"/>
      <c r="X58" s="5"/>
      <c r="Y58" s="5"/>
      <c r="Z58" s="5"/>
      <c r="AA58" s="5"/>
      <c r="AB58" s="5"/>
      <c r="AC58" s="5"/>
      <c r="AD58" s="5"/>
      <c r="AE58" s="5"/>
      <c r="AF58" s="5"/>
      <c r="AG58" s="5"/>
      <c r="AH58" s="5"/>
      <c r="AI58" s="5"/>
      <c r="AJ58" s="5"/>
      <c r="AK58" s="5"/>
      <c r="AL58" s="5"/>
    </row>
    <row r="59">
      <c r="A59" s="11">
        <v>44254</v>
      </c>
      <c r="B59" s="14"/>
      <c r="C59" s="14"/>
      <c r="D59" s="14"/>
      <c r="E59" s="14"/>
      <c r="F59" s="14"/>
      <c r="G59" s="14"/>
      <c r="H59" s="14"/>
      <c r="I59" s="14"/>
      <c r="J59" s="5"/>
      <c r="K59" s="5"/>
      <c r="L59" s="5"/>
      <c r="M59" s="5"/>
      <c r="N59" s="5"/>
      <c r="O59" s="5"/>
      <c r="P59" s="5"/>
      <c r="Q59" s="5"/>
      <c r="R59" s="5"/>
      <c r="S59" s="5"/>
      <c r="T59" s="8"/>
      <c r="U59" s="11">
        <v>44254</v>
      </c>
      <c r="V59" s="14"/>
      <c r="W59" s="14"/>
      <c r="X59" s="14"/>
      <c r="Y59" s="14"/>
      <c r="Z59" s="14"/>
      <c r="AA59" s="14"/>
      <c r="AB59" s="14"/>
      <c r="AC59" s="14"/>
      <c r="AD59" s="5"/>
      <c r="AE59" s="5"/>
      <c r="AF59" s="5"/>
      <c r="AG59" s="5"/>
      <c r="AH59" s="5"/>
      <c r="AI59" s="5"/>
      <c r="AJ59" s="5"/>
      <c r="AK59" s="5"/>
      <c r="AL59" s="5"/>
    </row>
    <row r="60">
      <c r="A60" s="11">
        <v>44255</v>
      </c>
      <c r="B60" s="5"/>
      <c r="C60" s="5"/>
      <c r="D60" s="5"/>
      <c r="E60" s="5">
        <v>0.59999999999999998</v>
      </c>
      <c r="F60" s="5"/>
      <c r="G60" s="5"/>
      <c r="H60" s="5"/>
      <c r="I60" s="5"/>
      <c r="J60" s="5"/>
      <c r="K60" s="5"/>
      <c r="L60" s="5"/>
      <c r="M60" s="5"/>
      <c r="N60" s="5"/>
      <c r="O60" s="5"/>
      <c r="P60" s="5"/>
      <c r="Q60" s="5"/>
      <c r="R60" s="48"/>
      <c r="S60" s="5"/>
      <c r="T60" s="8"/>
      <c r="U60" s="11">
        <v>44255</v>
      </c>
      <c r="V60" s="5"/>
      <c r="W60" s="5"/>
      <c r="X60" s="5"/>
      <c r="Y60" s="5"/>
      <c r="Z60" s="5"/>
      <c r="AA60" s="5"/>
      <c r="AB60" s="5"/>
      <c r="AC60" s="5"/>
      <c r="AD60" s="5"/>
      <c r="AE60" s="5"/>
      <c r="AF60" s="5"/>
      <c r="AG60" s="5"/>
      <c r="AH60" s="5"/>
      <c r="AI60" s="5"/>
      <c r="AJ60" s="5"/>
      <c r="AK60" s="5"/>
      <c r="AL60" s="5"/>
    </row>
    <row r="61">
      <c r="A61" s="7"/>
      <c r="B61" s="7">
        <f t="shared" ref="B61:R61" si="47">SUM(B33:B60)</f>
        <v>37709.099999999999</v>
      </c>
      <c r="C61" s="7">
        <f t="shared" si="47"/>
        <v>0</v>
      </c>
      <c r="D61" s="7">
        <f t="shared" si="47"/>
        <v>0</v>
      </c>
      <c r="E61" s="7">
        <f t="shared" si="47"/>
        <v>938.56000000000006</v>
      </c>
      <c r="F61" s="7">
        <f t="shared" si="47"/>
        <v>79004</v>
      </c>
      <c r="G61" s="7">
        <f t="shared" si="47"/>
        <v>0</v>
      </c>
      <c r="H61" s="7">
        <f t="shared" si="47"/>
        <v>0</v>
      </c>
      <c r="I61" s="7">
        <f t="shared" si="47"/>
        <v>1119.5</v>
      </c>
      <c r="J61" s="7">
        <f t="shared" si="47"/>
        <v>0</v>
      </c>
      <c r="K61" s="7">
        <f t="shared" si="47"/>
        <v>0</v>
      </c>
      <c r="L61" s="7">
        <f t="shared" si="47"/>
        <v>0</v>
      </c>
      <c r="M61" s="7">
        <f t="shared" si="47"/>
        <v>0</v>
      </c>
      <c r="N61" s="7">
        <f t="shared" si="47"/>
        <v>0</v>
      </c>
      <c r="O61" s="7">
        <f t="shared" si="47"/>
        <v>0</v>
      </c>
      <c r="P61" s="7">
        <f t="shared" si="47"/>
        <v>0</v>
      </c>
      <c r="Q61" s="7">
        <f t="shared" si="47"/>
        <v>0</v>
      </c>
      <c r="R61" s="7">
        <f t="shared" si="47"/>
        <v>0</v>
      </c>
      <c r="S61" s="7">
        <f>SUM(B61:R61)</f>
        <v>118771.16</v>
      </c>
      <c r="T61" s="8"/>
      <c r="U61" s="7"/>
      <c r="V61" s="7">
        <f t="shared" ref="V61:AB61" si="48">SUM(V33:V60)</f>
        <v>26451.380000000001</v>
      </c>
      <c r="W61" s="7">
        <f t="shared" si="48"/>
        <v>1500</v>
      </c>
      <c r="X61" s="7">
        <f t="shared" si="48"/>
        <v>12500</v>
      </c>
      <c r="Y61" s="7">
        <f t="shared" si="48"/>
        <v>0</v>
      </c>
      <c r="Z61" s="7">
        <f t="shared" si="48"/>
        <v>0</v>
      </c>
      <c r="AA61" s="7">
        <f t="shared" si="48"/>
        <v>0</v>
      </c>
      <c r="AB61" s="7">
        <f t="shared" si="48"/>
        <v>0</v>
      </c>
      <c r="AC61" s="7">
        <f>SUM(V61:AB61)</f>
        <v>40451.380000000005</v>
      </c>
      <c r="AD61" s="5"/>
      <c r="AE61" s="5"/>
      <c r="AF61" s="5"/>
      <c r="AG61" s="5"/>
      <c r="AH61" s="5"/>
      <c r="AI61" s="5"/>
      <c r="AJ61" s="5"/>
      <c r="AK61" s="5"/>
      <c r="AL61" s="5"/>
    </row>
    <row r="64">
      <c r="A64" s="49" t="s">
        <v>65</v>
      </c>
      <c r="B64" s="49"/>
    </row>
    <row r="65">
      <c r="A65" s="49">
        <f>S30+AL30</f>
        <v>60180.369999999995</v>
      </c>
      <c r="B65" s="49"/>
    </row>
    <row r="66">
      <c r="A66" s="49" t="s">
        <v>66</v>
      </c>
      <c r="B66" s="49"/>
    </row>
    <row r="67">
      <c r="A67" s="49">
        <f>AC61+I61</f>
        <v>41570.880000000005</v>
      </c>
      <c r="B67" s="49"/>
    </row>
    <row r="69">
      <c r="A69" t="s">
        <v>67</v>
      </c>
    </row>
    <row r="70">
      <c r="A70" t="s">
        <v>68</v>
      </c>
      <c r="B70" s="50">
        <f>21000-344+2039+(23000-23000)-344-344+8164.1-4600-3300+(3000-3000)+80000+2000+(5500-5000)+(5650-5100)+1000</f>
        <v>106321.10000000001</v>
      </c>
    </row>
  </sheetData>
  <mergeCells count="4">
    <mergeCell ref="A64:B64"/>
    <mergeCell ref="A65:B65"/>
    <mergeCell ref="A66:B66"/>
    <mergeCell ref="A67:B6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M31" zoomScale="100" workbookViewId="0">
      <selection activeCell="I18" activeCellId="0" sqref="I18"/>
    </sheetView>
  </sheetViews>
  <sheetFormatPr defaultRowHeight="14.25"/>
  <cols>
    <col bestFit="1" customWidth="1" min="1" max="1" width="11"/>
    <col bestFit="1" customWidth="1" min="2" max="2" width="10.28515625"/>
    <col bestFit="1" customWidth="1" min="7" max="7" width="10.28515625"/>
    <col bestFit="1" customWidth="1" min="8" max="8" width="11.85546875"/>
    <col bestFit="1" customWidth="1" min="9" max="9" width="18.42578125"/>
    <col bestFit="1" customWidth="1" min="15" max="15" width="17"/>
    <col bestFit="1" customWidth="1" min="16" max="16" width="12"/>
    <col bestFit="1" customWidth="1" min="17" max="17" width="10.28515625"/>
    <col bestFit="1" customWidth="1" min="21" max="21" width="12.85546875"/>
    <col bestFit="1" customWidth="1" min="28" max="28" width="11.7109375"/>
  </cols>
  <sheetData>
    <row r="1" ht="29.25" customHeight="1">
      <c r="A1" s="10" t="s">
        <v>0</v>
      </c>
      <c r="B1" s="51" t="s">
        <v>1</v>
      </c>
      <c r="C1" s="51" t="s">
        <v>2</v>
      </c>
      <c r="D1" s="51" t="s">
        <v>3</v>
      </c>
      <c r="E1" s="51" t="s">
        <v>4</v>
      </c>
      <c r="F1" s="51" t="s">
        <v>5</v>
      </c>
      <c r="G1" s="51" t="s">
        <v>6</v>
      </c>
      <c r="H1" s="51" t="s">
        <v>7</v>
      </c>
      <c r="I1" s="51" t="s">
        <v>8</v>
      </c>
      <c r="J1" s="51" t="s">
        <v>9</v>
      </c>
      <c r="K1" s="51" t="s">
        <v>10</v>
      </c>
      <c r="L1" s="51" t="s">
        <v>11</v>
      </c>
      <c r="M1" s="51" t="s">
        <v>12</v>
      </c>
      <c r="N1" s="51" t="s">
        <v>13</v>
      </c>
      <c r="O1" s="51" t="s">
        <v>19</v>
      </c>
      <c r="P1" s="51" t="s">
        <v>20</v>
      </c>
      <c r="Q1" s="51" t="s">
        <v>49</v>
      </c>
      <c r="R1" s="51" t="s">
        <v>62</v>
      </c>
      <c r="S1" s="45"/>
      <c r="T1" s="8"/>
      <c r="U1" s="10" t="s">
        <v>1</v>
      </c>
      <c r="V1" s="10" t="s">
        <v>2</v>
      </c>
      <c r="W1" s="10" t="s">
        <v>3</v>
      </c>
      <c r="X1" s="10" t="s">
        <v>4</v>
      </c>
      <c r="Y1" s="10" t="s">
        <v>5</v>
      </c>
      <c r="Z1" s="10" t="s">
        <v>6</v>
      </c>
      <c r="AA1" s="10" t="s">
        <v>7</v>
      </c>
      <c r="AB1" s="10" t="s">
        <v>8</v>
      </c>
      <c r="AC1" s="10" t="s">
        <v>9</v>
      </c>
      <c r="AD1" s="10" t="s">
        <v>10</v>
      </c>
      <c r="AE1" s="10" t="s">
        <v>11</v>
      </c>
      <c r="AF1" s="10" t="s">
        <v>12</v>
      </c>
      <c r="AG1" s="10" t="s">
        <v>13</v>
      </c>
      <c r="AH1" s="10" t="s">
        <v>63</v>
      </c>
      <c r="AI1" s="10" t="s">
        <v>20</v>
      </c>
      <c r="AJ1" s="10" t="s">
        <v>49</v>
      </c>
      <c r="AK1" s="10"/>
      <c r="AL1" s="1"/>
      <c r="AM1" s="52"/>
    </row>
    <row r="2">
      <c r="A2" s="11">
        <v>44256</v>
      </c>
      <c r="B2" s="14">
        <v>70</v>
      </c>
      <c r="C2" s="14">
        <v>1030</v>
      </c>
      <c r="D2" s="14">
        <f>99+55</f>
        <v>154</v>
      </c>
      <c r="E2" s="14"/>
      <c r="F2" s="14"/>
      <c r="G2" s="14"/>
      <c r="H2" s="14"/>
      <c r="I2" s="14"/>
      <c r="J2" s="14"/>
      <c r="K2" s="14"/>
      <c r="L2" s="14"/>
      <c r="M2" s="14"/>
      <c r="N2" s="14"/>
      <c r="O2" s="14"/>
      <c r="P2" s="14"/>
      <c r="Q2" s="14"/>
      <c r="R2" s="14"/>
      <c r="S2" s="46"/>
      <c r="T2" s="8"/>
      <c r="U2" s="14"/>
      <c r="V2" s="14"/>
      <c r="W2" s="14"/>
      <c r="X2" s="14"/>
      <c r="Y2" s="14"/>
      <c r="Z2" s="14"/>
      <c r="AA2" s="14"/>
      <c r="AB2" s="14"/>
      <c r="AC2" s="14"/>
      <c r="AD2" s="14"/>
      <c r="AE2" s="14"/>
      <c r="AF2" s="14"/>
      <c r="AG2" s="14"/>
      <c r="AH2" s="14"/>
      <c r="AI2" s="14"/>
      <c r="AJ2" s="14"/>
      <c r="AK2" s="14"/>
      <c r="AL2" s="14"/>
      <c r="AM2" s="52"/>
    </row>
    <row r="3">
      <c r="A3" s="11">
        <v>44257</v>
      </c>
      <c r="B3" s="5">
        <v>30</v>
      </c>
      <c r="C3" s="5"/>
      <c r="D3" s="5">
        <v>799</v>
      </c>
      <c r="E3" s="5"/>
      <c r="F3" s="5"/>
      <c r="G3" s="5"/>
      <c r="H3" s="5"/>
      <c r="I3" s="5"/>
      <c r="J3" s="5"/>
      <c r="K3" s="5"/>
      <c r="L3" s="5"/>
      <c r="M3" s="5"/>
      <c r="N3" s="5"/>
      <c r="O3" s="5"/>
      <c r="P3" s="5"/>
      <c r="Q3" s="5"/>
      <c r="R3" s="5"/>
      <c r="S3" s="41"/>
      <c r="T3" s="8"/>
      <c r="U3" s="5"/>
      <c r="V3" s="5"/>
      <c r="W3" s="5"/>
      <c r="X3" s="5"/>
      <c r="Y3" s="5"/>
      <c r="Z3" s="5"/>
      <c r="AA3" s="5"/>
      <c r="AB3" s="5"/>
      <c r="AC3" s="5"/>
      <c r="AD3" s="5"/>
      <c r="AE3" s="5"/>
      <c r="AF3" s="5"/>
      <c r="AG3" s="5"/>
      <c r="AH3" s="5"/>
      <c r="AI3" s="5"/>
      <c r="AJ3" s="5"/>
      <c r="AK3" s="5"/>
      <c r="AL3" s="5"/>
      <c r="AM3" s="52"/>
    </row>
    <row r="4">
      <c r="A4" s="11">
        <v>44258</v>
      </c>
      <c r="B4" s="14"/>
      <c r="C4" s="14"/>
      <c r="D4" s="14"/>
      <c r="E4" s="14"/>
      <c r="F4" s="14"/>
      <c r="G4" s="14"/>
      <c r="H4" s="14"/>
      <c r="I4" s="14">
        <v>2799</v>
      </c>
      <c r="J4" s="14"/>
      <c r="K4" s="14"/>
      <c r="L4" s="14"/>
      <c r="M4" s="14"/>
      <c r="N4" s="14"/>
      <c r="O4" s="14"/>
      <c r="P4" s="14"/>
      <c r="Q4" s="14"/>
      <c r="R4" s="14"/>
      <c r="S4" s="46"/>
      <c r="T4" s="8"/>
      <c r="U4" s="14"/>
      <c r="V4" s="14"/>
      <c r="W4" s="14"/>
      <c r="X4" s="14"/>
      <c r="Y4" s="14"/>
      <c r="Z4" s="14"/>
      <c r="AA4" s="14"/>
      <c r="AB4" s="14"/>
      <c r="AC4" s="14"/>
      <c r="AD4" s="14"/>
      <c r="AE4" s="14"/>
      <c r="AF4" s="14"/>
      <c r="AG4" s="14"/>
      <c r="AH4" s="14"/>
      <c r="AI4" s="14"/>
      <c r="AJ4" s="14"/>
      <c r="AK4" s="14"/>
      <c r="AL4" s="14"/>
      <c r="AM4" s="52"/>
    </row>
    <row r="5">
      <c r="A5" s="11">
        <v>44259</v>
      </c>
      <c r="B5" s="5">
        <v>30</v>
      </c>
      <c r="C5" s="5">
        <v>209.99000000000001</v>
      </c>
      <c r="D5" s="5">
        <f>110+52.15</f>
        <v>162.15000000000001</v>
      </c>
      <c r="E5" s="5"/>
      <c r="F5" s="5"/>
      <c r="G5" s="5"/>
      <c r="H5" s="5"/>
      <c r="I5" s="5"/>
      <c r="J5" s="5"/>
      <c r="K5" s="5"/>
      <c r="L5" s="5"/>
      <c r="M5" s="5"/>
      <c r="N5" s="5"/>
      <c r="O5" s="5"/>
      <c r="P5" s="5"/>
      <c r="Q5" s="5"/>
      <c r="R5" s="5"/>
      <c r="S5" s="41"/>
      <c r="T5" s="8"/>
      <c r="U5" s="5"/>
      <c r="V5" s="5"/>
      <c r="W5" s="5"/>
      <c r="X5" s="5"/>
      <c r="Y5" s="5"/>
      <c r="Z5" s="5"/>
      <c r="AA5" s="5"/>
      <c r="AB5" s="5"/>
      <c r="AC5" s="5"/>
      <c r="AD5" s="5"/>
      <c r="AE5" s="5"/>
      <c r="AF5" s="5"/>
      <c r="AG5" s="5"/>
      <c r="AH5" s="5"/>
      <c r="AI5" s="5"/>
      <c r="AJ5" s="5"/>
      <c r="AK5" s="5"/>
      <c r="AL5" s="5"/>
      <c r="AM5" s="52"/>
    </row>
    <row r="6">
      <c r="A6" s="11">
        <v>44260</v>
      </c>
      <c r="B6" s="14">
        <f>30+30</f>
        <v>60</v>
      </c>
      <c r="C6" s="14"/>
      <c r="D6" s="14">
        <f>990+117</f>
        <v>1107</v>
      </c>
      <c r="E6" s="14"/>
      <c r="F6" s="14"/>
      <c r="G6" s="14"/>
      <c r="H6" s="14"/>
      <c r="I6" s="14"/>
      <c r="J6" s="14"/>
      <c r="K6" s="14"/>
      <c r="L6" s="14"/>
      <c r="M6" s="14"/>
      <c r="N6" s="14"/>
      <c r="O6" s="14"/>
      <c r="P6" s="14"/>
      <c r="Q6" s="14"/>
      <c r="R6" s="14"/>
      <c r="S6" s="46"/>
      <c r="T6" s="8"/>
      <c r="U6" s="14"/>
      <c r="V6" s="14"/>
      <c r="W6" s="14"/>
      <c r="X6" s="14"/>
      <c r="Y6" s="14"/>
      <c r="Z6" s="14"/>
      <c r="AA6" s="14"/>
      <c r="AB6" s="14"/>
      <c r="AC6" s="14"/>
      <c r="AD6" s="14"/>
      <c r="AE6" s="14"/>
      <c r="AF6" s="14"/>
      <c r="AG6" s="14"/>
      <c r="AH6" s="14"/>
      <c r="AI6" s="14"/>
      <c r="AJ6" s="14"/>
      <c r="AK6" s="14"/>
      <c r="AL6" s="14"/>
      <c r="AM6" s="52"/>
    </row>
    <row r="7">
      <c r="A7" s="11">
        <v>44261</v>
      </c>
      <c r="B7" s="5">
        <v>40</v>
      </c>
      <c r="C7" s="5">
        <v>700</v>
      </c>
      <c r="D7" s="5"/>
      <c r="E7" s="5"/>
      <c r="F7" s="5"/>
      <c r="G7" s="5">
        <v>278</v>
      </c>
      <c r="H7" s="5"/>
      <c r="I7" s="5"/>
      <c r="J7" s="5"/>
      <c r="K7" s="5"/>
      <c r="L7" s="5"/>
      <c r="M7" s="5"/>
      <c r="N7" s="5"/>
      <c r="O7" s="5"/>
      <c r="P7" s="5"/>
      <c r="Q7" s="5"/>
      <c r="R7" s="5"/>
      <c r="S7" s="41"/>
      <c r="T7" s="8"/>
      <c r="U7" s="5"/>
      <c r="V7" s="5"/>
      <c r="W7" s="5"/>
      <c r="X7" s="5"/>
      <c r="Y7" s="5"/>
      <c r="Z7" s="5"/>
      <c r="AA7" s="5"/>
      <c r="AB7" s="5"/>
      <c r="AC7" s="5"/>
      <c r="AD7" s="5"/>
      <c r="AE7" s="5"/>
      <c r="AF7" s="5"/>
      <c r="AG7" s="5"/>
      <c r="AH7" s="5"/>
      <c r="AI7" s="5"/>
      <c r="AJ7" s="5"/>
      <c r="AK7" s="5"/>
      <c r="AL7" s="5"/>
      <c r="AM7" s="52"/>
    </row>
    <row r="8">
      <c r="A8" s="11">
        <v>44262</v>
      </c>
      <c r="B8" s="14"/>
      <c r="C8" s="14"/>
      <c r="D8" s="14"/>
      <c r="E8" s="14">
        <v>1000</v>
      </c>
      <c r="F8" s="14"/>
      <c r="G8" s="14"/>
      <c r="H8" s="14"/>
      <c r="I8" s="14"/>
      <c r="J8" s="14"/>
      <c r="K8" s="14"/>
      <c r="L8" s="14">
        <v>320</v>
      </c>
      <c r="M8" s="14"/>
      <c r="N8" s="14"/>
      <c r="O8" s="14"/>
      <c r="P8" s="14"/>
      <c r="Q8" s="14"/>
      <c r="R8" s="14"/>
      <c r="S8" s="46"/>
      <c r="T8" s="8"/>
      <c r="U8" s="14"/>
      <c r="V8" s="14"/>
      <c r="W8" s="14"/>
      <c r="X8" s="14"/>
      <c r="Y8" s="14"/>
      <c r="Z8" s="14"/>
      <c r="AA8" s="14"/>
      <c r="AB8" s="14"/>
      <c r="AC8" s="14"/>
      <c r="AD8" s="14"/>
      <c r="AE8" s="14"/>
      <c r="AF8" s="14"/>
      <c r="AG8" s="14"/>
      <c r="AH8" s="14"/>
      <c r="AI8" s="14"/>
      <c r="AJ8" s="14"/>
      <c r="AK8" s="14"/>
      <c r="AL8" s="14"/>
      <c r="AM8" s="52"/>
    </row>
    <row r="9">
      <c r="A9" s="11">
        <v>44263</v>
      </c>
      <c r="B9" s="5"/>
      <c r="C9" s="5"/>
      <c r="D9" s="5"/>
      <c r="E9" s="5"/>
      <c r="F9" s="5"/>
      <c r="G9" s="5"/>
      <c r="H9" s="5"/>
      <c r="I9" s="5"/>
      <c r="J9" s="5"/>
      <c r="K9" s="5"/>
      <c r="L9" s="5">
        <v>1050</v>
      </c>
      <c r="M9" s="5"/>
      <c r="N9" s="5"/>
      <c r="O9" s="5"/>
      <c r="P9" s="5"/>
      <c r="Q9" s="5"/>
      <c r="R9" s="5"/>
      <c r="S9" s="41"/>
      <c r="T9" s="8"/>
      <c r="U9" s="5"/>
      <c r="V9" s="5"/>
      <c r="W9" s="5"/>
      <c r="X9" s="5"/>
      <c r="Y9" s="5"/>
      <c r="Z9" s="5"/>
      <c r="AA9" s="5"/>
      <c r="AB9" s="5"/>
      <c r="AC9" s="5"/>
      <c r="AD9" s="5"/>
      <c r="AE9" s="5"/>
      <c r="AF9" s="5"/>
      <c r="AG9" s="5"/>
      <c r="AH9" s="5"/>
      <c r="AI9" s="5"/>
      <c r="AJ9" s="5"/>
      <c r="AK9" s="5"/>
      <c r="AL9" s="5"/>
      <c r="AM9" s="52"/>
    </row>
    <row r="10">
      <c r="A10" s="11">
        <v>44264</v>
      </c>
      <c r="B10" s="14">
        <v>30</v>
      </c>
      <c r="C10" s="14"/>
      <c r="D10" s="14"/>
      <c r="E10" s="14"/>
      <c r="F10" s="14"/>
      <c r="G10" s="14"/>
      <c r="H10" s="14"/>
      <c r="I10" s="14">
        <v>50</v>
      </c>
      <c r="J10" s="14"/>
      <c r="K10" s="14"/>
      <c r="L10" s="14"/>
      <c r="M10" s="14"/>
      <c r="N10" s="14"/>
      <c r="O10" s="14"/>
      <c r="P10" s="14"/>
      <c r="Q10" s="14"/>
      <c r="R10" s="14"/>
      <c r="S10" s="46"/>
      <c r="T10" s="8"/>
      <c r="U10" s="14"/>
      <c r="V10" s="14"/>
      <c r="W10" s="14"/>
      <c r="X10" s="14"/>
      <c r="Y10" s="14"/>
      <c r="Z10" s="14"/>
      <c r="AA10" s="14"/>
      <c r="AB10" s="14"/>
      <c r="AC10" s="14"/>
      <c r="AD10" s="14"/>
      <c r="AE10" s="14"/>
      <c r="AF10" s="14"/>
      <c r="AG10" s="14"/>
      <c r="AH10" s="14"/>
      <c r="AI10" s="14"/>
      <c r="AJ10" s="14"/>
      <c r="AK10" s="14"/>
      <c r="AL10" s="14"/>
      <c r="AM10" s="52"/>
    </row>
    <row r="11">
      <c r="A11" s="11">
        <v>44265</v>
      </c>
      <c r="B11" s="5">
        <v>50</v>
      </c>
      <c r="C11" s="5">
        <v>100</v>
      </c>
      <c r="D11" s="5"/>
      <c r="E11" s="5">
        <v>-1000</v>
      </c>
      <c r="F11" s="5"/>
      <c r="G11" s="5"/>
      <c r="H11" s="5"/>
      <c r="I11" s="5"/>
      <c r="J11" s="5"/>
      <c r="K11" s="5"/>
      <c r="L11" s="5"/>
      <c r="M11" s="5"/>
      <c r="N11" s="5"/>
      <c r="O11" s="5"/>
      <c r="P11" s="5"/>
      <c r="Q11" s="5"/>
      <c r="R11" s="5"/>
      <c r="S11" s="41"/>
      <c r="T11" s="8"/>
      <c r="U11" s="5"/>
      <c r="V11" s="5"/>
      <c r="W11" s="5"/>
      <c r="X11" s="5"/>
      <c r="Y11" s="5"/>
      <c r="Z11" s="5"/>
      <c r="AA11" s="5"/>
      <c r="AB11" s="5"/>
      <c r="AC11" s="5"/>
      <c r="AD11" s="5"/>
      <c r="AE11" s="5"/>
      <c r="AF11" s="5"/>
      <c r="AG11" s="5"/>
      <c r="AH11" s="5"/>
      <c r="AI11" s="5"/>
      <c r="AJ11" s="5"/>
      <c r="AK11" s="5"/>
      <c r="AL11" s="5"/>
      <c r="AM11" s="52"/>
    </row>
    <row r="12">
      <c r="A12" s="11">
        <v>44266</v>
      </c>
      <c r="B12" s="14">
        <v>60</v>
      </c>
      <c r="C12" s="14"/>
      <c r="D12" s="14">
        <v>58</v>
      </c>
      <c r="E12" s="14"/>
      <c r="F12" s="14"/>
      <c r="G12" s="14"/>
      <c r="H12" s="14"/>
      <c r="I12" s="14"/>
      <c r="J12" s="14"/>
      <c r="K12" s="14"/>
      <c r="L12" s="14"/>
      <c r="M12" s="14"/>
      <c r="N12" s="14"/>
      <c r="O12" s="14"/>
      <c r="P12" s="14"/>
      <c r="Q12" s="14"/>
      <c r="R12" s="14"/>
      <c r="S12" s="46"/>
      <c r="T12" s="8"/>
      <c r="U12" s="14"/>
      <c r="V12" s="14"/>
      <c r="W12" s="14"/>
      <c r="X12" s="14"/>
      <c r="Y12" s="14"/>
      <c r="Z12" s="14"/>
      <c r="AA12" s="14"/>
      <c r="AB12" s="14"/>
      <c r="AC12" s="14"/>
      <c r="AD12" s="14"/>
      <c r="AE12" s="14"/>
      <c r="AF12" s="14"/>
      <c r="AG12" s="14"/>
      <c r="AH12" s="14"/>
      <c r="AI12" s="14"/>
      <c r="AJ12" s="14"/>
      <c r="AK12" s="14"/>
      <c r="AL12" s="14"/>
      <c r="AM12" s="52"/>
    </row>
    <row r="13">
      <c r="A13" s="11">
        <v>44267</v>
      </c>
      <c r="B13" s="5">
        <f>30+40+40</f>
        <v>110</v>
      </c>
      <c r="C13" s="5">
        <f>63+636.74</f>
        <v>699.74000000000001</v>
      </c>
      <c r="D13" s="5"/>
      <c r="E13" s="5"/>
      <c r="F13" s="5"/>
      <c r="G13" s="5"/>
      <c r="H13" s="5"/>
      <c r="I13" s="5">
        <v>750</v>
      </c>
      <c r="J13" s="5"/>
      <c r="K13" s="5"/>
      <c r="L13" s="5"/>
      <c r="M13" s="5"/>
      <c r="N13" s="5"/>
      <c r="O13" s="5"/>
      <c r="P13" s="5">
        <v>340</v>
      </c>
      <c r="Q13" s="5"/>
      <c r="R13" s="5"/>
      <c r="S13" s="41"/>
      <c r="T13" s="8"/>
      <c r="U13" s="5"/>
      <c r="V13" s="5"/>
      <c r="W13" s="5"/>
      <c r="X13" s="5"/>
      <c r="Y13" s="5"/>
      <c r="Z13" s="5"/>
      <c r="AA13" s="5"/>
      <c r="AB13" s="5"/>
      <c r="AC13" s="5"/>
      <c r="AD13" s="5"/>
      <c r="AE13" s="5"/>
      <c r="AF13" s="5"/>
      <c r="AG13" s="5"/>
      <c r="AH13" s="5"/>
      <c r="AI13" s="5"/>
      <c r="AJ13" s="5"/>
      <c r="AK13" s="5"/>
      <c r="AL13" s="5"/>
      <c r="AM13" s="52"/>
    </row>
    <row r="14">
      <c r="A14" s="11">
        <v>44268</v>
      </c>
      <c r="B14" s="14"/>
      <c r="C14" s="14"/>
      <c r="D14" s="14"/>
      <c r="E14" s="14"/>
      <c r="F14" s="14"/>
      <c r="G14" s="14"/>
      <c r="H14" s="14"/>
      <c r="I14" s="14"/>
      <c r="J14" s="14"/>
      <c r="K14" s="14"/>
      <c r="L14" s="14"/>
      <c r="M14" s="14"/>
      <c r="N14" s="14"/>
      <c r="O14" s="14"/>
      <c r="P14" s="14"/>
      <c r="Q14" s="14"/>
      <c r="R14" s="14"/>
      <c r="S14" s="46"/>
      <c r="T14" s="8"/>
      <c r="U14" s="14"/>
      <c r="V14" s="14"/>
      <c r="W14" s="14"/>
      <c r="X14" s="14"/>
      <c r="Y14" s="14"/>
      <c r="Z14" s="14"/>
      <c r="AA14" s="14"/>
      <c r="AB14" s="14"/>
      <c r="AC14" s="14"/>
      <c r="AD14" s="14"/>
      <c r="AE14" s="14"/>
      <c r="AF14" s="14"/>
      <c r="AG14" s="14"/>
      <c r="AH14" s="14"/>
      <c r="AI14" s="14"/>
      <c r="AJ14" s="14"/>
      <c r="AK14" s="14"/>
      <c r="AL14" s="14"/>
      <c r="AM14" s="52"/>
    </row>
    <row r="15">
      <c r="A15" s="11">
        <v>44269</v>
      </c>
      <c r="B15" s="5">
        <v>80</v>
      </c>
      <c r="C15" s="5"/>
      <c r="D15" s="5"/>
      <c r="E15" s="5"/>
      <c r="F15" s="5"/>
      <c r="G15" s="5"/>
      <c r="H15" s="5"/>
      <c r="J15" s="5"/>
      <c r="K15" s="5"/>
      <c r="L15" s="5"/>
      <c r="M15" s="5"/>
      <c r="N15" s="5"/>
      <c r="O15" s="5"/>
      <c r="P15" s="5"/>
      <c r="Q15" s="5"/>
      <c r="R15" s="5"/>
      <c r="S15" s="41"/>
      <c r="T15" s="8"/>
      <c r="U15" s="5"/>
      <c r="V15" s="5"/>
      <c r="W15" s="5"/>
      <c r="X15" s="5"/>
      <c r="Y15" s="5"/>
      <c r="Z15" s="5"/>
      <c r="AA15" s="5"/>
      <c r="AC15" s="5"/>
      <c r="AD15" s="5"/>
      <c r="AE15" s="5"/>
      <c r="AF15" s="5"/>
      <c r="AG15" s="5"/>
      <c r="AH15" s="5"/>
      <c r="AI15" s="5"/>
      <c r="AJ15" s="5"/>
      <c r="AK15" s="5"/>
      <c r="AL15" s="5"/>
      <c r="AM15" s="52"/>
    </row>
    <row r="16">
      <c r="A16" s="11">
        <v>44270</v>
      </c>
      <c r="B16" s="14">
        <v>60</v>
      </c>
      <c r="C16" s="14"/>
      <c r="D16" s="14"/>
      <c r="E16" s="14"/>
      <c r="F16" s="14"/>
      <c r="G16" s="14"/>
      <c r="H16" s="14"/>
      <c r="I16" s="14"/>
      <c r="J16" s="14"/>
      <c r="K16" s="14">
        <f>474.33+4049.07</f>
        <v>4523.4000000000005</v>
      </c>
      <c r="L16" s="14"/>
      <c r="M16" s="14"/>
      <c r="N16" s="14"/>
      <c r="O16" s="14"/>
      <c r="P16" s="14"/>
      <c r="Q16" s="14">
        <v>47.979999999999997</v>
      </c>
      <c r="R16" s="14"/>
      <c r="S16" s="46"/>
      <c r="T16" s="8"/>
      <c r="U16" s="14"/>
      <c r="V16" s="14"/>
      <c r="W16" s="14"/>
      <c r="X16" s="14"/>
      <c r="Y16" s="14"/>
      <c r="Z16" s="14"/>
      <c r="AA16" s="14"/>
      <c r="AB16" s="14"/>
      <c r="AC16" s="14"/>
      <c r="AD16" s="14"/>
      <c r="AE16" s="14"/>
      <c r="AF16" s="14"/>
      <c r="AG16" s="14"/>
      <c r="AH16" s="14"/>
      <c r="AI16" s="14"/>
      <c r="AJ16" s="14"/>
      <c r="AK16" s="14"/>
      <c r="AL16" s="14"/>
      <c r="AM16" s="52"/>
    </row>
    <row r="17">
      <c r="A17" s="11">
        <v>44271</v>
      </c>
      <c r="B17" s="5">
        <v>60</v>
      </c>
      <c r="C17" s="5">
        <v>87</v>
      </c>
      <c r="D17" s="5"/>
      <c r="E17" s="5"/>
      <c r="F17" s="5"/>
      <c r="G17" s="5"/>
      <c r="H17" s="5"/>
      <c r="I17" s="5"/>
      <c r="J17" s="5"/>
      <c r="K17" s="5"/>
      <c r="L17" s="5"/>
      <c r="M17" s="5"/>
      <c r="N17" s="5"/>
      <c r="O17" s="5"/>
      <c r="P17" s="5"/>
      <c r="Q17" s="5"/>
      <c r="R17" s="5"/>
      <c r="S17" s="41"/>
      <c r="T17" s="8"/>
      <c r="U17" s="5"/>
      <c r="V17" s="5"/>
      <c r="W17" s="5"/>
      <c r="X17" s="5"/>
      <c r="Y17" s="5"/>
      <c r="Z17" s="5"/>
      <c r="AA17" s="5"/>
      <c r="AB17" s="5"/>
      <c r="AC17" s="5"/>
      <c r="AD17" s="5"/>
      <c r="AE17" s="5"/>
      <c r="AF17" s="5"/>
      <c r="AG17" s="5"/>
      <c r="AH17" s="5"/>
      <c r="AI17" s="5"/>
      <c r="AJ17" s="5"/>
      <c r="AK17" s="5"/>
      <c r="AL17" s="5"/>
      <c r="AM17" s="52"/>
    </row>
    <row r="18">
      <c r="A18" s="11">
        <v>44272</v>
      </c>
      <c r="B18" s="14">
        <f>30+30+20+20+40</f>
        <v>140</v>
      </c>
      <c r="C18" s="14"/>
      <c r="D18" s="14">
        <f>108+320</f>
        <v>428</v>
      </c>
      <c r="E18" s="14"/>
      <c r="F18" s="14"/>
      <c r="G18" s="14"/>
      <c r="H18" s="14"/>
      <c r="I18" s="14">
        <v>9750</v>
      </c>
      <c r="J18" s="14"/>
      <c r="K18" s="14"/>
      <c r="L18" s="14"/>
      <c r="M18" s="14"/>
      <c r="N18" s="14"/>
      <c r="O18" s="14"/>
      <c r="P18" s="14"/>
      <c r="Q18" s="14"/>
      <c r="R18" s="14"/>
      <c r="S18" s="46"/>
      <c r="T18" s="8"/>
      <c r="U18" s="14"/>
      <c r="V18" s="14"/>
      <c r="W18" s="14"/>
      <c r="X18" s="14"/>
      <c r="Y18" s="14"/>
      <c r="Z18" s="14"/>
      <c r="AA18" s="14"/>
      <c r="AB18" s="14"/>
      <c r="AC18" s="14"/>
      <c r="AD18" s="14"/>
      <c r="AE18" s="14"/>
      <c r="AF18" s="14"/>
      <c r="AG18" s="14"/>
      <c r="AH18" s="14"/>
      <c r="AI18" s="14"/>
      <c r="AJ18" s="14"/>
      <c r="AK18" s="14"/>
      <c r="AL18" s="14"/>
      <c r="AM18" s="52"/>
    </row>
    <row r="19">
      <c r="A19" s="11">
        <v>44273</v>
      </c>
      <c r="B19" s="5">
        <v>60</v>
      </c>
      <c r="C19" s="5"/>
      <c r="D19" s="5">
        <v>92</v>
      </c>
      <c r="E19" s="5"/>
      <c r="F19" s="5"/>
      <c r="G19" s="5"/>
      <c r="H19" s="5"/>
      <c r="I19" s="5"/>
      <c r="J19" s="5"/>
      <c r="K19" s="5"/>
      <c r="L19" s="5"/>
      <c r="M19" s="5"/>
      <c r="N19" s="5"/>
      <c r="O19" s="5"/>
      <c r="P19" s="5"/>
      <c r="Q19" s="5"/>
      <c r="R19" s="5"/>
      <c r="S19" s="41"/>
      <c r="T19" s="8"/>
      <c r="U19" s="5"/>
      <c r="V19" s="5"/>
      <c r="W19" s="5"/>
      <c r="X19" s="5"/>
      <c r="Y19" s="5"/>
      <c r="Z19" s="5"/>
      <c r="AA19" s="5"/>
      <c r="AB19" s="5"/>
      <c r="AC19" s="5"/>
      <c r="AD19" s="5"/>
      <c r="AE19" s="5"/>
      <c r="AF19" s="5"/>
      <c r="AG19" s="5"/>
      <c r="AH19" s="5"/>
      <c r="AI19" s="5"/>
      <c r="AJ19" s="5"/>
      <c r="AK19" s="5"/>
      <c r="AL19" s="5"/>
      <c r="AM19" s="52"/>
    </row>
    <row r="20">
      <c r="A20" s="11">
        <v>44274</v>
      </c>
      <c r="B20" s="14">
        <v>60</v>
      </c>
      <c r="C20" s="14"/>
      <c r="D20" s="14">
        <v>182.05000000000001</v>
      </c>
      <c r="E20" s="14"/>
      <c r="F20" s="14"/>
      <c r="G20" s="14"/>
      <c r="H20" s="14"/>
      <c r="I20" s="14"/>
      <c r="J20" s="14"/>
      <c r="K20" s="14"/>
      <c r="L20" s="14"/>
      <c r="M20" s="14"/>
      <c r="N20" s="14"/>
      <c r="O20" s="14"/>
      <c r="P20" s="34"/>
      <c r="Q20" s="14"/>
      <c r="R20" s="14"/>
      <c r="S20" s="46"/>
      <c r="T20" s="8"/>
      <c r="U20" s="14"/>
      <c r="V20" s="14"/>
      <c r="W20" s="14"/>
      <c r="X20" s="14"/>
      <c r="Y20" s="14"/>
      <c r="Z20" s="14"/>
      <c r="AA20" s="14"/>
      <c r="AB20" s="14"/>
      <c r="AC20" s="14"/>
      <c r="AD20" s="14"/>
      <c r="AE20" s="14"/>
      <c r="AF20" s="14"/>
      <c r="AG20" s="14"/>
      <c r="AH20" s="14"/>
      <c r="AI20" s="34"/>
      <c r="AJ20" s="14"/>
      <c r="AK20" s="14"/>
      <c r="AL20" s="14"/>
      <c r="AM20" s="52"/>
    </row>
    <row r="21">
      <c r="A21" s="11">
        <v>44275</v>
      </c>
      <c r="B21" s="35"/>
      <c r="C21" s="5"/>
      <c r="D21" s="5"/>
      <c r="E21" s="5"/>
      <c r="F21" s="5"/>
      <c r="G21" s="5"/>
      <c r="H21" s="5"/>
      <c r="I21" s="5"/>
      <c r="J21" s="5"/>
      <c r="K21" s="5"/>
      <c r="L21" s="5"/>
      <c r="M21" s="5"/>
      <c r="N21" s="5"/>
      <c r="O21" s="5"/>
      <c r="P21" s="5"/>
      <c r="Q21" s="5"/>
      <c r="R21" s="5"/>
      <c r="S21" s="41"/>
      <c r="T21" s="8"/>
      <c r="U21" s="35"/>
      <c r="V21" s="5"/>
      <c r="W21" s="5"/>
      <c r="X21" s="5"/>
      <c r="Y21" s="5"/>
      <c r="Z21" s="5"/>
      <c r="AA21" s="5"/>
      <c r="AB21" s="5"/>
      <c r="AC21" s="5"/>
      <c r="AD21" s="5"/>
      <c r="AE21" s="5"/>
      <c r="AF21" s="5"/>
      <c r="AG21" s="5"/>
      <c r="AH21" s="5"/>
      <c r="AI21" s="5"/>
      <c r="AJ21" s="5"/>
      <c r="AK21" s="5"/>
      <c r="AL21" s="5"/>
      <c r="AM21" s="52"/>
    </row>
    <row r="22">
      <c r="A22" s="11">
        <v>44276</v>
      </c>
      <c r="B22" s="53"/>
      <c r="C22" s="14">
        <f>454.39+447.06</f>
        <v>901.45000000000005</v>
      </c>
      <c r="D22" s="36"/>
      <c r="E22" s="14"/>
      <c r="F22" s="14"/>
      <c r="G22" s="14"/>
      <c r="H22" s="14"/>
      <c r="I22" s="14">
        <v>43.5</v>
      </c>
      <c r="J22" s="14">
        <v>157.13</v>
      </c>
      <c r="K22" s="14"/>
      <c r="L22" s="14"/>
      <c r="M22" s="14"/>
      <c r="N22" s="14"/>
      <c r="O22" s="14"/>
      <c r="P22" s="14"/>
      <c r="Q22" s="14"/>
      <c r="R22" s="14"/>
      <c r="S22" s="46"/>
      <c r="T22" s="8"/>
      <c r="U22" s="14"/>
      <c r="V22" s="36"/>
      <c r="W22" s="36"/>
      <c r="X22" s="14"/>
      <c r="Y22" s="14"/>
      <c r="Z22" s="14"/>
      <c r="AA22" s="14"/>
      <c r="AB22" s="14"/>
      <c r="AC22" s="14"/>
      <c r="AD22" s="14"/>
      <c r="AE22" s="14"/>
      <c r="AF22" s="14"/>
      <c r="AG22" s="14"/>
      <c r="AH22" s="14"/>
      <c r="AI22" s="14"/>
      <c r="AJ22" s="14"/>
      <c r="AK22" s="14"/>
      <c r="AL22" s="14"/>
      <c r="AM22" s="52"/>
    </row>
    <row r="23">
      <c r="A23" s="11">
        <v>44277</v>
      </c>
      <c r="B23" s="5">
        <v>60</v>
      </c>
      <c r="E23" s="5"/>
      <c r="F23" s="5"/>
      <c r="G23" s="5"/>
      <c r="H23" s="5"/>
      <c r="I23" s="5"/>
      <c r="J23" s="5"/>
      <c r="K23" s="5">
        <v>355.72000000000003</v>
      </c>
      <c r="L23" s="5"/>
      <c r="M23" s="5"/>
      <c r="N23" s="5"/>
      <c r="O23" s="5"/>
      <c r="P23" s="5"/>
      <c r="Q23" s="5"/>
      <c r="R23" s="5"/>
      <c r="S23" s="41"/>
      <c r="T23" s="8"/>
      <c r="U23" s="5"/>
      <c r="X23" s="5"/>
      <c r="Y23" s="5"/>
      <c r="Z23" s="5"/>
      <c r="AA23" s="5"/>
      <c r="AB23" s="5"/>
      <c r="AC23" s="5"/>
      <c r="AD23" s="5"/>
      <c r="AE23" s="5"/>
      <c r="AF23" s="5"/>
      <c r="AG23" s="5"/>
      <c r="AH23" s="5"/>
      <c r="AI23" s="5"/>
      <c r="AJ23" s="5"/>
      <c r="AK23" s="5"/>
      <c r="AL23" s="5"/>
      <c r="AM23" s="52"/>
    </row>
    <row r="24">
      <c r="A24" s="11">
        <v>44278</v>
      </c>
      <c r="B24" s="14">
        <v>60</v>
      </c>
      <c r="C24" s="14">
        <f>164.71+236.71</f>
        <v>401.42000000000002</v>
      </c>
      <c r="D24" s="14">
        <v>50</v>
      </c>
      <c r="E24" s="14"/>
      <c r="F24" s="14"/>
      <c r="G24" s="14"/>
      <c r="H24" s="14"/>
      <c r="I24" s="14"/>
      <c r="J24" s="14"/>
      <c r="K24" s="14"/>
      <c r="L24" s="14"/>
      <c r="M24" s="14"/>
      <c r="N24" s="14"/>
      <c r="O24" s="14"/>
      <c r="P24" s="14"/>
      <c r="Q24" s="14"/>
      <c r="R24" s="14"/>
      <c r="S24" s="46"/>
      <c r="T24" s="8"/>
      <c r="U24" s="14"/>
      <c r="V24" s="14"/>
      <c r="W24" s="14"/>
      <c r="X24" s="14"/>
      <c r="Y24" s="14"/>
      <c r="Z24" s="14"/>
      <c r="AA24" s="14"/>
      <c r="AB24" s="14"/>
      <c r="AC24" s="14"/>
      <c r="AD24" s="14"/>
      <c r="AE24" s="14"/>
      <c r="AF24" s="14"/>
      <c r="AG24" s="14"/>
      <c r="AH24" s="14"/>
      <c r="AI24" s="14"/>
      <c r="AJ24" s="14"/>
      <c r="AK24" s="14"/>
      <c r="AL24" s="14"/>
      <c r="AM24" s="52"/>
    </row>
    <row r="25">
      <c r="A25" s="11">
        <v>44279</v>
      </c>
      <c r="B25" s="54">
        <v>60</v>
      </c>
      <c r="C25" s="5"/>
      <c r="D25" s="5">
        <f>505+535</f>
        <v>1040</v>
      </c>
      <c r="E25" s="5"/>
      <c r="F25" s="5"/>
      <c r="G25" s="5"/>
      <c r="H25" s="5"/>
      <c r="I25" s="5"/>
      <c r="J25" s="5"/>
      <c r="K25" s="5"/>
      <c r="L25" s="5"/>
      <c r="M25" s="5"/>
      <c r="N25" s="5"/>
      <c r="O25" s="5"/>
      <c r="P25" s="5"/>
      <c r="Q25" s="5"/>
      <c r="R25" s="5"/>
      <c r="S25" s="41"/>
      <c r="T25" s="8"/>
      <c r="V25" s="5"/>
      <c r="W25" s="5"/>
      <c r="X25" s="5"/>
      <c r="Y25" s="5"/>
      <c r="Z25" s="5"/>
      <c r="AA25" s="5"/>
      <c r="AB25" s="5"/>
      <c r="AC25" s="5"/>
      <c r="AD25" s="5"/>
      <c r="AE25" s="5"/>
      <c r="AF25" s="5"/>
      <c r="AG25" s="5"/>
      <c r="AH25" s="5"/>
      <c r="AI25" s="5"/>
      <c r="AJ25" s="5"/>
      <c r="AK25" s="5"/>
      <c r="AL25" s="5"/>
      <c r="AM25" s="52"/>
    </row>
    <row r="26">
      <c r="A26" s="11">
        <v>44280</v>
      </c>
      <c r="B26" s="14">
        <v>60</v>
      </c>
      <c r="C26" s="14"/>
      <c r="D26" s="14">
        <v>96</v>
      </c>
      <c r="E26" s="14"/>
      <c r="F26" s="14"/>
      <c r="G26" s="14"/>
      <c r="H26" s="14"/>
      <c r="I26" s="14"/>
      <c r="J26" s="14"/>
      <c r="K26" s="14"/>
      <c r="L26" s="14"/>
      <c r="M26" s="14"/>
      <c r="N26" s="14"/>
      <c r="O26" s="14"/>
      <c r="P26" s="14"/>
      <c r="Q26" s="14">
        <v>47.979999999999997</v>
      </c>
      <c r="R26" s="14"/>
      <c r="S26" s="46"/>
      <c r="T26" s="8"/>
      <c r="U26" s="14"/>
      <c r="V26" s="14"/>
      <c r="W26" s="14"/>
      <c r="X26" s="14"/>
      <c r="Y26" s="14"/>
      <c r="Z26" s="14"/>
      <c r="AA26" s="14"/>
      <c r="AB26" s="14"/>
      <c r="AC26" s="14"/>
      <c r="AD26" s="14"/>
      <c r="AE26" s="14"/>
      <c r="AF26" s="14"/>
      <c r="AG26" s="14"/>
      <c r="AH26" s="14"/>
      <c r="AI26" s="14"/>
      <c r="AJ26" s="14"/>
      <c r="AK26" s="14"/>
      <c r="AL26" s="14"/>
      <c r="AM26" s="52"/>
    </row>
    <row r="27">
      <c r="A27" s="11">
        <v>44281</v>
      </c>
      <c r="B27" s="5">
        <v>60</v>
      </c>
      <c r="C27" s="5">
        <v>87</v>
      </c>
      <c r="D27" s="5">
        <v>116</v>
      </c>
      <c r="E27" s="5"/>
      <c r="F27" s="5"/>
      <c r="G27" s="5"/>
      <c r="H27" s="5"/>
      <c r="I27" s="5"/>
      <c r="J27" s="5"/>
      <c r="K27" s="5"/>
      <c r="L27" s="5"/>
      <c r="M27" s="5"/>
      <c r="N27" s="5"/>
      <c r="O27" s="5"/>
      <c r="P27" s="5">
        <v>199</v>
      </c>
      <c r="Q27" s="5"/>
      <c r="R27" s="5"/>
      <c r="S27" s="41"/>
      <c r="T27" s="8"/>
      <c r="U27" s="5"/>
      <c r="V27" s="5"/>
      <c r="W27" s="5"/>
      <c r="X27" s="5"/>
      <c r="Y27" s="5"/>
      <c r="Z27" s="5"/>
      <c r="AA27" s="5"/>
      <c r="AB27" s="5"/>
      <c r="AC27" s="5"/>
      <c r="AD27" s="5"/>
      <c r="AE27" s="5"/>
      <c r="AF27" s="5"/>
      <c r="AG27" s="5"/>
      <c r="AH27" s="5"/>
      <c r="AI27" s="5"/>
      <c r="AJ27" s="5"/>
      <c r="AK27" s="5"/>
      <c r="AL27" s="5"/>
      <c r="AM27" s="52"/>
    </row>
    <row r="28">
      <c r="A28" s="11">
        <v>44282</v>
      </c>
      <c r="B28" s="14"/>
      <c r="C28" s="14">
        <v>376.35000000000002</v>
      </c>
      <c r="D28" s="14">
        <v>279.95999999999998</v>
      </c>
      <c r="E28" s="14"/>
      <c r="F28" s="14"/>
      <c r="G28" s="14"/>
      <c r="H28" s="14">
        <f>688+89</f>
        <v>777</v>
      </c>
      <c r="I28" s="14"/>
      <c r="J28" s="14"/>
      <c r="K28" s="14"/>
      <c r="L28" s="14">
        <f>530+89</f>
        <v>619</v>
      </c>
      <c r="M28" s="14"/>
      <c r="N28" s="14"/>
      <c r="O28" s="14"/>
      <c r="P28" s="14"/>
      <c r="Q28" s="14"/>
      <c r="R28" s="14"/>
      <c r="S28" s="46"/>
      <c r="T28" s="8"/>
      <c r="U28" s="14"/>
      <c r="V28" s="14"/>
      <c r="W28" s="14"/>
      <c r="X28" s="14"/>
      <c r="Y28" s="14"/>
      <c r="Z28" s="14"/>
      <c r="AA28" s="14"/>
      <c r="AB28" s="14"/>
      <c r="AC28" s="14"/>
      <c r="AD28" s="14"/>
      <c r="AE28" s="14"/>
      <c r="AF28" s="14"/>
      <c r="AG28" s="14"/>
      <c r="AH28" s="14"/>
      <c r="AI28" s="14"/>
      <c r="AJ28" s="14"/>
      <c r="AK28" s="14"/>
      <c r="AL28" s="14"/>
      <c r="AM28" s="52"/>
    </row>
    <row r="29">
      <c r="A29" s="11">
        <v>44283</v>
      </c>
      <c r="B29" s="5"/>
      <c r="C29" s="5"/>
      <c r="D29" s="5"/>
      <c r="E29" s="5"/>
      <c r="F29" s="5">
        <v>199</v>
      </c>
      <c r="G29" s="5"/>
      <c r="H29" s="5"/>
      <c r="I29" s="5"/>
      <c r="J29" s="5"/>
      <c r="K29" s="5"/>
      <c r="L29" s="5"/>
      <c r="M29" s="5"/>
      <c r="N29" s="5"/>
      <c r="O29" s="5"/>
      <c r="P29" s="5"/>
      <c r="Q29" s="5"/>
      <c r="R29" s="5"/>
      <c r="S29" s="41"/>
      <c r="T29" s="8"/>
      <c r="U29" s="5"/>
      <c r="V29" s="5"/>
      <c r="W29" s="5"/>
      <c r="X29" s="5"/>
      <c r="Y29" s="5"/>
      <c r="Z29" s="5"/>
      <c r="AA29" s="5"/>
      <c r="AB29" s="5"/>
      <c r="AC29" s="5"/>
      <c r="AD29" s="5"/>
      <c r="AE29" s="5"/>
      <c r="AF29" s="5"/>
      <c r="AG29" s="5"/>
      <c r="AH29" s="5"/>
      <c r="AI29" s="5"/>
      <c r="AJ29" s="5"/>
      <c r="AK29" s="5"/>
      <c r="AL29" s="5"/>
      <c r="AM29" s="52"/>
    </row>
    <row r="30">
      <c r="A30" s="11">
        <v>44284</v>
      </c>
      <c r="B30" s="22">
        <f>40+40+30+30</f>
        <v>140</v>
      </c>
      <c r="C30" s="22">
        <v>241.65000000000001</v>
      </c>
      <c r="D30" s="22">
        <v>91</v>
      </c>
      <c r="E30" s="22"/>
      <c r="F30" s="22"/>
      <c r="G30" s="22"/>
      <c r="H30" s="22"/>
      <c r="I30" s="22"/>
      <c r="J30" s="22"/>
      <c r="K30" s="22"/>
      <c r="L30" s="22"/>
      <c r="M30" s="22"/>
      <c r="N30" s="22"/>
      <c r="O30" s="22"/>
      <c r="P30" s="22"/>
      <c r="Q30" s="22"/>
      <c r="R30" s="22"/>
      <c r="S30" s="55"/>
      <c r="T30" s="8"/>
      <c r="U30" s="22"/>
      <c r="V30" s="22"/>
      <c r="W30" s="22"/>
      <c r="X30" s="22"/>
      <c r="Y30" s="22"/>
      <c r="Z30" s="22"/>
      <c r="AA30" s="22"/>
      <c r="AB30" s="22"/>
      <c r="AC30" s="22"/>
      <c r="AD30" s="22"/>
      <c r="AE30" s="22"/>
      <c r="AF30" s="22"/>
      <c r="AG30" s="22"/>
      <c r="AH30" s="22"/>
      <c r="AI30" s="22"/>
      <c r="AJ30" s="22"/>
      <c r="AK30" s="22"/>
      <c r="AL30" s="55"/>
      <c r="AM30" s="52"/>
    </row>
    <row r="31">
      <c r="A31" s="11">
        <v>44285</v>
      </c>
      <c r="B31" s="5">
        <v>60</v>
      </c>
      <c r="C31" s="5">
        <v>39.990000000000002</v>
      </c>
      <c r="D31" s="5">
        <v>100</v>
      </c>
      <c r="E31" s="5"/>
      <c r="F31" s="5"/>
      <c r="G31" s="5"/>
      <c r="H31" s="5"/>
      <c r="I31" s="5"/>
      <c r="J31" s="5"/>
      <c r="K31" s="5"/>
      <c r="L31" s="5"/>
      <c r="M31" s="5"/>
      <c r="N31" s="5"/>
      <c r="O31" s="5"/>
      <c r="P31" s="5"/>
      <c r="Q31" s="5"/>
      <c r="R31" s="5"/>
      <c r="S31" s="41"/>
      <c r="T31" s="8"/>
      <c r="U31" s="5"/>
      <c r="V31" s="5"/>
      <c r="W31" s="5"/>
      <c r="X31" s="5"/>
      <c r="Y31" s="5"/>
      <c r="Z31" s="5"/>
      <c r="AA31" s="5"/>
      <c r="AB31" s="5"/>
      <c r="AC31" s="5"/>
      <c r="AD31" s="5"/>
      <c r="AE31" s="5"/>
      <c r="AF31" s="5"/>
      <c r="AG31" s="5"/>
      <c r="AH31" s="5"/>
      <c r="AI31" s="5"/>
      <c r="AJ31" s="5"/>
      <c r="AK31" s="5"/>
      <c r="AL31" s="41"/>
      <c r="AM31" s="52"/>
    </row>
    <row r="32">
      <c r="A32" s="11">
        <v>44286</v>
      </c>
      <c r="B32" s="22">
        <v>60</v>
      </c>
      <c r="C32" s="22">
        <f>632.53+111.93</f>
        <v>744.46000000000004</v>
      </c>
      <c r="D32" s="22">
        <v>50</v>
      </c>
      <c r="E32" s="22"/>
      <c r="F32" s="22"/>
      <c r="G32" s="22"/>
      <c r="H32" s="22"/>
      <c r="I32" s="22"/>
      <c r="J32" s="22"/>
      <c r="K32" s="22"/>
      <c r="L32" s="22"/>
      <c r="M32" s="22"/>
      <c r="N32" s="22"/>
      <c r="O32" s="22"/>
      <c r="P32" s="22"/>
      <c r="Q32" s="22"/>
      <c r="R32" s="22"/>
      <c r="S32" s="55"/>
      <c r="T32" s="8"/>
      <c r="U32" s="22"/>
      <c r="V32" s="22"/>
      <c r="W32" s="22"/>
      <c r="X32" s="22"/>
      <c r="Y32" s="22"/>
      <c r="Z32" s="22"/>
      <c r="AA32" s="22"/>
      <c r="AB32" s="22"/>
      <c r="AC32" s="22"/>
      <c r="AD32" s="22"/>
      <c r="AE32" s="22"/>
      <c r="AF32" s="22"/>
      <c r="AG32" s="22"/>
      <c r="AH32" s="22"/>
      <c r="AI32" s="22"/>
      <c r="AJ32" s="22"/>
      <c r="AK32" s="22"/>
      <c r="AL32" s="55"/>
      <c r="AM32" s="52"/>
    </row>
    <row r="33">
      <c r="A33" s="7"/>
      <c r="B33" s="7">
        <f>SUM(B2:B32)</f>
        <v>1500</v>
      </c>
      <c r="C33" s="7">
        <f t="shared" ref="C33:R33" si="49">SUM(C2:C32)</f>
        <v>5619.0500000000002</v>
      </c>
      <c r="D33" s="7">
        <f t="shared" si="49"/>
        <v>4805.1600000000008</v>
      </c>
      <c r="E33" s="7">
        <f t="shared" si="49"/>
        <v>0</v>
      </c>
      <c r="F33" s="7">
        <f t="shared" si="49"/>
        <v>199</v>
      </c>
      <c r="G33" s="7">
        <f t="shared" si="49"/>
        <v>278</v>
      </c>
      <c r="H33" s="7">
        <f t="shared" si="49"/>
        <v>777</v>
      </c>
      <c r="I33" s="7">
        <f t="shared" si="49"/>
        <v>13392.5</v>
      </c>
      <c r="J33" s="7">
        <f t="shared" si="49"/>
        <v>157.13</v>
      </c>
      <c r="K33" s="7">
        <f t="shared" si="49"/>
        <v>4879.1200000000008</v>
      </c>
      <c r="L33" s="7">
        <f t="shared" si="49"/>
        <v>1989</v>
      </c>
      <c r="M33" s="7">
        <f t="shared" si="49"/>
        <v>0</v>
      </c>
      <c r="N33" s="7">
        <f t="shared" si="49"/>
        <v>0</v>
      </c>
      <c r="O33" s="7">
        <f t="shared" si="49"/>
        <v>0</v>
      </c>
      <c r="P33" s="7">
        <f t="shared" si="49"/>
        <v>539</v>
      </c>
      <c r="Q33" s="7">
        <f t="shared" si="49"/>
        <v>95.959999999999994</v>
      </c>
      <c r="R33" s="7">
        <f t="shared" si="49"/>
        <v>0</v>
      </c>
      <c r="S33" s="47">
        <f>SUM(B33:R33)</f>
        <v>34230.919999999998</v>
      </c>
      <c r="T33" s="8"/>
      <c r="U33" s="7">
        <f t="shared" ref="U33:AJ33" si="50">SUM(U2:U29)</f>
        <v>0</v>
      </c>
      <c r="V33" s="7">
        <f t="shared" si="50"/>
        <v>0</v>
      </c>
      <c r="W33" s="7">
        <f t="shared" si="50"/>
        <v>0</v>
      </c>
      <c r="X33" s="7">
        <f t="shared" si="50"/>
        <v>0</v>
      </c>
      <c r="Y33" s="7">
        <f t="shared" si="50"/>
        <v>0</v>
      </c>
      <c r="Z33" s="7">
        <f t="shared" si="50"/>
        <v>0</v>
      </c>
      <c r="AA33" s="7">
        <f t="shared" si="50"/>
        <v>0</v>
      </c>
      <c r="AB33" s="7">
        <f t="shared" si="50"/>
        <v>0</v>
      </c>
      <c r="AC33" s="7">
        <f t="shared" si="50"/>
        <v>0</v>
      </c>
      <c r="AD33" s="7">
        <f t="shared" si="50"/>
        <v>0</v>
      </c>
      <c r="AE33" s="7">
        <f t="shared" si="50"/>
        <v>0</v>
      </c>
      <c r="AF33" s="7">
        <f t="shared" si="50"/>
        <v>0</v>
      </c>
      <c r="AG33" s="7">
        <f t="shared" si="50"/>
        <v>0</v>
      </c>
      <c r="AH33" s="7">
        <f t="shared" si="50"/>
        <v>0</v>
      </c>
      <c r="AI33" s="7">
        <f t="shared" si="50"/>
        <v>0</v>
      </c>
      <c r="AJ33" s="7">
        <f t="shared" si="50"/>
        <v>0</v>
      </c>
      <c r="AK33" s="7" t="s">
        <v>14</v>
      </c>
      <c r="AL33" s="47">
        <f>SUM(U33:AJ33)</f>
        <v>0</v>
      </c>
      <c r="AM33" s="52"/>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56"/>
      <c r="AE34" s="56"/>
      <c r="AF34" s="56"/>
      <c r="AG34" s="56"/>
      <c r="AH34" s="56"/>
      <c r="AI34" s="56"/>
      <c r="AJ34" s="56"/>
      <c r="AK34" s="56"/>
      <c r="AL34" s="56"/>
      <c r="AM34" s="52"/>
    </row>
    <row r="35">
      <c r="A35" s="10" t="s">
        <v>0</v>
      </c>
      <c r="B35" s="10" t="s">
        <v>50</v>
      </c>
      <c r="C35" s="10" t="s">
        <v>13</v>
      </c>
      <c r="D35" s="10" t="s">
        <v>11</v>
      </c>
      <c r="E35" s="10" t="s">
        <v>51</v>
      </c>
      <c r="F35" s="10" t="s">
        <v>52</v>
      </c>
      <c r="G35" s="10" t="s">
        <v>53</v>
      </c>
      <c r="H35" s="10" t="s">
        <v>54</v>
      </c>
      <c r="I35" s="10" t="s">
        <v>55</v>
      </c>
      <c r="J35" s="57" t="s">
        <v>61</v>
      </c>
      <c r="K35" s="57"/>
      <c r="L35" s="57"/>
      <c r="M35" s="57"/>
      <c r="N35" s="57"/>
      <c r="O35" s="57"/>
      <c r="P35" s="57"/>
      <c r="Q35" s="57"/>
      <c r="R35" s="57"/>
      <c r="S35" s="57"/>
      <c r="T35" s="8"/>
      <c r="U35" s="10" t="s">
        <v>0</v>
      </c>
      <c r="V35" s="10" t="s">
        <v>15</v>
      </c>
      <c r="W35" s="10" t="s">
        <v>64</v>
      </c>
      <c r="X35" s="10" t="s">
        <v>17</v>
      </c>
      <c r="Y35" s="10" t="s">
        <v>18</v>
      </c>
      <c r="Z35" s="10" t="s">
        <v>21</v>
      </c>
      <c r="AA35" s="10" t="s">
        <v>26</v>
      </c>
      <c r="AB35" s="10" t="s">
        <v>27</v>
      </c>
      <c r="AC35" s="1"/>
      <c r="AD35" s="5"/>
      <c r="AE35" s="5"/>
      <c r="AF35" s="5"/>
      <c r="AG35" s="5"/>
      <c r="AH35" s="5"/>
      <c r="AI35" s="5"/>
      <c r="AJ35" s="5"/>
      <c r="AK35" s="5"/>
      <c r="AL35" s="5"/>
      <c r="AM35" s="52"/>
    </row>
    <row r="36">
      <c r="A36" s="11">
        <v>44256</v>
      </c>
      <c r="B36" s="14"/>
      <c r="C36" s="14"/>
      <c r="D36" s="14"/>
      <c r="E36" s="14"/>
      <c r="F36" s="14"/>
      <c r="G36" s="14"/>
      <c r="H36" s="14"/>
      <c r="I36" s="14"/>
      <c r="J36" s="5"/>
      <c r="K36" s="5"/>
      <c r="L36" s="5"/>
      <c r="M36" s="5"/>
      <c r="N36" s="6"/>
      <c r="O36" s="6"/>
      <c r="P36" s="5"/>
      <c r="Q36" s="5"/>
      <c r="R36" s="5"/>
      <c r="S36" s="5"/>
      <c r="T36" s="8"/>
      <c r="U36" s="11">
        <v>44256</v>
      </c>
      <c r="V36" s="14"/>
      <c r="W36" s="14"/>
      <c r="X36" s="14"/>
      <c r="Y36" s="14"/>
      <c r="Z36" s="14"/>
      <c r="AA36" s="14"/>
      <c r="AB36" s="14"/>
      <c r="AC36" s="14"/>
      <c r="AD36" s="5"/>
      <c r="AE36" s="5"/>
      <c r="AF36" s="5"/>
      <c r="AG36" s="5"/>
      <c r="AH36" s="5"/>
      <c r="AI36" s="5"/>
      <c r="AJ36" s="5"/>
      <c r="AK36" s="5"/>
      <c r="AL36" s="5"/>
      <c r="AM36" s="52"/>
    </row>
    <row r="37">
      <c r="A37" s="11">
        <v>44257</v>
      </c>
      <c r="B37" s="5"/>
      <c r="C37" s="5"/>
      <c r="D37" s="5"/>
      <c r="E37" s="5"/>
      <c r="F37" s="5"/>
      <c r="G37" s="5"/>
      <c r="H37" s="5"/>
      <c r="I37" s="5"/>
      <c r="J37" s="5"/>
      <c r="K37" s="5"/>
      <c r="L37" s="5"/>
      <c r="M37" s="5"/>
      <c r="N37" s="5"/>
      <c r="O37" s="5"/>
      <c r="P37" s="5"/>
      <c r="Q37" s="5"/>
      <c r="R37" s="5"/>
      <c r="S37" s="5"/>
      <c r="T37" s="8"/>
      <c r="U37" s="11">
        <v>44257</v>
      </c>
      <c r="V37" s="5"/>
      <c r="W37" s="5"/>
      <c r="X37" s="5"/>
      <c r="Y37" s="5"/>
      <c r="Z37" s="5"/>
      <c r="AA37" s="5"/>
      <c r="AB37" s="5"/>
      <c r="AC37" s="5"/>
      <c r="AD37" s="5"/>
      <c r="AE37" s="5"/>
      <c r="AF37" s="5"/>
      <c r="AG37" s="5"/>
      <c r="AH37" s="5"/>
      <c r="AI37" s="5"/>
      <c r="AJ37" s="5"/>
      <c r="AK37" s="5"/>
      <c r="AL37" s="5"/>
      <c r="AM37" s="52"/>
    </row>
    <row r="38">
      <c r="A38" s="11">
        <v>44258</v>
      </c>
      <c r="B38" s="14"/>
      <c r="C38" s="14"/>
      <c r="D38" s="14"/>
      <c r="E38" s="14"/>
      <c r="F38" s="14">
        <v>-12000</v>
      </c>
      <c r="G38" s="14"/>
      <c r="H38" s="14"/>
      <c r="I38" s="14"/>
      <c r="J38" s="5"/>
      <c r="K38" s="5"/>
      <c r="L38" s="5"/>
      <c r="M38" s="5"/>
      <c r="N38" s="5"/>
      <c r="O38" s="5"/>
      <c r="P38" s="5"/>
      <c r="Q38" s="5"/>
      <c r="R38" s="5"/>
      <c r="S38" s="5"/>
      <c r="T38" s="8"/>
      <c r="U38" s="11">
        <v>44258</v>
      </c>
      <c r="V38" s="14"/>
      <c r="W38" s="14"/>
      <c r="X38" s="14"/>
      <c r="Y38" s="14"/>
      <c r="Z38" s="14"/>
      <c r="AA38" s="14"/>
      <c r="AB38" s="14"/>
      <c r="AC38" s="14"/>
      <c r="AD38" s="5"/>
      <c r="AE38" s="5"/>
      <c r="AF38" s="5"/>
      <c r="AG38" s="5"/>
      <c r="AH38" s="5"/>
      <c r="AI38" s="5"/>
      <c r="AJ38" s="5"/>
      <c r="AK38" s="5"/>
      <c r="AL38" s="5"/>
      <c r="AM38" s="52"/>
    </row>
    <row r="39">
      <c r="A39" s="11">
        <v>44259</v>
      </c>
      <c r="B39" s="5"/>
      <c r="C39" s="5"/>
      <c r="D39" s="5"/>
      <c r="E39" s="5">
        <v>44.469999999999999</v>
      </c>
      <c r="F39" s="5"/>
      <c r="G39" s="5"/>
      <c r="H39" s="5"/>
      <c r="I39" s="5">
        <v>1931</v>
      </c>
      <c r="J39" s="5"/>
      <c r="K39" s="5"/>
      <c r="L39" s="5"/>
      <c r="M39" s="5"/>
      <c r="N39" s="5"/>
      <c r="O39" s="5"/>
      <c r="P39" s="5"/>
      <c r="Q39" s="5"/>
      <c r="R39" s="5"/>
      <c r="S39" s="5"/>
      <c r="T39" s="8"/>
      <c r="U39" s="11">
        <v>44259</v>
      </c>
      <c r="V39" s="5"/>
      <c r="W39" s="5"/>
      <c r="X39" s="5"/>
      <c r="Y39" s="5"/>
      <c r="Z39" s="5"/>
      <c r="AA39" s="5"/>
      <c r="AB39" s="5"/>
      <c r="AC39" s="5"/>
      <c r="AD39" s="5"/>
      <c r="AE39" s="5"/>
      <c r="AF39" s="5"/>
      <c r="AG39" s="5"/>
      <c r="AH39" s="5"/>
      <c r="AI39" s="5"/>
      <c r="AJ39" s="5"/>
      <c r="AK39" s="5"/>
      <c r="AL39" s="5"/>
      <c r="AM39" s="52"/>
    </row>
    <row r="40">
      <c r="A40" s="11">
        <v>44260</v>
      </c>
      <c r="B40" s="14"/>
      <c r="C40" s="14"/>
      <c r="D40" s="14"/>
      <c r="E40" s="14"/>
      <c r="F40" s="14"/>
      <c r="G40" s="14"/>
      <c r="H40" s="14"/>
      <c r="I40" s="14"/>
      <c r="J40" s="5"/>
      <c r="K40" s="5"/>
      <c r="L40" s="5"/>
      <c r="M40" s="5"/>
      <c r="N40" s="5"/>
      <c r="O40" s="5"/>
      <c r="P40" s="5"/>
      <c r="Q40" s="5"/>
      <c r="R40" s="5"/>
      <c r="S40" s="5"/>
      <c r="T40" s="8"/>
      <c r="U40" s="11">
        <v>44260</v>
      </c>
      <c r="V40" s="14">
        <v>435</v>
      </c>
      <c r="W40" s="14"/>
      <c r="X40" s="14"/>
      <c r="Y40" s="14"/>
      <c r="Z40" s="14"/>
      <c r="AA40" s="14"/>
      <c r="AB40" s="14"/>
      <c r="AC40" s="14"/>
      <c r="AD40" s="5"/>
      <c r="AE40" s="5"/>
      <c r="AF40" s="5"/>
      <c r="AG40" s="5"/>
      <c r="AH40" s="5"/>
      <c r="AI40" s="5"/>
      <c r="AJ40" s="5"/>
      <c r="AK40" s="5"/>
      <c r="AL40" s="5"/>
      <c r="AM40" s="52"/>
    </row>
    <row r="41">
      <c r="A41" s="11">
        <v>44261</v>
      </c>
      <c r="B41" s="5"/>
      <c r="C41" s="5"/>
      <c r="D41" s="5"/>
      <c r="E41" s="5"/>
      <c r="F41" s="5"/>
      <c r="G41" s="5"/>
      <c r="H41" s="5"/>
      <c r="I41" s="5"/>
      <c r="J41" s="5"/>
      <c r="K41" s="5"/>
      <c r="L41" s="5"/>
      <c r="M41" s="5"/>
      <c r="N41" s="5"/>
      <c r="O41" s="5"/>
      <c r="P41" s="5"/>
      <c r="Q41" s="5"/>
      <c r="R41" s="5"/>
      <c r="S41" s="5"/>
      <c r="T41" s="8"/>
      <c r="U41" s="11">
        <v>44261</v>
      </c>
      <c r="V41" s="5"/>
      <c r="W41" s="5"/>
      <c r="X41" s="5"/>
      <c r="Y41" s="5"/>
      <c r="Z41" s="5"/>
      <c r="AA41" s="5"/>
      <c r="AB41" s="5"/>
      <c r="AC41" s="5"/>
      <c r="AD41" s="5"/>
      <c r="AE41" s="5"/>
      <c r="AF41" s="5"/>
      <c r="AG41" s="5"/>
      <c r="AH41" s="5"/>
      <c r="AI41" s="5"/>
      <c r="AJ41" s="5"/>
      <c r="AK41" s="5"/>
      <c r="AL41" s="5"/>
      <c r="AM41" s="52"/>
    </row>
    <row r="42">
      <c r="A42" s="11">
        <v>44262</v>
      </c>
      <c r="B42" s="14"/>
      <c r="C42" s="14"/>
      <c r="D42" s="14"/>
      <c r="E42" s="14"/>
      <c r="F42" s="14"/>
      <c r="G42" s="14"/>
      <c r="H42" s="14"/>
      <c r="I42" s="14"/>
      <c r="J42" s="5"/>
      <c r="K42" s="5"/>
      <c r="L42" s="5"/>
      <c r="M42" s="5"/>
      <c r="N42" s="5"/>
      <c r="O42" s="5"/>
      <c r="P42" s="5"/>
      <c r="Q42" s="5"/>
      <c r="R42" s="5"/>
      <c r="S42" s="5"/>
      <c r="T42" s="8"/>
      <c r="U42" s="11">
        <v>44262</v>
      </c>
      <c r="V42" s="14"/>
      <c r="W42" s="14"/>
      <c r="X42" s="14"/>
      <c r="Y42" s="14"/>
      <c r="Z42" s="14"/>
      <c r="AA42" s="14"/>
      <c r="AB42" s="14"/>
      <c r="AC42" s="14"/>
      <c r="AD42" s="5"/>
      <c r="AE42" s="5"/>
      <c r="AF42" s="5"/>
      <c r="AG42" s="5"/>
      <c r="AH42" s="5"/>
      <c r="AI42" s="5"/>
      <c r="AJ42" s="5"/>
      <c r="AK42" s="5"/>
      <c r="AL42" s="5"/>
      <c r="AM42" s="52"/>
    </row>
    <row r="43">
      <c r="A43" s="11">
        <v>44263</v>
      </c>
      <c r="B43" s="5"/>
      <c r="C43" s="5"/>
      <c r="D43" s="5"/>
      <c r="E43" s="5"/>
      <c r="F43" s="5"/>
      <c r="G43" s="5"/>
      <c r="H43" s="5"/>
      <c r="I43" s="5"/>
      <c r="J43" s="5"/>
      <c r="K43" s="5"/>
      <c r="L43" s="5"/>
      <c r="M43" s="5"/>
      <c r="N43" s="5"/>
      <c r="O43" s="5"/>
      <c r="P43" s="5"/>
      <c r="Q43" s="5"/>
      <c r="R43" s="5"/>
      <c r="S43" s="5"/>
      <c r="T43" s="8"/>
      <c r="U43" s="11">
        <v>44263</v>
      </c>
      <c r="V43" s="5"/>
      <c r="W43" s="5"/>
      <c r="X43" s="5"/>
      <c r="Y43" s="5"/>
      <c r="Z43" s="5"/>
      <c r="AA43" s="5"/>
      <c r="AB43" s="5"/>
      <c r="AC43" s="5"/>
      <c r="AD43" s="5"/>
      <c r="AE43" s="5"/>
      <c r="AF43" s="5"/>
      <c r="AG43" s="5"/>
      <c r="AH43" s="5"/>
      <c r="AI43" s="5"/>
      <c r="AJ43" s="5"/>
      <c r="AK43" s="5"/>
      <c r="AL43" s="5"/>
      <c r="AM43" s="52"/>
    </row>
    <row r="44">
      <c r="A44" s="11">
        <v>44264</v>
      </c>
      <c r="B44" s="38"/>
      <c r="C44" s="14"/>
      <c r="D44" s="14"/>
      <c r="E44" s="14"/>
      <c r="F44" s="14"/>
      <c r="G44" s="14"/>
      <c r="H44" s="14"/>
      <c r="I44" s="14"/>
      <c r="J44" s="5"/>
      <c r="K44" s="5"/>
      <c r="L44" s="5"/>
      <c r="M44" s="5"/>
      <c r="N44" s="5"/>
      <c r="O44" s="5"/>
      <c r="P44" s="5"/>
      <c r="Q44" s="5"/>
      <c r="R44" s="5"/>
      <c r="S44" s="5"/>
      <c r="T44" s="8"/>
      <c r="U44" s="11">
        <v>44264</v>
      </c>
      <c r="V44" s="38"/>
      <c r="W44" s="14"/>
      <c r="X44" s="14"/>
      <c r="Y44" s="14"/>
      <c r="Z44" s="14"/>
      <c r="AA44" s="14"/>
      <c r="AB44" s="14"/>
      <c r="AC44" s="14"/>
      <c r="AD44" s="5"/>
      <c r="AE44" s="5"/>
      <c r="AF44" s="5"/>
      <c r="AG44" s="5"/>
      <c r="AH44" s="5"/>
      <c r="AI44" s="5"/>
      <c r="AJ44" s="5"/>
      <c r="AK44" s="5"/>
      <c r="AL44" s="5"/>
      <c r="AM44" s="52"/>
    </row>
    <row r="45">
      <c r="A45" s="11">
        <v>44265</v>
      </c>
      <c r="B45" s="5">
        <v>8232.5200000000004</v>
      </c>
      <c r="C45" s="5"/>
      <c r="D45" s="5"/>
      <c r="E45" s="5"/>
      <c r="F45" s="5"/>
      <c r="G45" s="5"/>
      <c r="H45" s="5"/>
      <c r="I45" s="5"/>
      <c r="J45" s="5"/>
      <c r="K45" s="5"/>
      <c r="L45" s="5"/>
      <c r="M45" s="5"/>
      <c r="N45" s="5"/>
      <c r="O45" s="5"/>
      <c r="P45" s="5"/>
      <c r="Q45" s="5"/>
      <c r="R45" s="5"/>
      <c r="S45" s="5"/>
      <c r="T45" s="8"/>
      <c r="U45" s="11">
        <v>44265</v>
      </c>
      <c r="V45" s="5"/>
      <c r="W45" s="5"/>
      <c r="X45" s="5"/>
      <c r="Y45" s="5"/>
      <c r="Z45" s="5"/>
      <c r="AA45" s="5"/>
      <c r="AB45" s="5"/>
      <c r="AC45" s="5"/>
      <c r="AD45" s="5"/>
      <c r="AE45" s="5"/>
      <c r="AF45" s="5"/>
      <c r="AG45" s="5"/>
      <c r="AH45" s="5"/>
      <c r="AI45" s="5"/>
      <c r="AJ45" s="5"/>
      <c r="AK45" s="5"/>
      <c r="AL45" s="5"/>
      <c r="AM45" s="52"/>
    </row>
    <row r="46">
      <c r="A46" s="11">
        <v>44266</v>
      </c>
      <c r="B46" s="14"/>
      <c r="C46" s="14"/>
      <c r="D46" s="14"/>
      <c r="E46" s="14"/>
      <c r="F46" s="14">
        <v>-3500</v>
      </c>
      <c r="G46" s="14"/>
      <c r="H46" s="14"/>
      <c r="I46" s="14"/>
      <c r="J46" s="5"/>
      <c r="K46" s="5"/>
      <c r="L46" s="5"/>
      <c r="M46" s="5"/>
      <c r="N46" s="5"/>
      <c r="O46" s="5"/>
      <c r="P46" s="5"/>
      <c r="Q46" s="5"/>
      <c r="R46" s="5"/>
      <c r="S46" s="5"/>
      <c r="T46" s="8"/>
      <c r="U46" s="11">
        <v>44266</v>
      </c>
      <c r="V46" s="14">
        <v>18191.880000000001</v>
      </c>
      <c r="W46" s="14"/>
      <c r="X46" s="14"/>
      <c r="Y46" s="14"/>
      <c r="Z46" s="14"/>
      <c r="AA46" s="14"/>
      <c r="AB46" s="14"/>
      <c r="AC46" s="14"/>
      <c r="AD46" s="5"/>
      <c r="AE46" s="5"/>
      <c r="AF46" s="5"/>
      <c r="AG46" s="5"/>
      <c r="AH46" s="5"/>
      <c r="AI46" s="5"/>
      <c r="AJ46" s="5"/>
      <c r="AK46" s="5"/>
      <c r="AL46" s="5"/>
      <c r="AM46" s="52"/>
    </row>
    <row r="47">
      <c r="A47" s="11">
        <v>44267</v>
      </c>
      <c r="B47" s="5"/>
      <c r="C47" s="5"/>
      <c r="D47" s="5"/>
      <c r="E47" s="5"/>
      <c r="F47" s="5"/>
      <c r="G47" s="5"/>
      <c r="H47" s="5"/>
      <c r="I47" s="5"/>
      <c r="J47" s="5"/>
      <c r="K47" s="5"/>
      <c r="L47" s="5"/>
      <c r="M47" s="5"/>
      <c r="N47" s="5"/>
      <c r="O47" s="5"/>
      <c r="P47" s="5"/>
      <c r="Q47" s="5"/>
      <c r="R47" s="5"/>
      <c r="S47" s="5"/>
      <c r="T47" s="8"/>
      <c r="U47" s="11">
        <v>44267</v>
      </c>
      <c r="V47" s="5"/>
      <c r="W47" s="5"/>
      <c r="X47" s="5"/>
      <c r="Y47" s="5"/>
      <c r="Z47" s="5"/>
      <c r="AA47" s="5"/>
      <c r="AB47" s="5"/>
      <c r="AC47" s="5"/>
      <c r="AD47" s="5"/>
      <c r="AE47" s="5"/>
      <c r="AF47" s="5"/>
      <c r="AG47" s="5"/>
      <c r="AH47" s="5"/>
      <c r="AI47" s="5"/>
      <c r="AJ47" s="5"/>
      <c r="AK47" s="5"/>
      <c r="AL47" s="5"/>
      <c r="AM47" s="52"/>
    </row>
    <row r="48">
      <c r="A48" s="11">
        <v>44268</v>
      </c>
      <c r="B48" s="14"/>
      <c r="C48" s="14"/>
      <c r="D48" s="14"/>
      <c r="E48" s="14"/>
      <c r="F48" s="14"/>
      <c r="G48" s="14"/>
      <c r="H48" s="14"/>
      <c r="I48" s="14"/>
      <c r="J48" s="5"/>
      <c r="K48" s="5"/>
      <c r="L48" s="5"/>
      <c r="M48" s="5"/>
      <c r="N48" s="5"/>
      <c r="O48" s="5"/>
      <c r="P48" s="5"/>
      <c r="Q48" s="5"/>
      <c r="R48" s="5"/>
      <c r="S48" s="5"/>
      <c r="T48" s="8"/>
      <c r="U48" s="11">
        <v>44268</v>
      </c>
      <c r="V48" s="14"/>
      <c r="W48" s="14"/>
      <c r="X48" s="14"/>
      <c r="Y48" s="14"/>
      <c r="Z48" s="14"/>
      <c r="AA48" s="14"/>
      <c r="AB48" s="14"/>
      <c r="AC48" s="14"/>
      <c r="AD48" s="5"/>
      <c r="AE48" s="5"/>
      <c r="AF48" s="5"/>
      <c r="AG48" s="5"/>
      <c r="AH48" s="5"/>
      <c r="AI48" s="5"/>
      <c r="AJ48" s="5"/>
      <c r="AK48" s="5"/>
      <c r="AL48" s="5"/>
      <c r="AM48" s="52"/>
    </row>
    <row r="49">
      <c r="A49" s="11">
        <v>44269</v>
      </c>
      <c r="B49" s="5"/>
      <c r="C49" s="5"/>
      <c r="D49" s="5"/>
      <c r="E49" s="5"/>
      <c r="F49" s="5"/>
      <c r="G49" s="5"/>
      <c r="H49" s="5"/>
      <c r="I49" s="5"/>
      <c r="J49" s="5"/>
      <c r="K49" s="5"/>
      <c r="L49" s="5"/>
      <c r="M49" s="5"/>
      <c r="N49" s="5"/>
      <c r="O49" s="5"/>
      <c r="P49" s="5"/>
      <c r="Q49" s="5"/>
      <c r="R49" s="5"/>
      <c r="S49" s="5"/>
      <c r="T49" s="8"/>
      <c r="U49" s="11">
        <v>44269</v>
      </c>
      <c r="V49" s="5"/>
      <c r="W49" s="5"/>
      <c r="X49" s="5"/>
      <c r="Y49" s="5"/>
      <c r="Z49" s="5"/>
      <c r="AA49" s="5"/>
      <c r="AB49" s="5"/>
      <c r="AC49" s="5"/>
      <c r="AD49" s="5"/>
      <c r="AE49" s="5"/>
      <c r="AF49" s="5"/>
      <c r="AG49" s="5"/>
      <c r="AH49" s="5"/>
      <c r="AI49" s="5"/>
      <c r="AJ49" s="5"/>
      <c r="AK49" s="5"/>
      <c r="AL49" s="5"/>
      <c r="AM49" s="52"/>
    </row>
    <row r="50">
      <c r="A50" s="11">
        <v>44270</v>
      </c>
      <c r="B50" s="14"/>
      <c r="C50" s="14"/>
      <c r="D50" s="14"/>
      <c r="E50" s="14"/>
      <c r="F50" s="14"/>
      <c r="G50" s="14"/>
      <c r="H50" s="14"/>
      <c r="I50" s="14"/>
      <c r="J50" s="5"/>
      <c r="K50" s="5"/>
      <c r="L50" s="5"/>
      <c r="M50" s="5"/>
      <c r="N50" s="5"/>
      <c r="O50" s="5"/>
      <c r="P50" s="5"/>
      <c r="Q50" s="5"/>
      <c r="R50" s="5"/>
      <c r="S50" s="5"/>
      <c r="T50" s="8"/>
      <c r="U50" s="11">
        <v>44270</v>
      </c>
      <c r="V50" s="14"/>
      <c r="W50" s="14"/>
      <c r="X50" s="14"/>
      <c r="Y50" s="14"/>
      <c r="Z50" s="14"/>
      <c r="AA50" s="14"/>
      <c r="AB50" s="14"/>
      <c r="AC50" s="14"/>
      <c r="AD50" s="5"/>
      <c r="AE50" s="5"/>
      <c r="AF50" s="5"/>
      <c r="AG50" s="5"/>
      <c r="AH50" s="5"/>
      <c r="AI50" s="5"/>
      <c r="AJ50" s="5"/>
      <c r="AK50" s="5"/>
      <c r="AL50" s="5"/>
      <c r="AM50" s="52"/>
    </row>
    <row r="51">
      <c r="A51" s="11">
        <v>44271</v>
      </c>
      <c r="B51" s="5"/>
      <c r="C51" s="5"/>
      <c r="D51" s="5"/>
      <c r="E51" s="5"/>
      <c r="F51" s="5"/>
      <c r="G51" s="5"/>
      <c r="H51" s="5"/>
      <c r="I51" s="5"/>
      <c r="J51" s="5"/>
      <c r="K51" s="5"/>
      <c r="L51" s="5"/>
      <c r="M51" s="5"/>
      <c r="N51" s="5"/>
      <c r="O51" s="5"/>
      <c r="P51" s="5"/>
      <c r="Q51" s="5"/>
      <c r="R51" s="5"/>
      <c r="S51" s="5"/>
      <c r="T51" s="8"/>
      <c r="U51" s="11">
        <v>44271</v>
      </c>
      <c r="V51" s="5"/>
      <c r="W51" s="5"/>
      <c r="X51" s="5"/>
      <c r="Y51" s="5"/>
      <c r="Z51" s="5"/>
      <c r="AA51" s="5"/>
      <c r="AB51" s="5"/>
      <c r="AC51" s="5"/>
      <c r="AD51" s="5"/>
      <c r="AE51" s="5"/>
      <c r="AF51" s="5"/>
      <c r="AG51" s="5"/>
      <c r="AH51" s="5"/>
      <c r="AI51" s="5"/>
      <c r="AJ51" s="5"/>
      <c r="AK51" s="5"/>
      <c r="AL51" s="5"/>
      <c r="AM51" s="52"/>
    </row>
    <row r="52">
      <c r="A52" s="11">
        <v>44272</v>
      </c>
      <c r="B52" s="14"/>
      <c r="C52" s="14"/>
      <c r="D52" s="14"/>
      <c r="E52" s="14"/>
      <c r="F52" s="14"/>
      <c r="G52" s="14"/>
      <c r="H52" s="14"/>
      <c r="I52" s="14"/>
      <c r="J52" s="5"/>
      <c r="K52" s="5"/>
      <c r="L52" s="5"/>
      <c r="M52" s="5"/>
      <c r="N52" s="5"/>
      <c r="O52" s="5"/>
      <c r="P52" s="5"/>
      <c r="Q52" s="5"/>
      <c r="R52" s="5"/>
      <c r="S52" s="5"/>
      <c r="T52" s="8"/>
      <c r="U52" s="11">
        <v>44272</v>
      </c>
      <c r="V52" s="14"/>
      <c r="W52" s="14"/>
      <c r="X52" s="14"/>
      <c r="Y52" s="14"/>
      <c r="Z52" s="14"/>
      <c r="AA52" s="14"/>
      <c r="AB52" s="14"/>
      <c r="AC52" s="14"/>
      <c r="AD52" s="5"/>
      <c r="AE52" s="5"/>
      <c r="AF52" s="5"/>
      <c r="AG52" s="5"/>
      <c r="AH52" s="5"/>
      <c r="AI52" s="5"/>
      <c r="AJ52" s="5"/>
      <c r="AK52" s="5"/>
      <c r="AL52" s="5"/>
      <c r="AM52" s="52"/>
    </row>
    <row r="53">
      <c r="A53" s="11">
        <v>44273</v>
      </c>
      <c r="B53" s="5"/>
      <c r="C53" s="5"/>
      <c r="D53" s="5"/>
      <c r="E53" s="5"/>
      <c r="F53" s="5"/>
      <c r="G53" s="5"/>
      <c r="H53" s="5"/>
      <c r="I53" s="5"/>
      <c r="J53" s="5"/>
      <c r="K53" s="5"/>
      <c r="L53" s="5"/>
      <c r="M53" s="5"/>
      <c r="N53" s="5"/>
      <c r="O53" s="5"/>
      <c r="P53" s="5"/>
      <c r="Q53" s="5"/>
      <c r="R53" s="5"/>
      <c r="S53" s="5"/>
      <c r="T53" s="8"/>
      <c r="U53" s="11">
        <v>44273</v>
      </c>
      <c r="V53" s="5"/>
      <c r="W53" s="5"/>
      <c r="X53" s="5"/>
      <c r="Y53" s="5"/>
      <c r="Z53" s="5"/>
      <c r="AA53" s="5"/>
      <c r="AB53" s="5"/>
      <c r="AC53" s="5"/>
      <c r="AD53" s="5"/>
      <c r="AE53" s="5"/>
      <c r="AF53" s="5"/>
      <c r="AG53" s="5"/>
      <c r="AH53" s="5"/>
      <c r="AI53" s="5"/>
      <c r="AJ53" s="5"/>
      <c r="AK53" s="5"/>
      <c r="AL53" s="5"/>
      <c r="AM53" s="52"/>
    </row>
    <row r="54">
      <c r="A54" s="11">
        <v>44274</v>
      </c>
      <c r="B54" s="14"/>
      <c r="C54" s="14"/>
      <c r="D54" s="14"/>
      <c r="E54" s="14"/>
      <c r="F54" s="14"/>
      <c r="G54" s="14"/>
      <c r="H54" s="14"/>
      <c r="I54" s="14"/>
      <c r="J54" s="5"/>
      <c r="K54" s="5"/>
      <c r="L54" s="5"/>
      <c r="M54" s="5"/>
      <c r="N54" s="5"/>
      <c r="O54" s="5"/>
      <c r="P54" s="5"/>
      <c r="Q54" s="5"/>
      <c r="R54" s="5"/>
      <c r="S54" s="5"/>
      <c r="T54" s="8"/>
      <c r="U54" s="11">
        <v>44274</v>
      </c>
      <c r="V54" s="14"/>
      <c r="W54" s="14"/>
      <c r="X54" s="14"/>
      <c r="Y54" s="14"/>
      <c r="Z54" s="14"/>
      <c r="AA54" s="14"/>
      <c r="AB54" s="14"/>
      <c r="AC54" s="14"/>
      <c r="AD54" s="5"/>
      <c r="AE54" s="5"/>
      <c r="AF54" s="5"/>
      <c r="AG54" s="5"/>
      <c r="AH54" s="5"/>
      <c r="AI54" s="5"/>
      <c r="AJ54" s="5"/>
      <c r="AK54" s="5"/>
      <c r="AL54" s="5"/>
      <c r="AM54" s="52"/>
    </row>
    <row r="55">
      <c r="A55" s="11">
        <v>44275</v>
      </c>
      <c r="B55" s="5"/>
      <c r="C55" s="5"/>
      <c r="D55" s="5"/>
      <c r="E55" s="5"/>
      <c r="F55" s="5">
        <v>18990</v>
      </c>
      <c r="G55" s="5"/>
      <c r="H55" s="5"/>
      <c r="I55" s="5"/>
      <c r="J55" s="5"/>
      <c r="K55" s="5"/>
      <c r="L55" s="5"/>
      <c r="M55" s="5"/>
      <c r="N55" s="5"/>
      <c r="O55" s="5"/>
      <c r="P55" s="5"/>
      <c r="Q55" s="5"/>
      <c r="R55" s="5"/>
      <c r="S55" s="5"/>
      <c r="T55" s="8"/>
      <c r="U55" s="11">
        <v>44275</v>
      </c>
      <c r="V55" s="5"/>
      <c r="W55" s="5"/>
      <c r="X55" s="5"/>
      <c r="Y55" s="5"/>
      <c r="Z55" s="5"/>
      <c r="AA55" s="5"/>
      <c r="AB55" s="5"/>
      <c r="AC55" s="5"/>
      <c r="AD55" s="5"/>
      <c r="AE55" s="5"/>
      <c r="AF55" s="5"/>
      <c r="AG55" s="5"/>
      <c r="AH55" s="5"/>
      <c r="AI55" s="5"/>
      <c r="AJ55" s="5"/>
      <c r="AK55" s="5"/>
      <c r="AL55" s="5"/>
      <c r="AM55" s="52"/>
    </row>
    <row r="56">
      <c r="A56" s="11">
        <v>44276</v>
      </c>
      <c r="B56" s="14"/>
      <c r="C56" s="14"/>
      <c r="D56" s="14"/>
      <c r="E56" s="14"/>
      <c r="F56" s="14"/>
      <c r="G56" s="14"/>
      <c r="H56" s="14"/>
      <c r="I56" s="14"/>
      <c r="J56" s="5"/>
      <c r="K56" s="5"/>
      <c r="L56" s="5"/>
      <c r="M56" s="5"/>
      <c r="N56" s="5"/>
      <c r="O56" s="5"/>
      <c r="P56" s="5"/>
      <c r="Q56" s="5"/>
      <c r="R56" s="5"/>
      <c r="S56" s="5"/>
      <c r="T56" s="8"/>
      <c r="U56" s="11">
        <v>44276</v>
      </c>
      <c r="V56" s="14"/>
      <c r="W56" s="14"/>
      <c r="X56" s="14"/>
      <c r="Y56" s="14"/>
      <c r="Z56" s="14"/>
      <c r="AA56" s="14"/>
      <c r="AB56" s="14"/>
      <c r="AC56" s="14"/>
      <c r="AD56" s="5"/>
      <c r="AE56" s="5"/>
      <c r="AF56" s="5"/>
      <c r="AG56" s="5"/>
      <c r="AH56" s="5"/>
      <c r="AI56" s="5"/>
      <c r="AJ56" s="5"/>
      <c r="AK56" s="5"/>
      <c r="AL56" s="5"/>
      <c r="AM56" s="52"/>
    </row>
    <row r="57">
      <c r="A57" s="11">
        <v>44277</v>
      </c>
      <c r="B57" s="5"/>
      <c r="C57" s="5"/>
      <c r="D57" s="5"/>
      <c r="E57" s="5"/>
      <c r="F57" s="5"/>
      <c r="G57" s="5"/>
      <c r="H57" s="5"/>
      <c r="I57" s="5"/>
      <c r="J57" s="5"/>
      <c r="K57" s="5"/>
      <c r="L57" s="5"/>
      <c r="M57" s="5"/>
      <c r="N57" s="5"/>
      <c r="O57" s="5"/>
      <c r="P57" s="5"/>
      <c r="Q57" s="5"/>
      <c r="R57" s="5"/>
      <c r="S57" s="5"/>
      <c r="T57" s="8"/>
      <c r="U57" s="11">
        <v>44277</v>
      </c>
      <c r="V57" s="5"/>
      <c r="W57" s="5"/>
      <c r="X57" s="5"/>
      <c r="Y57" s="5"/>
      <c r="Z57" s="5"/>
      <c r="AA57" s="5"/>
      <c r="AB57" s="5"/>
      <c r="AC57" s="5"/>
      <c r="AD57" s="5"/>
      <c r="AE57" s="5"/>
      <c r="AF57" s="5"/>
      <c r="AG57" s="5"/>
      <c r="AH57" s="5"/>
      <c r="AI57" s="5"/>
      <c r="AJ57" s="5"/>
      <c r="AK57" s="5"/>
      <c r="AL57" s="5"/>
      <c r="AM57" s="52"/>
    </row>
    <row r="58">
      <c r="A58" s="11">
        <v>44278</v>
      </c>
      <c r="B58" s="14"/>
      <c r="C58" s="14"/>
      <c r="D58" s="14"/>
      <c r="E58" s="14"/>
      <c r="F58" s="14"/>
      <c r="G58" s="14"/>
      <c r="H58" s="14"/>
      <c r="I58" s="14"/>
      <c r="J58" s="5"/>
      <c r="K58" s="5"/>
      <c r="L58" s="5"/>
      <c r="M58" s="5"/>
      <c r="N58" s="5"/>
      <c r="O58" s="5"/>
      <c r="P58" s="5"/>
      <c r="Q58" s="5"/>
      <c r="R58" s="5"/>
      <c r="S58" s="5"/>
      <c r="T58" s="8"/>
      <c r="U58" s="11">
        <v>44278</v>
      </c>
      <c r="V58" s="14"/>
      <c r="W58" s="14"/>
      <c r="X58" s="14"/>
      <c r="Y58" s="14"/>
      <c r="Z58" s="14"/>
      <c r="AA58" s="14"/>
      <c r="AB58" s="14"/>
      <c r="AC58" s="14"/>
      <c r="AD58" s="5"/>
      <c r="AE58" s="5"/>
      <c r="AF58" s="5"/>
      <c r="AG58" s="5"/>
      <c r="AH58" s="5"/>
      <c r="AI58" s="5"/>
      <c r="AJ58" s="5"/>
      <c r="AK58" s="5"/>
      <c r="AL58" s="5"/>
      <c r="AM58" s="52"/>
    </row>
    <row r="59">
      <c r="A59" s="11">
        <v>44279</v>
      </c>
      <c r="B59" s="5"/>
      <c r="C59" s="5"/>
      <c r="D59" s="5"/>
      <c r="E59" s="5"/>
      <c r="F59" s="5"/>
      <c r="G59" s="5"/>
      <c r="H59" s="5"/>
      <c r="I59" s="5"/>
      <c r="J59" s="5"/>
      <c r="K59" s="5"/>
      <c r="L59" s="5"/>
      <c r="M59" s="5"/>
      <c r="N59" s="5"/>
      <c r="O59" s="5"/>
      <c r="P59" s="5"/>
      <c r="Q59" s="5"/>
      <c r="R59" s="5"/>
      <c r="S59" s="5"/>
      <c r="T59" s="8"/>
      <c r="U59" s="11">
        <v>44279</v>
      </c>
      <c r="V59" s="5"/>
      <c r="W59" s="5"/>
      <c r="X59" s="5"/>
      <c r="Y59" s="5"/>
      <c r="Z59" s="5"/>
      <c r="AA59" s="5"/>
      <c r="AB59" s="5"/>
      <c r="AC59" s="5"/>
      <c r="AD59" s="5"/>
      <c r="AE59" s="5"/>
      <c r="AF59" s="5"/>
      <c r="AG59" s="5"/>
      <c r="AH59" s="5"/>
      <c r="AI59" s="5"/>
      <c r="AJ59" s="5"/>
      <c r="AK59" s="5"/>
      <c r="AL59" s="5"/>
      <c r="AM59" s="52"/>
    </row>
    <row r="60">
      <c r="A60" s="11">
        <v>44280</v>
      </c>
      <c r="B60" s="14">
        <v>9417.5499999999993</v>
      </c>
      <c r="C60" s="14"/>
      <c r="D60" s="14"/>
      <c r="E60" s="14"/>
      <c r="F60" s="14"/>
      <c r="G60" s="14"/>
      <c r="H60" s="14"/>
      <c r="I60" s="14"/>
      <c r="J60" s="5">
        <v>10100</v>
      </c>
      <c r="K60" s="5"/>
      <c r="L60" s="5"/>
      <c r="M60" s="5"/>
      <c r="N60" s="5"/>
      <c r="O60" s="5"/>
      <c r="P60" s="5"/>
      <c r="Q60" s="5"/>
      <c r="R60" s="5"/>
      <c r="S60" s="5"/>
      <c r="T60" s="8"/>
      <c r="U60" s="11">
        <v>44280</v>
      </c>
      <c r="V60" s="14"/>
      <c r="W60" s="14"/>
      <c r="X60" s="14"/>
      <c r="Y60" s="14"/>
      <c r="Z60" s="14"/>
      <c r="AA60" s="14"/>
      <c r="AB60" s="14"/>
      <c r="AC60" s="14"/>
      <c r="AD60" s="5"/>
      <c r="AE60" s="5"/>
      <c r="AF60" s="5"/>
      <c r="AG60" s="5"/>
      <c r="AH60" s="5"/>
      <c r="AI60" s="5"/>
      <c r="AJ60" s="5"/>
      <c r="AK60" s="5"/>
      <c r="AL60" s="5"/>
      <c r="AM60" s="52"/>
    </row>
    <row r="61">
      <c r="A61" s="11">
        <v>44281</v>
      </c>
      <c r="B61" s="5"/>
      <c r="C61" s="5"/>
      <c r="D61" s="5"/>
      <c r="E61" s="5"/>
      <c r="F61" s="5"/>
      <c r="G61" s="5"/>
      <c r="H61" s="5"/>
      <c r="I61" s="5"/>
      <c r="J61" s="5"/>
      <c r="K61" s="5"/>
      <c r="L61" s="5"/>
      <c r="M61" s="5"/>
      <c r="N61" s="5"/>
      <c r="O61" s="5"/>
      <c r="P61" s="5"/>
      <c r="Q61" s="5"/>
      <c r="R61" s="5"/>
      <c r="S61" s="5"/>
      <c r="T61" s="8"/>
      <c r="U61" s="11">
        <v>44281</v>
      </c>
      <c r="V61" s="5">
        <v>5574</v>
      </c>
      <c r="W61" s="5"/>
      <c r="X61" s="5"/>
      <c r="Y61" s="5"/>
      <c r="Z61" s="5"/>
      <c r="AA61" s="5"/>
      <c r="AB61" s="5"/>
      <c r="AC61" s="5"/>
      <c r="AD61" s="5"/>
      <c r="AE61" s="5"/>
      <c r="AF61" s="5"/>
      <c r="AG61" s="5"/>
      <c r="AH61" s="5"/>
      <c r="AI61" s="5"/>
      <c r="AJ61" s="5"/>
      <c r="AK61" s="5"/>
      <c r="AL61" s="5"/>
      <c r="AM61" s="52"/>
    </row>
    <row r="62">
      <c r="A62" s="11">
        <v>44282</v>
      </c>
      <c r="B62" s="14"/>
      <c r="C62" s="14"/>
      <c r="D62" s="14"/>
      <c r="E62" s="14"/>
      <c r="F62" s="14"/>
      <c r="G62" s="14"/>
      <c r="H62" s="14"/>
      <c r="I62" s="14"/>
      <c r="J62" s="5"/>
      <c r="K62" s="5"/>
      <c r="L62" s="5"/>
      <c r="M62" s="5"/>
      <c r="N62" s="5"/>
      <c r="O62" s="5"/>
      <c r="P62" s="5"/>
      <c r="Q62" s="5"/>
      <c r="R62" s="5"/>
      <c r="S62" s="5"/>
      <c r="T62" s="8"/>
      <c r="U62" s="11">
        <v>44282</v>
      </c>
      <c r="V62" s="14"/>
      <c r="W62" s="14"/>
      <c r="X62" s="14"/>
      <c r="Y62" s="14"/>
      <c r="Z62" s="14"/>
      <c r="AA62" s="14"/>
      <c r="AB62" s="14"/>
      <c r="AC62" s="14"/>
      <c r="AD62" s="5"/>
      <c r="AE62" s="5"/>
      <c r="AF62" s="5"/>
      <c r="AG62" s="5"/>
      <c r="AH62" s="5"/>
      <c r="AI62" s="5"/>
      <c r="AJ62" s="5"/>
      <c r="AK62" s="5"/>
      <c r="AL62" s="5"/>
      <c r="AM62" s="52"/>
    </row>
    <row r="63">
      <c r="A63" s="11">
        <v>44283</v>
      </c>
      <c r="B63" s="5"/>
      <c r="C63" s="5"/>
      <c r="D63" s="5"/>
      <c r="E63" s="5"/>
      <c r="F63" s="5"/>
      <c r="G63" s="5"/>
      <c r="H63" s="5"/>
      <c r="I63" s="5"/>
      <c r="J63" s="5">
        <v>500</v>
      </c>
      <c r="K63" s="5"/>
      <c r="L63" s="5"/>
      <c r="M63" s="5"/>
      <c r="N63" s="5"/>
      <c r="O63" s="5"/>
      <c r="P63" s="5"/>
      <c r="Q63" s="5"/>
      <c r="R63" s="48"/>
      <c r="S63" s="5"/>
      <c r="T63" s="8"/>
      <c r="U63" s="11">
        <v>44283</v>
      </c>
      <c r="V63" s="5"/>
      <c r="W63" s="5"/>
      <c r="X63" s="5"/>
      <c r="Y63" s="5"/>
      <c r="Z63" s="5"/>
      <c r="AA63" s="5"/>
      <c r="AB63" s="5"/>
      <c r="AC63" s="5"/>
      <c r="AD63" s="5"/>
      <c r="AE63" s="5"/>
      <c r="AF63" s="5"/>
      <c r="AG63" s="5"/>
      <c r="AH63" s="5"/>
      <c r="AI63" s="5"/>
      <c r="AJ63" s="5"/>
      <c r="AK63" s="5"/>
      <c r="AL63" s="5"/>
      <c r="AM63" s="52"/>
    </row>
    <row r="64">
      <c r="A64" s="11">
        <v>44284</v>
      </c>
      <c r="B64" s="22"/>
      <c r="C64" s="22"/>
      <c r="D64" s="22"/>
      <c r="E64" s="22"/>
      <c r="F64" s="22">
        <v>-46999</v>
      </c>
      <c r="G64" s="22"/>
      <c r="H64" s="22"/>
      <c r="I64" s="22"/>
      <c r="J64" s="5"/>
      <c r="K64" s="5"/>
      <c r="L64" s="5"/>
      <c r="M64" s="5"/>
      <c r="N64" s="5"/>
      <c r="O64" s="5"/>
      <c r="P64" s="5"/>
      <c r="Q64" s="5"/>
      <c r="R64" s="48"/>
      <c r="S64" s="5"/>
      <c r="T64" s="8"/>
      <c r="U64" s="11">
        <v>44284</v>
      </c>
      <c r="V64" s="5"/>
      <c r="W64" s="5"/>
      <c r="X64" s="5"/>
      <c r="Y64" s="5"/>
      <c r="Z64" s="5"/>
      <c r="AA64" s="5"/>
      <c r="AB64" s="5"/>
      <c r="AC64" s="5"/>
      <c r="AD64" s="5"/>
      <c r="AE64" s="5"/>
      <c r="AF64" s="5"/>
      <c r="AG64" s="5"/>
      <c r="AH64" s="5"/>
      <c r="AI64" s="5"/>
      <c r="AJ64" s="5"/>
      <c r="AK64" s="5"/>
      <c r="AL64" s="5"/>
      <c r="AM64" s="52"/>
    </row>
    <row r="65">
      <c r="A65" s="11">
        <v>44285</v>
      </c>
      <c r="B65" s="5"/>
      <c r="C65" s="5"/>
      <c r="D65" s="5"/>
      <c r="E65" s="5"/>
      <c r="F65" s="5"/>
      <c r="G65" s="5"/>
      <c r="H65" s="5"/>
      <c r="I65" s="5"/>
      <c r="J65" s="5"/>
      <c r="K65" s="5"/>
      <c r="L65" s="5"/>
      <c r="M65" s="5"/>
      <c r="N65" s="5"/>
      <c r="O65" s="5"/>
      <c r="P65" s="5"/>
      <c r="Q65" s="5"/>
      <c r="R65" s="48"/>
      <c r="S65" s="5"/>
      <c r="T65" s="8"/>
      <c r="U65" s="11">
        <v>44285</v>
      </c>
      <c r="V65" s="5"/>
      <c r="W65" s="5"/>
      <c r="X65" s="5"/>
      <c r="Y65" s="5"/>
      <c r="Z65" s="5"/>
      <c r="AA65" s="5"/>
      <c r="AB65" s="5"/>
      <c r="AC65" s="5"/>
      <c r="AD65" s="5"/>
      <c r="AE65" s="5"/>
      <c r="AF65" s="5"/>
      <c r="AG65" s="5"/>
      <c r="AH65" s="5"/>
      <c r="AI65" s="5"/>
      <c r="AJ65" s="5"/>
      <c r="AK65" s="5"/>
      <c r="AL65" s="5"/>
      <c r="AM65" s="52"/>
    </row>
    <row r="66">
      <c r="A66" s="11">
        <v>44286</v>
      </c>
      <c r="B66" s="22"/>
      <c r="C66" s="22"/>
      <c r="D66" s="22"/>
      <c r="E66" s="22">
        <v>124.94</v>
      </c>
      <c r="F66" s="22">
        <v>52000</v>
      </c>
      <c r="G66" s="22"/>
      <c r="H66" s="22"/>
      <c r="I66" s="22"/>
      <c r="J66" s="5"/>
      <c r="K66" s="5"/>
      <c r="L66" s="5"/>
      <c r="M66" s="5"/>
      <c r="N66" s="5"/>
      <c r="O66" s="5"/>
      <c r="P66" s="5"/>
      <c r="Q66" s="5"/>
      <c r="R66" s="48"/>
      <c r="S66" s="5"/>
      <c r="T66" s="8"/>
      <c r="U66" s="11">
        <v>44286</v>
      </c>
      <c r="V66" s="5"/>
      <c r="W66" s="5"/>
      <c r="X66" s="5"/>
      <c r="Y66" s="5"/>
      <c r="Z66" s="5"/>
      <c r="AA66" s="5"/>
      <c r="AB66" s="5"/>
      <c r="AC66" s="5"/>
      <c r="AD66" s="5"/>
      <c r="AE66" s="5"/>
      <c r="AF66" s="5"/>
      <c r="AG66" s="5"/>
      <c r="AH66" s="5"/>
      <c r="AI66" s="5"/>
      <c r="AJ66" s="5"/>
      <c r="AK66" s="5"/>
      <c r="AL66" s="5"/>
      <c r="AM66" s="52"/>
    </row>
    <row r="67">
      <c r="A67" s="7"/>
      <c r="B67" s="7">
        <f t="shared" ref="B67:E67" si="51">SUM(B36:B66)</f>
        <v>17650.07</v>
      </c>
      <c r="C67" s="7">
        <f>SUM(C36:C66)</f>
        <v>0</v>
      </c>
      <c r="D67" s="7">
        <f t="shared" si="51"/>
        <v>0</v>
      </c>
      <c r="E67" s="7">
        <f t="shared" si="51"/>
        <v>169.41</v>
      </c>
      <c r="F67" s="7">
        <f>SUM(F36:F66)</f>
        <v>8491</v>
      </c>
      <c r="G67" s="7">
        <f t="shared" ref="G67:R67" si="52">SUM(G36:G66)</f>
        <v>0</v>
      </c>
      <c r="H67" s="7">
        <f t="shared" si="52"/>
        <v>0</v>
      </c>
      <c r="I67" s="7">
        <f t="shared" si="52"/>
        <v>1931</v>
      </c>
      <c r="J67" s="7">
        <f t="shared" si="52"/>
        <v>10600</v>
      </c>
      <c r="K67" s="7">
        <f t="shared" si="52"/>
        <v>0</v>
      </c>
      <c r="L67" s="7">
        <f t="shared" si="52"/>
        <v>0</v>
      </c>
      <c r="M67" s="7">
        <f t="shared" si="52"/>
        <v>0</v>
      </c>
      <c r="N67" s="7">
        <f t="shared" si="52"/>
        <v>0</v>
      </c>
      <c r="O67" s="7">
        <f t="shared" si="52"/>
        <v>0</v>
      </c>
      <c r="P67" s="7">
        <f t="shared" si="52"/>
        <v>0</v>
      </c>
      <c r="Q67" s="7">
        <f t="shared" si="52"/>
        <v>0</v>
      </c>
      <c r="R67" s="7">
        <f t="shared" si="52"/>
        <v>0</v>
      </c>
      <c r="S67" s="7">
        <f>SUM(B67:R67)</f>
        <v>38841.479999999996</v>
      </c>
      <c r="T67" s="8"/>
      <c r="U67" s="7"/>
      <c r="V67" s="7">
        <f t="shared" ref="V67:AK67" si="53">SUM(V36:V63)</f>
        <v>24200.880000000001</v>
      </c>
      <c r="W67" s="7">
        <f t="shared" si="53"/>
        <v>0</v>
      </c>
      <c r="X67" s="7">
        <f t="shared" si="53"/>
        <v>0</v>
      </c>
      <c r="Y67" s="7">
        <f t="shared" si="53"/>
        <v>0</v>
      </c>
      <c r="Z67" s="7">
        <f t="shared" si="53"/>
        <v>0</v>
      </c>
      <c r="AA67" s="7">
        <f t="shared" si="53"/>
        <v>0</v>
      </c>
      <c r="AB67" s="7">
        <f t="shared" si="53"/>
        <v>0</v>
      </c>
      <c r="AC67" s="7">
        <f t="shared" si="53"/>
        <v>0</v>
      </c>
      <c r="AD67" s="7">
        <f t="shared" si="53"/>
        <v>0</v>
      </c>
      <c r="AE67" s="7">
        <f t="shared" si="53"/>
        <v>0</v>
      </c>
      <c r="AF67" s="7">
        <f t="shared" si="53"/>
        <v>0</v>
      </c>
      <c r="AG67" s="7">
        <f t="shared" si="53"/>
        <v>0</v>
      </c>
      <c r="AH67" s="7">
        <f t="shared" si="53"/>
        <v>0</v>
      </c>
      <c r="AI67" s="7">
        <f t="shared" si="53"/>
        <v>0</v>
      </c>
      <c r="AJ67" s="7">
        <f t="shared" si="53"/>
        <v>0</v>
      </c>
      <c r="AK67" s="7">
        <f t="shared" si="53"/>
        <v>0</v>
      </c>
      <c r="AL67" s="7">
        <f>SUM(V67:AK67)</f>
        <v>24200.880000000001</v>
      </c>
      <c r="AM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row>
    <row r="69">
      <c r="A69" t="s">
        <v>67</v>
      </c>
    </row>
    <row r="70" ht="16.5" customHeight="1">
      <c r="A70" t="s">
        <v>68</v>
      </c>
      <c r="B70" s="50">
        <f>21000-344+2039+(23000-23000)-344-344+8164.1-4600-3300+(3000-3000)+80000+2000+(5500-5000)+(5650-5100)+1000</f>
        <v>106321.10000000001</v>
      </c>
    </row>
    <row r="71">
      <c r="A71" t="s">
        <v>69</v>
      </c>
      <c r="B71">
        <v>1000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L34" zoomScale="100" workbookViewId="0">
      <selection activeCell="K62" activeCellId="0" sqref="K62"/>
    </sheetView>
  </sheetViews>
  <sheetFormatPr defaultRowHeight="14.25"/>
  <cols>
    <col bestFit="1" customWidth="1" min="1" max="1" width="14"/>
    <col customWidth="1" min="21" max="21" width="15.7109375"/>
  </cols>
  <sheetData>
    <row r="1">
      <c r="A1" s="10" t="s">
        <v>0</v>
      </c>
      <c r="B1" s="51" t="s">
        <v>1</v>
      </c>
      <c r="C1" s="51" t="s">
        <v>2</v>
      </c>
      <c r="D1" s="51" t="s">
        <v>3</v>
      </c>
      <c r="E1" s="51" t="s">
        <v>4</v>
      </c>
      <c r="F1" s="51" t="s">
        <v>5</v>
      </c>
      <c r="G1" s="51" t="s">
        <v>6</v>
      </c>
      <c r="H1" s="51" t="s">
        <v>7</v>
      </c>
      <c r="I1" s="51" t="s">
        <v>8</v>
      </c>
      <c r="J1" s="51" t="s">
        <v>9</v>
      </c>
      <c r="K1" s="51" t="s">
        <v>10</v>
      </c>
      <c r="L1" s="51" t="s">
        <v>11</v>
      </c>
      <c r="M1" s="51" t="s">
        <v>12</v>
      </c>
      <c r="N1" s="51" t="s">
        <v>13</v>
      </c>
      <c r="O1" s="51" t="s">
        <v>19</v>
      </c>
      <c r="P1" s="51" t="s">
        <v>20</v>
      </c>
      <c r="Q1" s="51" t="s">
        <v>49</v>
      </c>
      <c r="R1" s="51" t="s">
        <v>62</v>
      </c>
      <c r="S1" s="45"/>
      <c r="T1" s="8"/>
      <c r="U1" s="10" t="s">
        <v>1</v>
      </c>
      <c r="V1" s="10" t="s">
        <v>2</v>
      </c>
      <c r="W1" s="10" t="s">
        <v>3</v>
      </c>
      <c r="X1" s="10" t="s">
        <v>4</v>
      </c>
      <c r="Y1" s="10" t="s">
        <v>5</v>
      </c>
      <c r="Z1" s="10" t="s">
        <v>6</v>
      </c>
      <c r="AA1" s="10" t="s">
        <v>7</v>
      </c>
      <c r="AB1" s="10" t="s">
        <v>8</v>
      </c>
      <c r="AC1" s="10" t="s">
        <v>9</v>
      </c>
      <c r="AD1" s="10" t="s">
        <v>10</v>
      </c>
      <c r="AE1" s="10" t="s">
        <v>11</v>
      </c>
      <c r="AF1" s="10" t="s">
        <v>12</v>
      </c>
      <c r="AG1" s="10" t="s">
        <v>13</v>
      </c>
      <c r="AH1" s="10" t="s">
        <v>63</v>
      </c>
      <c r="AI1" s="10" t="s">
        <v>20</v>
      </c>
      <c r="AJ1" s="10" t="s">
        <v>49</v>
      </c>
      <c r="AK1" s="10"/>
      <c r="AL1" s="1"/>
      <c r="AM1" s="52"/>
    </row>
    <row r="2">
      <c r="A2" s="11">
        <v>44287</v>
      </c>
      <c r="B2" s="14">
        <v>60</v>
      </c>
      <c r="C2" s="14"/>
      <c r="D2" s="14">
        <v>111</v>
      </c>
      <c r="E2" s="14"/>
      <c r="F2" s="14"/>
      <c r="G2" s="14"/>
      <c r="H2" s="14"/>
      <c r="I2" s="14"/>
      <c r="J2" s="14"/>
      <c r="K2" s="14"/>
      <c r="L2" s="14"/>
      <c r="M2" s="14"/>
      <c r="N2" s="14"/>
      <c r="O2" s="14"/>
      <c r="P2" s="14"/>
      <c r="Q2" s="14"/>
      <c r="R2" s="14"/>
      <c r="S2" s="46"/>
      <c r="T2" s="8"/>
      <c r="U2" s="14"/>
      <c r="V2" s="14"/>
      <c r="W2" s="14"/>
      <c r="X2" s="14"/>
      <c r="Y2" s="14"/>
      <c r="Z2" s="14"/>
      <c r="AA2" s="14"/>
      <c r="AB2" s="14"/>
      <c r="AC2" s="14"/>
      <c r="AD2" s="14"/>
      <c r="AE2" s="14"/>
      <c r="AF2" s="14"/>
      <c r="AG2" s="14"/>
      <c r="AH2" s="14"/>
      <c r="AI2" s="14"/>
      <c r="AJ2" s="14"/>
      <c r="AK2" s="14"/>
      <c r="AL2" s="14"/>
      <c r="AM2" s="52"/>
    </row>
    <row r="3">
      <c r="A3" s="11">
        <v>44288</v>
      </c>
      <c r="B3" s="5">
        <v>30</v>
      </c>
      <c r="C3" s="5"/>
      <c r="D3" s="5">
        <f>181.77+790</f>
        <v>971.76999999999998</v>
      </c>
      <c r="E3" s="5"/>
      <c r="F3" s="5"/>
      <c r="G3" s="5"/>
      <c r="H3" s="5"/>
      <c r="I3" s="5"/>
      <c r="J3" s="5"/>
      <c r="K3" s="5"/>
      <c r="L3" s="5"/>
      <c r="M3" s="5">
        <v>600</v>
      </c>
      <c r="N3" s="5"/>
      <c r="O3" s="5"/>
      <c r="P3" s="5"/>
      <c r="Q3" s="5"/>
      <c r="R3" s="5"/>
      <c r="S3" s="41"/>
      <c r="T3" s="8"/>
      <c r="U3" s="5"/>
      <c r="V3" s="5"/>
      <c r="W3" s="5"/>
      <c r="X3" s="5"/>
      <c r="Y3" s="5"/>
      <c r="Z3" s="5"/>
      <c r="AA3" s="5"/>
      <c r="AB3" s="5"/>
      <c r="AC3" s="5"/>
      <c r="AD3" s="5"/>
      <c r="AE3" s="5"/>
      <c r="AF3" s="5"/>
      <c r="AG3" s="5"/>
      <c r="AH3" s="5"/>
      <c r="AI3" s="5"/>
      <c r="AJ3" s="5"/>
      <c r="AK3" s="5"/>
      <c r="AL3" s="5"/>
      <c r="AM3" s="52"/>
    </row>
    <row r="4">
      <c r="A4" s="11">
        <v>44289</v>
      </c>
      <c r="B4" s="14"/>
      <c r="C4" s="14">
        <v>599.92999999999995</v>
      </c>
      <c r="D4" s="14">
        <v>150</v>
      </c>
      <c r="E4" s="14"/>
      <c r="F4" s="14"/>
      <c r="G4" s="14"/>
      <c r="H4" s="14"/>
      <c r="I4" s="14"/>
      <c r="J4" s="14"/>
      <c r="K4" s="14"/>
      <c r="L4" s="14"/>
      <c r="M4" s="14"/>
      <c r="N4" s="14"/>
      <c r="O4" s="14"/>
      <c r="P4" s="14"/>
      <c r="Q4" s="14"/>
      <c r="R4" s="14"/>
      <c r="S4" s="46"/>
      <c r="T4" s="8"/>
      <c r="U4" s="14"/>
      <c r="V4" s="14"/>
      <c r="W4" s="14"/>
      <c r="X4" s="14"/>
      <c r="Y4" s="14"/>
      <c r="Z4" s="14"/>
      <c r="AA4" s="14"/>
      <c r="AB4" s="14"/>
      <c r="AC4" s="14"/>
      <c r="AD4" s="14"/>
      <c r="AE4" s="14"/>
      <c r="AF4" s="14"/>
      <c r="AG4" s="14"/>
      <c r="AH4" s="14"/>
      <c r="AI4" s="14"/>
      <c r="AJ4" s="14"/>
      <c r="AK4" s="14"/>
      <c r="AL4" s="14"/>
      <c r="AM4" s="52"/>
    </row>
    <row r="5">
      <c r="A5" s="11">
        <v>44290</v>
      </c>
      <c r="B5" s="5"/>
      <c r="C5" s="5">
        <f>261.73+59.8</f>
        <v>321.53000000000003</v>
      </c>
      <c r="D5" s="5"/>
      <c r="E5" s="5"/>
      <c r="F5" s="5"/>
      <c r="G5" s="5"/>
      <c r="H5" s="5"/>
      <c r="I5" s="5"/>
      <c r="J5" s="5"/>
      <c r="K5" s="5"/>
      <c r="L5" s="5"/>
      <c r="M5" s="5"/>
      <c r="N5" s="5"/>
      <c r="O5" s="5">
        <v>700</v>
      </c>
      <c r="P5" s="5"/>
      <c r="Q5" s="5"/>
      <c r="R5" s="5"/>
      <c r="S5" s="41"/>
      <c r="T5" s="8"/>
      <c r="U5" s="5"/>
      <c r="V5" s="5"/>
      <c r="W5" s="5"/>
      <c r="X5" s="5"/>
      <c r="Y5" s="5"/>
      <c r="Z5" s="5"/>
      <c r="AA5" s="5"/>
      <c r="AB5" s="5"/>
      <c r="AC5" s="5"/>
      <c r="AD5" s="5"/>
      <c r="AE5" s="5"/>
      <c r="AF5" s="5"/>
      <c r="AG5" s="5"/>
      <c r="AH5" s="5"/>
      <c r="AI5" s="5"/>
      <c r="AJ5" s="5"/>
      <c r="AK5" s="5"/>
      <c r="AL5" s="5"/>
      <c r="AM5" s="52"/>
    </row>
    <row r="6">
      <c r="A6" s="11">
        <v>44291</v>
      </c>
      <c r="B6" s="14">
        <v>60</v>
      </c>
      <c r="C6" s="14">
        <f>79+286.99</f>
        <v>365.99000000000001</v>
      </c>
      <c r="D6" s="14">
        <v>55</v>
      </c>
      <c r="E6" s="14"/>
      <c r="F6" s="14"/>
      <c r="G6" s="14"/>
      <c r="H6" s="14"/>
      <c r="I6" s="14"/>
      <c r="J6" s="14"/>
      <c r="K6" s="14"/>
      <c r="L6" s="14"/>
      <c r="M6" s="14"/>
      <c r="N6" s="14"/>
      <c r="O6" s="14"/>
      <c r="P6" s="14"/>
      <c r="Q6" s="14"/>
      <c r="R6" s="14"/>
      <c r="S6" s="46"/>
      <c r="T6" s="8"/>
      <c r="U6" s="14"/>
      <c r="V6" s="14"/>
      <c r="W6" s="14"/>
      <c r="X6" s="14"/>
      <c r="Y6" s="14"/>
      <c r="Z6" s="14"/>
      <c r="AA6" s="14"/>
      <c r="AB6" s="14"/>
      <c r="AC6" s="14"/>
      <c r="AD6" s="14"/>
      <c r="AE6" s="14"/>
      <c r="AF6" s="14"/>
      <c r="AG6" s="14"/>
      <c r="AH6" s="14"/>
      <c r="AI6" s="14"/>
      <c r="AJ6" s="14"/>
      <c r="AK6" s="14"/>
      <c r="AL6" s="14"/>
      <c r="AM6" s="52"/>
    </row>
    <row r="7">
      <c r="A7" s="11">
        <v>44292</v>
      </c>
      <c r="B7" s="5">
        <v>30</v>
      </c>
      <c r="C7" s="5"/>
      <c r="D7" s="5"/>
      <c r="E7" s="5"/>
      <c r="F7" s="5"/>
      <c r="G7" s="5"/>
      <c r="H7" s="5"/>
      <c r="I7" s="5">
        <f>7757+309</f>
        <v>8066</v>
      </c>
      <c r="J7" s="5"/>
      <c r="K7" s="5"/>
      <c r="L7" s="5"/>
      <c r="M7" s="5"/>
      <c r="N7" s="5"/>
      <c r="O7" s="5"/>
      <c r="P7" s="5"/>
      <c r="Q7" s="5">
        <v>89.939999999999998</v>
      </c>
      <c r="R7" s="5"/>
      <c r="S7" s="41"/>
      <c r="T7" s="8"/>
      <c r="U7" s="5"/>
      <c r="V7" s="5"/>
      <c r="W7" s="5"/>
      <c r="X7" s="5"/>
      <c r="Y7" s="5"/>
      <c r="Z7" s="5"/>
      <c r="AA7" s="5"/>
      <c r="AB7" s="5"/>
      <c r="AC7" s="5"/>
      <c r="AD7" s="5"/>
      <c r="AE7" s="5"/>
      <c r="AF7" s="5"/>
      <c r="AG7" s="5"/>
      <c r="AH7" s="5"/>
      <c r="AI7" s="5"/>
      <c r="AJ7" s="5"/>
      <c r="AK7" s="5"/>
      <c r="AL7" s="5"/>
      <c r="AM7" s="52"/>
    </row>
    <row r="8">
      <c r="A8" s="11">
        <v>44293</v>
      </c>
      <c r="B8" s="14">
        <v>60</v>
      </c>
      <c r="C8" s="14">
        <v>44.990000000000002</v>
      </c>
      <c r="D8" s="14">
        <f>94+21</f>
        <v>115</v>
      </c>
      <c r="E8" s="14"/>
      <c r="F8" s="14"/>
      <c r="G8" s="14"/>
      <c r="H8" s="14"/>
      <c r="I8" s="14"/>
      <c r="J8" s="14"/>
      <c r="K8" s="14"/>
      <c r="L8" s="14"/>
      <c r="M8" s="14"/>
      <c r="N8" s="14"/>
      <c r="O8" s="14"/>
      <c r="P8" s="14"/>
      <c r="Q8" s="14"/>
      <c r="R8" s="14"/>
      <c r="S8" s="46"/>
      <c r="T8" s="8"/>
      <c r="U8" s="14"/>
      <c r="V8" s="14"/>
      <c r="W8" s="14"/>
      <c r="X8" s="14"/>
      <c r="Y8" s="14"/>
      <c r="Z8" s="14"/>
      <c r="AA8" s="14"/>
      <c r="AB8" s="14"/>
      <c r="AC8" s="14"/>
      <c r="AD8" s="14"/>
      <c r="AE8" s="14"/>
      <c r="AF8" s="14"/>
      <c r="AG8" s="14"/>
      <c r="AH8" s="14"/>
      <c r="AI8" s="14"/>
      <c r="AJ8" s="14"/>
      <c r="AK8" s="14"/>
      <c r="AL8" s="14"/>
      <c r="AM8" s="52"/>
    </row>
    <row r="9">
      <c r="A9" s="11">
        <v>44294</v>
      </c>
      <c r="B9" s="5">
        <v>30</v>
      </c>
      <c r="C9" s="5">
        <v>382.97000000000003</v>
      </c>
      <c r="D9" s="5">
        <v>124.25</v>
      </c>
      <c r="E9" s="5"/>
      <c r="F9" s="5"/>
      <c r="G9" s="5"/>
      <c r="H9" s="5"/>
      <c r="I9" s="5"/>
      <c r="J9" s="5"/>
      <c r="K9" s="5"/>
      <c r="L9" s="5"/>
      <c r="M9" s="5"/>
      <c r="N9" s="5"/>
      <c r="O9" s="5"/>
      <c r="P9" s="5"/>
      <c r="Q9" s="5"/>
      <c r="R9" s="5">
        <v>2000</v>
      </c>
      <c r="S9" s="41"/>
      <c r="T9" s="8"/>
      <c r="U9" s="5"/>
      <c r="V9" s="5"/>
      <c r="W9" s="5"/>
      <c r="X9" s="5"/>
      <c r="Y9" s="5"/>
      <c r="Z9" s="5"/>
      <c r="AA9" s="5"/>
      <c r="AB9" s="5"/>
      <c r="AC9" s="5"/>
      <c r="AD9" s="5"/>
      <c r="AE9" s="5"/>
      <c r="AF9" s="5"/>
      <c r="AG9" s="5"/>
      <c r="AH9" s="5"/>
      <c r="AI9" s="5"/>
      <c r="AJ9" s="5"/>
      <c r="AK9" s="5"/>
      <c r="AL9" s="5"/>
      <c r="AM9" s="52"/>
    </row>
    <row r="10">
      <c r="A10" s="11">
        <v>44295</v>
      </c>
      <c r="B10" s="14">
        <v>60</v>
      </c>
      <c r="C10" s="14"/>
      <c r="D10" s="14">
        <v>134</v>
      </c>
      <c r="E10" s="14"/>
      <c r="F10" s="14"/>
      <c r="G10" s="14"/>
      <c r="H10" s="14"/>
      <c r="I10" s="14"/>
      <c r="J10" s="14"/>
      <c r="K10" s="14"/>
      <c r="L10" s="14"/>
      <c r="M10" s="14"/>
      <c r="N10" s="14"/>
      <c r="O10" s="14"/>
      <c r="P10" s="14"/>
      <c r="Q10" s="14"/>
      <c r="R10" s="14"/>
      <c r="S10" s="46"/>
      <c r="T10" s="8"/>
      <c r="U10" s="14"/>
      <c r="V10" s="14"/>
      <c r="W10" s="14"/>
      <c r="X10" s="14"/>
      <c r="Y10" s="14"/>
      <c r="Z10" s="14"/>
      <c r="AA10" s="14"/>
      <c r="AB10" s="14"/>
      <c r="AC10" s="14"/>
      <c r="AD10" s="14"/>
      <c r="AE10" s="14"/>
      <c r="AF10" s="14"/>
      <c r="AG10" s="14"/>
      <c r="AH10" s="14"/>
      <c r="AI10" s="14"/>
      <c r="AJ10" s="14"/>
      <c r="AK10" s="14"/>
      <c r="AL10" s="14"/>
      <c r="AM10" s="52"/>
    </row>
    <row r="11">
      <c r="A11" s="11">
        <v>44296</v>
      </c>
      <c r="B11" s="5"/>
      <c r="C11" s="5">
        <f>880.77+143</f>
        <v>1023.77</v>
      </c>
      <c r="D11" s="5"/>
      <c r="E11" s="5"/>
      <c r="F11" s="5"/>
      <c r="G11" s="5"/>
      <c r="H11" s="5"/>
      <c r="I11" s="5"/>
      <c r="J11" s="5"/>
      <c r="K11" s="5"/>
      <c r="L11" s="5"/>
      <c r="M11" s="5"/>
      <c r="N11" s="5"/>
      <c r="O11" s="5"/>
      <c r="P11" s="5"/>
      <c r="Q11" s="5"/>
      <c r="R11" s="5"/>
      <c r="S11" s="41"/>
      <c r="T11" s="8"/>
      <c r="U11" s="5"/>
      <c r="V11" s="5"/>
      <c r="W11" s="5"/>
      <c r="X11" s="5"/>
      <c r="Y11" s="5"/>
      <c r="Z11" s="5"/>
      <c r="AA11" s="5"/>
      <c r="AB11" s="5"/>
      <c r="AC11" s="5"/>
      <c r="AD11" s="5"/>
      <c r="AE11" s="5"/>
      <c r="AF11" s="5"/>
      <c r="AG11" s="5"/>
      <c r="AH11" s="5"/>
      <c r="AI11" s="5"/>
      <c r="AJ11" s="5"/>
      <c r="AK11" s="5"/>
      <c r="AL11" s="5"/>
      <c r="AM11" s="52"/>
    </row>
    <row r="12">
      <c r="A12" s="11">
        <v>44297</v>
      </c>
      <c r="B12" s="14"/>
      <c r="C12" s="14">
        <v>203.44999999999999</v>
      </c>
      <c r="D12" s="14">
        <v>470</v>
      </c>
      <c r="E12" s="14"/>
      <c r="F12" s="14"/>
      <c r="G12" s="14"/>
      <c r="H12" s="14"/>
      <c r="I12" s="14"/>
      <c r="J12" s="14"/>
      <c r="K12" s="14"/>
      <c r="L12" s="14"/>
      <c r="M12" s="14"/>
      <c r="N12" s="14"/>
      <c r="O12" s="14"/>
      <c r="P12" s="14">
        <v>300</v>
      </c>
      <c r="Q12" s="14"/>
      <c r="R12" s="14"/>
      <c r="S12" s="46"/>
      <c r="T12" s="8"/>
      <c r="U12" s="14"/>
      <c r="V12" s="14"/>
      <c r="W12" s="14"/>
      <c r="X12" s="14"/>
      <c r="Y12" s="14"/>
      <c r="Z12" s="14"/>
      <c r="AA12" s="14"/>
      <c r="AB12" s="14"/>
      <c r="AC12" s="14"/>
      <c r="AD12" s="14"/>
      <c r="AE12" s="14"/>
      <c r="AF12" s="14"/>
      <c r="AG12" s="14"/>
      <c r="AH12" s="14"/>
      <c r="AI12" s="14"/>
      <c r="AJ12" s="14"/>
      <c r="AK12" s="14"/>
      <c r="AL12" s="14"/>
      <c r="AM12" s="52"/>
    </row>
    <row r="13">
      <c r="A13" s="11">
        <v>44298</v>
      </c>
      <c r="B13" s="5">
        <v>60</v>
      </c>
      <c r="C13" s="5"/>
      <c r="D13" s="5">
        <v>50</v>
      </c>
      <c r="E13" s="5"/>
      <c r="F13" s="5"/>
      <c r="G13" s="5"/>
      <c r="H13" s="5"/>
      <c r="I13" s="5"/>
      <c r="J13" s="5"/>
      <c r="K13" s="5"/>
      <c r="L13" s="5"/>
      <c r="M13" s="5"/>
      <c r="N13" s="5"/>
      <c r="O13" s="5"/>
      <c r="P13" s="5"/>
      <c r="Q13" s="5"/>
      <c r="R13" s="5"/>
      <c r="S13" s="41"/>
      <c r="T13" s="8"/>
      <c r="U13" s="5"/>
      <c r="V13" s="5"/>
      <c r="W13" s="5"/>
      <c r="X13" s="5"/>
      <c r="Y13" s="5"/>
      <c r="Z13" s="5"/>
      <c r="AA13" s="5"/>
      <c r="AB13" s="5"/>
      <c r="AC13" s="5"/>
      <c r="AD13" s="5"/>
      <c r="AE13" s="5"/>
      <c r="AF13" s="5"/>
      <c r="AG13" s="5"/>
      <c r="AH13" s="5"/>
      <c r="AI13" s="5"/>
      <c r="AJ13" s="5"/>
      <c r="AK13" s="5"/>
      <c r="AL13" s="5"/>
      <c r="AM13" s="52"/>
    </row>
    <row r="14">
      <c r="A14" s="11">
        <v>44299</v>
      </c>
      <c r="B14" s="14">
        <v>50</v>
      </c>
      <c r="C14" s="14">
        <f>223.94+258.6</f>
        <v>482.54000000000002</v>
      </c>
      <c r="D14" s="14"/>
      <c r="E14" s="14"/>
      <c r="F14" s="14"/>
      <c r="G14" s="14"/>
      <c r="H14" s="14"/>
      <c r="I14" s="14">
        <v>347</v>
      </c>
      <c r="J14" s="14"/>
      <c r="K14" s="14"/>
      <c r="L14" s="14"/>
      <c r="M14" s="14"/>
      <c r="N14" s="14"/>
      <c r="O14" s="14"/>
      <c r="P14" s="14"/>
      <c r="Q14" s="14"/>
      <c r="R14" s="14"/>
      <c r="S14" s="46"/>
      <c r="T14" s="8"/>
      <c r="U14" s="14"/>
      <c r="V14" s="14"/>
      <c r="W14" s="14"/>
      <c r="X14" s="14"/>
      <c r="Y14" s="14"/>
      <c r="Z14" s="14"/>
      <c r="AA14" s="14"/>
      <c r="AB14" s="14"/>
      <c r="AC14" s="14"/>
      <c r="AD14" s="14"/>
      <c r="AE14" s="14"/>
      <c r="AF14" s="14"/>
      <c r="AG14" s="14"/>
      <c r="AH14" s="14"/>
      <c r="AI14" s="14"/>
      <c r="AJ14" s="14"/>
      <c r="AK14" s="14"/>
      <c r="AL14" s="14"/>
      <c r="AM14" s="52"/>
    </row>
    <row r="15">
      <c r="A15" s="11">
        <v>44300</v>
      </c>
      <c r="B15" s="5"/>
      <c r="C15" s="5">
        <f>2.99+148.65</f>
        <v>151.64000000000001</v>
      </c>
      <c r="D15" s="5">
        <f>77+13</f>
        <v>90</v>
      </c>
      <c r="E15" s="5"/>
      <c r="F15" s="5"/>
      <c r="G15" s="5"/>
      <c r="H15" s="5"/>
      <c r="J15" s="5"/>
      <c r="K15" s="5"/>
      <c r="L15" s="5">
        <v>200</v>
      </c>
      <c r="M15" s="5"/>
      <c r="N15" s="5"/>
      <c r="O15" s="5"/>
      <c r="P15" s="5"/>
      <c r="Q15" s="5"/>
      <c r="R15" s="5"/>
      <c r="S15" s="41"/>
      <c r="T15" s="8"/>
      <c r="U15" s="5"/>
      <c r="V15" s="5"/>
      <c r="W15" s="5"/>
      <c r="X15" s="5"/>
      <c r="Y15" s="5"/>
      <c r="Z15" s="5"/>
      <c r="AA15" s="5"/>
      <c r="AC15" s="5"/>
      <c r="AD15" s="5"/>
      <c r="AE15" s="5"/>
      <c r="AF15" s="5"/>
      <c r="AG15" s="5"/>
      <c r="AH15" s="5"/>
      <c r="AI15" s="5"/>
      <c r="AJ15" s="5"/>
      <c r="AK15" s="5"/>
      <c r="AL15" s="5"/>
      <c r="AM15" s="52"/>
    </row>
    <row r="16">
      <c r="A16" s="11">
        <v>44301</v>
      </c>
      <c r="B16" s="14"/>
      <c r="C16" s="14">
        <v>2.9700000000000002</v>
      </c>
      <c r="D16" s="14">
        <f>95+119.2</f>
        <v>214.19999999999999</v>
      </c>
      <c r="E16" s="14"/>
      <c r="F16" s="14"/>
      <c r="G16" s="14"/>
      <c r="H16" s="14"/>
      <c r="I16" s="14"/>
      <c r="J16" s="14"/>
      <c r="K16" s="14"/>
      <c r="L16" s="14"/>
      <c r="M16" s="14"/>
      <c r="N16" s="14"/>
      <c r="O16" s="14"/>
      <c r="P16" s="14"/>
      <c r="Q16" s="14"/>
      <c r="R16" s="14"/>
      <c r="S16" s="46"/>
      <c r="T16" s="8"/>
      <c r="U16" s="14"/>
      <c r="V16" s="14"/>
      <c r="W16" s="14"/>
      <c r="X16" s="14"/>
      <c r="Y16" s="14"/>
      <c r="Z16" s="14"/>
      <c r="AA16" s="14"/>
      <c r="AB16" s="14"/>
      <c r="AC16" s="14"/>
      <c r="AD16" s="14"/>
      <c r="AE16" s="14"/>
      <c r="AF16" s="14"/>
      <c r="AG16" s="14"/>
      <c r="AH16" s="14"/>
      <c r="AI16" s="14"/>
      <c r="AJ16" s="14"/>
      <c r="AK16" s="14"/>
      <c r="AL16" s="14"/>
      <c r="AM16" s="52"/>
    </row>
    <row r="17">
      <c r="A17" s="11">
        <v>44302</v>
      </c>
      <c r="B17" s="5">
        <v>30</v>
      </c>
      <c r="C17" s="5"/>
      <c r="D17" s="5">
        <v>81</v>
      </c>
      <c r="E17" s="5"/>
      <c r="F17" s="5"/>
      <c r="G17" s="5"/>
      <c r="H17" s="5"/>
      <c r="I17" s="5"/>
      <c r="J17" s="5"/>
      <c r="K17" s="5"/>
      <c r="L17" s="5"/>
      <c r="M17" s="5"/>
      <c r="N17" s="5"/>
      <c r="O17" s="5"/>
      <c r="P17" s="5"/>
      <c r="Q17" s="5"/>
      <c r="R17" s="5"/>
      <c r="S17" s="41"/>
      <c r="T17" s="8"/>
      <c r="U17" s="5"/>
      <c r="V17" s="5"/>
      <c r="W17" s="5"/>
      <c r="X17" s="5"/>
      <c r="Y17" s="5"/>
      <c r="Z17" s="5"/>
      <c r="AA17" s="5"/>
      <c r="AB17" s="5"/>
      <c r="AC17" s="5"/>
      <c r="AD17" s="5"/>
      <c r="AE17" s="5"/>
      <c r="AF17" s="5"/>
      <c r="AG17" s="5"/>
      <c r="AH17" s="5"/>
      <c r="AI17" s="5"/>
      <c r="AJ17" s="5"/>
      <c r="AK17" s="5"/>
      <c r="AL17" s="5"/>
      <c r="AM17" s="52"/>
    </row>
    <row r="18">
      <c r="A18" s="11">
        <v>44303</v>
      </c>
      <c r="B18" s="14"/>
      <c r="C18" s="14">
        <v>1601.0899999999999</v>
      </c>
      <c r="D18" s="14"/>
      <c r="E18" s="14"/>
      <c r="F18" s="14"/>
      <c r="G18" s="14"/>
      <c r="H18" s="14"/>
      <c r="I18" s="14"/>
      <c r="J18" s="14"/>
      <c r="K18" s="14"/>
      <c r="L18" s="14"/>
      <c r="M18" s="14"/>
      <c r="N18" s="14"/>
      <c r="O18" s="14"/>
      <c r="P18" s="14"/>
      <c r="Q18" s="14"/>
      <c r="R18" s="14"/>
      <c r="S18" s="46"/>
      <c r="T18" s="8"/>
      <c r="U18" s="14"/>
      <c r="V18" s="14"/>
      <c r="W18" s="14"/>
      <c r="X18" s="14"/>
      <c r="Y18" s="14"/>
      <c r="Z18" s="14"/>
      <c r="AA18" s="14"/>
      <c r="AB18" s="14"/>
      <c r="AC18" s="14"/>
      <c r="AD18" s="14"/>
      <c r="AE18" s="14"/>
      <c r="AF18" s="14"/>
      <c r="AG18" s="14"/>
      <c r="AH18" s="14"/>
      <c r="AI18" s="14"/>
      <c r="AJ18" s="14"/>
      <c r="AK18" s="14"/>
      <c r="AL18" s="14"/>
      <c r="AM18" s="52"/>
    </row>
    <row r="19">
      <c r="A19" s="11">
        <v>44304</v>
      </c>
      <c r="B19" s="5"/>
      <c r="C19" s="5">
        <v>187.97</v>
      </c>
      <c r="D19" s="5"/>
      <c r="E19" s="5"/>
      <c r="F19" s="5"/>
      <c r="G19" s="5">
        <v>138</v>
      </c>
      <c r="H19" s="5"/>
      <c r="I19" s="5"/>
      <c r="J19" s="5"/>
      <c r="K19" s="5"/>
      <c r="L19" s="5"/>
      <c r="M19" s="5"/>
      <c r="N19" s="5"/>
      <c r="O19" s="5"/>
      <c r="P19" s="5"/>
      <c r="Q19" s="5"/>
      <c r="R19" s="5"/>
      <c r="S19" s="41"/>
      <c r="T19" s="8"/>
      <c r="U19" s="5"/>
      <c r="V19" s="5"/>
      <c r="W19" s="5"/>
      <c r="X19" s="5"/>
      <c r="Y19" s="5"/>
      <c r="Z19" s="5"/>
      <c r="AA19" s="5"/>
      <c r="AB19" s="5"/>
      <c r="AC19" s="5"/>
      <c r="AD19" s="5"/>
      <c r="AE19" s="5"/>
      <c r="AF19" s="5"/>
      <c r="AG19" s="5"/>
      <c r="AH19" s="5"/>
      <c r="AI19" s="5"/>
      <c r="AJ19" s="5"/>
      <c r="AK19" s="5"/>
      <c r="AL19" s="5"/>
      <c r="AM19" s="52"/>
    </row>
    <row r="20">
      <c r="A20" s="11">
        <v>44305</v>
      </c>
      <c r="B20" s="14">
        <v>30</v>
      </c>
      <c r="C20" s="14">
        <v>266.48000000000002</v>
      </c>
      <c r="D20" s="14"/>
      <c r="E20" s="14"/>
      <c r="F20" s="14"/>
      <c r="G20" s="14"/>
      <c r="H20" s="14"/>
      <c r="I20" s="14"/>
      <c r="J20" s="14">
        <v>84</v>
      </c>
      <c r="K20" s="14"/>
      <c r="L20" s="14"/>
      <c r="M20" s="14"/>
      <c r="N20" s="14"/>
      <c r="O20" s="14"/>
      <c r="P20" s="34"/>
      <c r="Q20" s="14"/>
      <c r="R20" s="14"/>
      <c r="S20" s="46"/>
      <c r="T20" s="8"/>
      <c r="U20" s="14"/>
      <c r="V20" s="14"/>
      <c r="W20" s="14"/>
      <c r="X20" s="14"/>
      <c r="Y20" s="14"/>
      <c r="Z20" s="14"/>
      <c r="AA20" s="14"/>
      <c r="AB20" s="14"/>
      <c r="AC20" s="14"/>
      <c r="AD20" s="14"/>
      <c r="AE20" s="14"/>
      <c r="AF20" s="14"/>
      <c r="AG20" s="14"/>
      <c r="AH20" s="14"/>
      <c r="AI20" s="34"/>
      <c r="AJ20" s="14"/>
      <c r="AK20" s="14"/>
      <c r="AL20" s="14"/>
      <c r="AM20" s="52"/>
    </row>
    <row r="21">
      <c r="A21" s="11">
        <v>44306</v>
      </c>
      <c r="B21" s="35">
        <v>30</v>
      </c>
      <c r="C21" s="5"/>
      <c r="D21" s="5">
        <v>68</v>
      </c>
      <c r="E21" s="5"/>
      <c r="F21" s="5">
        <v>904</v>
      </c>
      <c r="G21" s="5"/>
      <c r="H21" s="5"/>
      <c r="I21" s="5"/>
      <c r="J21" s="5"/>
      <c r="K21" s="5"/>
      <c r="L21" s="5"/>
      <c r="M21" s="5"/>
      <c r="N21" s="5"/>
      <c r="O21" s="5"/>
      <c r="P21" s="5"/>
      <c r="Q21" s="5"/>
      <c r="R21" s="5"/>
      <c r="S21" s="41"/>
      <c r="T21" s="8"/>
      <c r="U21" s="35"/>
      <c r="V21" s="5"/>
      <c r="W21" s="5"/>
      <c r="X21" s="5"/>
      <c r="Y21" s="5"/>
      <c r="Z21" s="5"/>
      <c r="AA21" s="5"/>
      <c r="AB21" s="5"/>
      <c r="AC21" s="5"/>
      <c r="AD21" s="5"/>
      <c r="AE21" s="5"/>
      <c r="AF21" s="5"/>
      <c r="AG21" s="5"/>
      <c r="AH21" s="5"/>
      <c r="AI21" s="5"/>
      <c r="AJ21" s="5"/>
      <c r="AK21" s="5"/>
      <c r="AL21" s="5"/>
      <c r="AM21" s="52"/>
    </row>
    <row r="22">
      <c r="A22" s="11">
        <v>44307</v>
      </c>
      <c r="B22" s="53">
        <v>30</v>
      </c>
      <c r="C22" s="14">
        <v>342.95999999999998</v>
      </c>
      <c r="D22" s="36">
        <v>81</v>
      </c>
      <c r="E22" s="14"/>
      <c r="F22" s="14"/>
      <c r="G22" s="14"/>
      <c r="H22" s="14"/>
      <c r="I22" s="14"/>
      <c r="J22" s="14"/>
      <c r="K22" s="14"/>
      <c r="L22" s="14"/>
      <c r="M22" s="14"/>
      <c r="N22" s="14"/>
      <c r="O22" s="14"/>
      <c r="P22" s="14"/>
      <c r="Q22" s="14"/>
      <c r="R22" s="14"/>
      <c r="S22" s="46"/>
      <c r="T22" s="8"/>
      <c r="U22" s="14"/>
      <c r="V22" s="36"/>
      <c r="W22" s="36"/>
      <c r="X22" s="14"/>
      <c r="Y22" s="14"/>
      <c r="Z22" s="14"/>
      <c r="AA22" s="14"/>
      <c r="AB22" s="14"/>
      <c r="AC22" s="14"/>
      <c r="AD22" s="14"/>
      <c r="AE22" s="14"/>
      <c r="AF22" s="14"/>
      <c r="AG22" s="14"/>
      <c r="AH22" s="14"/>
      <c r="AI22" s="14"/>
      <c r="AJ22" s="14"/>
      <c r="AK22" s="14"/>
      <c r="AL22" s="14"/>
      <c r="AM22" s="52"/>
    </row>
    <row r="23">
      <c r="A23" s="11">
        <v>44308</v>
      </c>
      <c r="B23" s="5">
        <v>70</v>
      </c>
      <c r="C23">
        <v>0.98999999999999999</v>
      </c>
      <c r="D23">
        <f>151+587</f>
        <v>738</v>
      </c>
      <c r="E23" s="5"/>
      <c r="F23" s="5"/>
      <c r="G23" s="5"/>
      <c r="H23" s="5"/>
      <c r="I23" s="5"/>
      <c r="J23" s="5"/>
      <c r="K23" s="5"/>
      <c r="L23" s="5"/>
      <c r="M23" s="5"/>
      <c r="N23" s="5"/>
      <c r="O23" s="5"/>
      <c r="P23" s="5"/>
      <c r="Q23" s="5"/>
      <c r="R23" s="5"/>
      <c r="S23" s="41"/>
      <c r="T23" s="8"/>
      <c r="U23" s="5"/>
      <c r="X23" s="5"/>
      <c r="Y23" s="5"/>
      <c r="Z23" s="5"/>
      <c r="AA23" s="5"/>
      <c r="AB23" s="5"/>
      <c r="AC23" s="5"/>
      <c r="AD23" s="5"/>
      <c r="AE23" s="5"/>
      <c r="AF23" s="5"/>
      <c r="AG23" s="5"/>
      <c r="AH23" s="5"/>
      <c r="AI23" s="5"/>
      <c r="AJ23" s="5"/>
      <c r="AK23" s="5"/>
      <c r="AL23" s="5"/>
      <c r="AM23" s="52"/>
    </row>
    <row r="24">
      <c r="A24" s="11">
        <v>44309</v>
      </c>
      <c r="B24" s="14">
        <v>60</v>
      </c>
      <c r="C24" s="14">
        <f>84.95+324.77+239.78</f>
        <v>649.5</v>
      </c>
      <c r="D24" s="14">
        <v>87</v>
      </c>
      <c r="E24" s="14"/>
      <c r="F24" s="14"/>
      <c r="G24" s="14"/>
      <c r="H24" s="14"/>
      <c r="I24" s="14"/>
      <c r="J24" s="14"/>
      <c r="K24" s="14"/>
      <c r="L24" s="14"/>
      <c r="M24" s="14"/>
      <c r="N24" s="14"/>
      <c r="O24" s="14"/>
      <c r="P24" s="14"/>
      <c r="Q24" s="14"/>
      <c r="R24" s="14"/>
      <c r="S24" s="46"/>
      <c r="T24" s="8"/>
      <c r="U24" s="14"/>
      <c r="V24" s="14"/>
      <c r="W24" s="14"/>
      <c r="X24" s="14"/>
      <c r="Y24" s="14"/>
      <c r="Z24" s="14"/>
      <c r="AA24" s="14"/>
      <c r="AB24" s="14"/>
      <c r="AC24" s="14"/>
      <c r="AD24" s="14"/>
      <c r="AE24" s="14"/>
      <c r="AF24" s="14"/>
      <c r="AG24" s="14"/>
      <c r="AH24" s="14"/>
      <c r="AI24" s="14"/>
      <c r="AJ24" s="14"/>
      <c r="AK24" s="14"/>
      <c r="AL24" s="14"/>
      <c r="AM24" s="52"/>
    </row>
    <row r="25">
      <c r="A25" s="11">
        <v>44310</v>
      </c>
      <c r="B25" s="54">
        <v>80</v>
      </c>
      <c r="C25" s="5">
        <f>371.07+183.96</f>
        <v>555.02999999999997</v>
      </c>
      <c r="D25" s="5"/>
      <c r="E25" s="5"/>
      <c r="F25" s="5"/>
      <c r="G25" s="5"/>
      <c r="H25" s="5"/>
      <c r="I25" s="5">
        <v>445</v>
      </c>
      <c r="J25" s="5"/>
      <c r="K25" s="5"/>
      <c r="L25" s="5">
        <v>1944</v>
      </c>
      <c r="M25" s="5"/>
      <c r="N25" s="5"/>
      <c r="O25" s="5"/>
      <c r="P25" s="5"/>
      <c r="Q25" s="5"/>
      <c r="R25" s="5"/>
      <c r="S25" s="41"/>
      <c r="T25" s="8"/>
      <c r="V25" s="5"/>
      <c r="W25" s="5"/>
      <c r="X25" s="5"/>
      <c r="Y25" s="5"/>
      <c r="Z25" s="5"/>
      <c r="AA25" s="5"/>
      <c r="AB25" s="5"/>
      <c r="AC25" s="5"/>
      <c r="AD25" s="5"/>
      <c r="AE25" s="5"/>
      <c r="AF25" s="5"/>
      <c r="AG25" s="5"/>
      <c r="AH25" s="5"/>
      <c r="AI25" s="5"/>
      <c r="AJ25" s="5"/>
      <c r="AK25" s="5"/>
      <c r="AL25" s="5"/>
      <c r="AM25" s="52"/>
    </row>
    <row r="26">
      <c r="A26" s="11">
        <v>44311</v>
      </c>
      <c r="B26" s="14"/>
      <c r="C26" s="14">
        <f>181.97+135.97</f>
        <v>317.94</v>
      </c>
      <c r="D26" s="14"/>
      <c r="E26" s="14"/>
      <c r="F26" s="14"/>
      <c r="G26" s="14"/>
      <c r="H26" s="14"/>
      <c r="I26" s="14">
        <f>1675+149.98</f>
        <v>1824.98</v>
      </c>
      <c r="J26" s="14"/>
      <c r="K26" s="14">
        <v>552.89999999999998</v>
      </c>
      <c r="L26" s="14"/>
      <c r="M26" s="14"/>
      <c r="N26" s="14"/>
      <c r="O26" s="14"/>
      <c r="P26" s="14"/>
      <c r="Q26" s="14"/>
      <c r="R26" s="14"/>
      <c r="S26" s="46"/>
      <c r="T26" s="8"/>
      <c r="U26" s="14"/>
      <c r="V26" s="14"/>
      <c r="W26" s="14"/>
      <c r="X26" s="14"/>
      <c r="Y26" s="14"/>
      <c r="Z26" s="14"/>
      <c r="AA26" s="14"/>
      <c r="AB26" s="14"/>
      <c r="AC26" s="14"/>
      <c r="AD26" s="14"/>
      <c r="AE26" s="14"/>
      <c r="AF26" s="14"/>
      <c r="AG26" s="14"/>
      <c r="AH26" s="14"/>
      <c r="AI26" s="14"/>
      <c r="AJ26" s="14"/>
      <c r="AK26" s="14"/>
      <c r="AL26" s="14"/>
      <c r="AM26" s="52"/>
    </row>
    <row r="27">
      <c r="A27" s="11">
        <v>44312</v>
      </c>
      <c r="B27" s="5"/>
      <c r="C27" s="5"/>
      <c r="D27" s="5">
        <v>92</v>
      </c>
      <c r="E27" s="5"/>
      <c r="F27" s="5"/>
      <c r="G27" s="5"/>
      <c r="H27" s="5"/>
      <c r="I27" s="5"/>
      <c r="J27" s="5"/>
      <c r="K27" s="5">
        <v>3212.8600000000001</v>
      </c>
      <c r="L27" s="5"/>
      <c r="M27" s="5"/>
      <c r="N27" s="5"/>
      <c r="O27" s="5"/>
      <c r="P27" s="5">
        <v>199</v>
      </c>
      <c r="Q27" s="5"/>
      <c r="R27" s="5"/>
      <c r="S27" s="41"/>
      <c r="T27" s="8"/>
      <c r="U27" s="5"/>
      <c r="V27" s="5"/>
      <c r="W27" s="5"/>
      <c r="X27" s="5"/>
      <c r="Y27" s="5"/>
      <c r="Z27" s="5"/>
      <c r="AA27" s="5"/>
      <c r="AB27" s="5"/>
      <c r="AC27" s="5"/>
      <c r="AD27" s="5"/>
      <c r="AE27" s="5"/>
      <c r="AF27" s="5"/>
      <c r="AG27" s="5"/>
      <c r="AH27" s="5"/>
      <c r="AI27" s="5"/>
      <c r="AJ27" s="5"/>
      <c r="AK27" s="5"/>
      <c r="AL27" s="5"/>
      <c r="AM27" s="52"/>
    </row>
    <row r="28">
      <c r="A28" s="11">
        <v>44313</v>
      </c>
      <c r="B28" s="14">
        <v>20</v>
      </c>
      <c r="C28" s="14"/>
      <c r="D28" s="14">
        <f>118+26</f>
        <v>144</v>
      </c>
      <c r="E28" s="14"/>
      <c r="F28" s="14"/>
      <c r="G28" s="14">
        <v>391</v>
      </c>
      <c r="H28" s="14"/>
      <c r="I28" s="14"/>
      <c r="J28" s="14"/>
      <c r="K28" s="14"/>
      <c r="L28" s="14"/>
      <c r="M28" s="14"/>
      <c r="N28" s="14"/>
      <c r="O28" s="14"/>
      <c r="P28" s="14"/>
      <c r="Q28" s="14"/>
      <c r="R28" s="14"/>
      <c r="S28" s="46"/>
      <c r="T28" s="8"/>
      <c r="U28" s="14"/>
      <c r="V28" s="14"/>
      <c r="W28" s="14"/>
      <c r="X28" s="14"/>
      <c r="Y28" s="14"/>
      <c r="Z28" s="14"/>
      <c r="AA28" s="14"/>
      <c r="AB28" s="14"/>
      <c r="AC28" s="14"/>
      <c r="AD28" s="14"/>
      <c r="AE28" s="14"/>
      <c r="AF28" s="14"/>
      <c r="AG28" s="14"/>
      <c r="AH28" s="14"/>
      <c r="AI28" s="14"/>
      <c r="AJ28" s="14"/>
      <c r="AK28" s="14"/>
      <c r="AL28" s="14"/>
      <c r="AM28" s="52"/>
    </row>
    <row r="29">
      <c r="A29" s="11">
        <v>44314</v>
      </c>
      <c r="B29" s="5">
        <v>60</v>
      </c>
      <c r="C29" s="5">
        <v>633.69000000000005</v>
      </c>
      <c r="D29" s="5">
        <v>134</v>
      </c>
      <c r="E29" s="5"/>
      <c r="F29" s="5">
        <v>199</v>
      </c>
      <c r="G29" s="5"/>
      <c r="H29" s="5"/>
      <c r="I29" s="5"/>
      <c r="J29" s="5"/>
      <c r="K29" s="5"/>
      <c r="L29" s="5"/>
      <c r="M29" s="5"/>
      <c r="N29" s="5"/>
      <c r="O29" s="5"/>
      <c r="P29" s="5"/>
      <c r="Q29" s="5"/>
      <c r="R29" s="5"/>
      <c r="S29" s="41"/>
      <c r="T29" s="8"/>
      <c r="U29" s="5"/>
      <c r="V29" s="5"/>
      <c r="W29" s="5"/>
      <c r="X29" s="5"/>
      <c r="Y29" s="5"/>
      <c r="Z29" s="5"/>
      <c r="AA29" s="5"/>
      <c r="AB29" s="5"/>
      <c r="AC29" s="5"/>
      <c r="AD29" s="5"/>
      <c r="AE29" s="5"/>
      <c r="AF29" s="5"/>
      <c r="AG29" s="5"/>
      <c r="AH29" s="5"/>
      <c r="AI29" s="5"/>
      <c r="AJ29" s="5"/>
      <c r="AK29" s="5"/>
      <c r="AL29" s="5"/>
      <c r="AM29" s="52"/>
    </row>
    <row r="30">
      <c r="A30" s="11">
        <v>44315</v>
      </c>
      <c r="B30" s="22">
        <v>60</v>
      </c>
      <c r="C30" s="22">
        <v>164.88999999999999</v>
      </c>
      <c r="D30" s="22">
        <f>26+105</f>
        <v>131</v>
      </c>
      <c r="E30" s="22"/>
      <c r="F30" s="22"/>
      <c r="G30" s="22"/>
      <c r="H30" s="22"/>
      <c r="I30" s="22"/>
      <c r="J30" s="22"/>
      <c r="K30" s="22"/>
      <c r="L30" s="22"/>
      <c r="M30" s="22"/>
      <c r="N30" s="22"/>
      <c r="O30" s="22"/>
      <c r="P30" s="22"/>
      <c r="Q30" s="22"/>
      <c r="R30" s="22"/>
      <c r="S30" s="55"/>
      <c r="T30" s="8"/>
      <c r="U30" s="22"/>
      <c r="V30" s="22"/>
      <c r="W30" s="22"/>
      <c r="X30" s="22"/>
      <c r="Y30" s="22"/>
      <c r="Z30" s="22"/>
      <c r="AA30" s="22"/>
      <c r="AB30" s="22"/>
      <c r="AC30" s="22"/>
      <c r="AD30" s="22"/>
      <c r="AE30" s="22"/>
      <c r="AF30" s="22"/>
      <c r="AG30" s="22"/>
      <c r="AH30" s="22"/>
      <c r="AI30" s="22"/>
      <c r="AJ30" s="22"/>
      <c r="AK30" s="22"/>
      <c r="AL30" s="55"/>
      <c r="AM30" s="52"/>
    </row>
    <row r="31">
      <c r="A31" s="11">
        <v>44316</v>
      </c>
      <c r="B31" s="5">
        <v>30</v>
      </c>
      <c r="C31" s="5">
        <v>362.97000000000003</v>
      </c>
      <c r="D31" s="5">
        <v>145</v>
      </c>
      <c r="E31" s="5"/>
      <c r="F31" s="5"/>
      <c r="G31" s="5"/>
      <c r="H31" s="5"/>
      <c r="I31" s="5"/>
      <c r="J31" s="5"/>
      <c r="K31" s="5"/>
      <c r="L31" s="5"/>
      <c r="M31" s="5"/>
      <c r="N31" s="5"/>
      <c r="O31" s="5"/>
      <c r="P31" s="5"/>
      <c r="Q31" s="5"/>
      <c r="R31" s="5"/>
      <c r="S31" s="41"/>
      <c r="T31" s="8"/>
      <c r="U31" s="5"/>
      <c r="V31" s="5"/>
      <c r="W31" s="5"/>
      <c r="X31" s="5"/>
      <c r="Y31" s="5"/>
      <c r="Z31" s="5"/>
      <c r="AA31" s="5"/>
      <c r="AB31" s="5"/>
      <c r="AC31" s="5"/>
      <c r="AD31" s="5"/>
      <c r="AE31" s="5"/>
      <c r="AF31" s="5"/>
      <c r="AG31" s="5"/>
      <c r="AH31" s="5"/>
      <c r="AI31" s="5"/>
      <c r="AJ31" s="5"/>
      <c r="AK31" s="5"/>
      <c r="AL31" s="41"/>
      <c r="AM31" s="52"/>
    </row>
    <row r="32">
      <c r="A32" s="11"/>
      <c r="B32" s="22"/>
      <c r="C32" s="22"/>
      <c r="D32" s="22"/>
      <c r="E32" s="22"/>
      <c r="F32" s="22"/>
      <c r="G32" s="22"/>
      <c r="H32" s="22"/>
      <c r="I32" s="22"/>
      <c r="J32" s="22"/>
      <c r="K32" s="22"/>
      <c r="L32" s="22"/>
      <c r="M32" s="22"/>
      <c r="N32" s="22"/>
      <c r="O32" s="22"/>
      <c r="P32" s="22"/>
      <c r="Q32" s="22"/>
      <c r="R32" s="22"/>
      <c r="S32" s="55"/>
      <c r="T32" s="8"/>
      <c r="U32" s="22"/>
      <c r="V32" s="22"/>
      <c r="W32" s="22"/>
      <c r="X32" s="22"/>
      <c r="Y32" s="22"/>
      <c r="Z32" s="22"/>
      <c r="AA32" s="22"/>
      <c r="AB32" s="22"/>
      <c r="AC32" s="22"/>
      <c r="AD32" s="22"/>
      <c r="AE32" s="22"/>
      <c r="AF32" s="22"/>
      <c r="AG32" s="22"/>
      <c r="AH32" s="22"/>
      <c r="AI32" s="22"/>
      <c r="AJ32" s="22"/>
      <c r="AK32" s="22"/>
      <c r="AL32" s="55"/>
      <c r="AM32" s="52"/>
    </row>
    <row r="33">
      <c r="A33" s="7"/>
      <c r="B33" s="7">
        <f>SUM(B2:B32)</f>
        <v>940</v>
      </c>
      <c r="C33" s="7">
        <f t="shared" ref="C33:R33" si="54">SUM(C2:C32)</f>
        <v>8663.2899999999972</v>
      </c>
      <c r="D33" s="7">
        <f t="shared" si="54"/>
        <v>4186.2199999999993</v>
      </c>
      <c r="E33" s="7">
        <f t="shared" si="54"/>
        <v>0</v>
      </c>
      <c r="F33" s="7">
        <f t="shared" si="54"/>
        <v>1103</v>
      </c>
      <c r="G33" s="7">
        <f t="shared" si="54"/>
        <v>529</v>
      </c>
      <c r="H33" s="7">
        <f t="shared" si="54"/>
        <v>0</v>
      </c>
      <c r="I33" s="7">
        <f t="shared" si="54"/>
        <v>10682.98</v>
      </c>
      <c r="J33" s="7">
        <f t="shared" si="54"/>
        <v>84</v>
      </c>
      <c r="K33" s="7">
        <f t="shared" si="54"/>
        <v>3765.7600000000002</v>
      </c>
      <c r="L33" s="7">
        <f t="shared" si="54"/>
        <v>2144</v>
      </c>
      <c r="M33" s="7">
        <f t="shared" si="54"/>
        <v>600</v>
      </c>
      <c r="N33" s="7">
        <f t="shared" si="54"/>
        <v>0</v>
      </c>
      <c r="O33" s="7">
        <f t="shared" si="54"/>
        <v>700</v>
      </c>
      <c r="P33" s="7">
        <f t="shared" si="54"/>
        <v>499</v>
      </c>
      <c r="Q33" s="7">
        <f t="shared" si="54"/>
        <v>89.939999999999998</v>
      </c>
      <c r="R33" s="7">
        <f t="shared" si="54"/>
        <v>2000</v>
      </c>
      <c r="S33" s="47">
        <f>SUM(B33:R33)</f>
        <v>35987.190000000002</v>
      </c>
      <c r="T33" s="8"/>
      <c r="U33" s="7">
        <f t="shared" ref="U33:AJ33" si="55">SUM(U2:U29)</f>
        <v>0</v>
      </c>
      <c r="V33" s="7">
        <f t="shared" si="55"/>
        <v>0</v>
      </c>
      <c r="W33" s="7">
        <f t="shared" si="55"/>
        <v>0</v>
      </c>
      <c r="X33" s="7">
        <f t="shared" si="55"/>
        <v>0</v>
      </c>
      <c r="Y33" s="7">
        <f t="shared" si="55"/>
        <v>0</v>
      </c>
      <c r="Z33" s="7">
        <f t="shared" si="55"/>
        <v>0</v>
      </c>
      <c r="AA33" s="7">
        <f t="shared" si="55"/>
        <v>0</v>
      </c>
      <c r="AB33" s="7">
        <f t="shared" si="55"/>
        <v>0</v>
      </c>
      <c r="AC33" s="7">
        <f t="shared" si="55"/>
        <v>0</v>
      </c>
      <c r="AD33" s="7">
        <f t="shared" si="55"/>
        <v>0</v>
      </c>
      <c r="AE33" s="7">
        <f t="shared" si="55"/>
        <v>0</v>
      </c>
      <c r="AF33" s="7">
        <f t="shared" si="55"/>
        <v>0</v>
      </c>
      <c r="AG33" s="7">
        <f t="shared" si="55"/>
        <v>0</v>
      </c>
      <c r="AH33" s="7">
        <f t="shared" si="55"/>
        <v>0</v>
      </c>
      <c r="AI33" s="7">
        <f t="shared" si="55"/>
        <v>0</v>
      </c>
      <c r="AJ33" s="7">
        <f t="shared" si="55"/>
        <v>0</v>
      </c>
      <c r="AK33" s="7" t="s">
        <v>14</v>
      </c>
      <c r="AL33" s="47">
        <f>SUM(U33:AJ33)</f>
        <v>0</v>
      </c>
      <c r="AM33" s="52"/>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56"/>
      <c r="AE34" s="56"/>
      <c r="AF34" s="56"/>
      <c r="AG34" s="56"/>
      <c r="AH34" s="56"/>
      <c r="AI34" s="56"/>
      <c r="AJ34" s="56"/>
      <c r="AK34" s="56"/>
      <c r="AL34" s="56"/>
      <c r="AM34" s="52"/>
    </row>
    <row r="35">
      <c r="A35" s="10" t="s">
        <v>0</v>
      </c>
      <c r="B35" s="10" t="s">
        <v>50</v>
      </c>
      <c r="C35" s="10" t="s">
        <v>13</v>
      </c>
      <c r="D35" s="10" t="s">
        <v>11</v>
      </c>
      <c r="E35" s="10" t="s">
        <v>51</v>
      </c>
      <c r="F35" s="10" t="s">
        <v>52</v>
      </c>
      <c r="G35" s="10" t="s">
        <v>53</v>
      </c>
      <c r="H35" s="10" t="s">
        <v>54</v>
      </c>
      <c r="I35" s="10" t="s">
        <v>55</v>
      </c>
      <c r="J35" s="57" t="s">
        <v>61</v>
      </c>
      <c r="K35" s="57"/>
      <c r="L35" s="57"/>
      <c r="M35" s="57"/>
      <c r="N35" s="57"/>
      <c r="O35" s="57"/>
      <c r="P35" s="57"/>
      <c r="Q35" s="57"/>
      <c r="R35" s="57"/>
      <c r="S35" s="57"/>
      <c r="T35" s="8"/>
      <c r="U35" s="10" t="s">
        <v>0</v>
      </c>
      <c r="V35" s="10" t="s">
        <v>15</v>
      </c>
      <c r="W35" s="10" t="s">
        <v>64</v>
      </c>
      <c r="X35" s="10" t="s">
        <v>17</v>
      </c>
      <c r="Y35" s="10" t="s">
        <v>18</v>
      </c>
      <c r="Z35" s="10" t="s">
        <v>21</v>
      </c>
      <c r="AA35" s="10" t="s">
        <v>26</v>
      </c>
      <c r="AB35" s="10" t="s">
        <v>27</v>
      </c>
      <c r="AC35" s="1"/>
      <c r="AD35" s="5"/>
      <c r="AE35" s="5"/>
      <c r="AF35" s="5"/>
      <c r="AG35" s="5"/>
      <c r="AH35" s="5"/>
      <c r="AI35" s="5"/>
      <c r="AJ35" s="5"/>
      <c r="AK35" s="5"/>
      <c r="AL35" s="5"/>
      <c r="AM35" s="52"/>
    </row>
    <row r="36">
      <c r="A36" s="11">
        <v>44287</v>
      </c>
      <c r="B36" s="14"/>
      <c r="C36" s="14"/>
      <c r="D36" s="14"/>
      <c r="E36" s="14"/>
      <c r="F36" s="14"/>
      <c r="G36" s="14"/>
      <c r="H36" s="14"/>
      <c r="I36" s="14"/>
      <c r="J36" s="5"/>
      <c r="K36" s="5"/>
      <c r="L36" s="5"/>
      <c r="M36" s="5"/>
      <c r="N36" s="6"/>
      <c r="O36" s="6"/>
      <c r="P36" s="5"/>
      <c r="Q36" s="5"/>
      <c r="R36" s="5"/>
      <c r="S36" s="5"/>
      <c r="T36" s="8"/>
      <c r="U36" s="11">
        <v>44287</v>
      </c>
      <c r="V36" s="14"/>
      <c r="W36" s="14"/>
      <c r="X36" s="14"/>
      <c r="Y36" s="14"/>
      <c r="Z36" s="14"/>
      <c r="AA36" s="14"/>
      <c r="AB36" s="14"/>
      <c r="AC36" s="14"/>
      <c r="AD36" s="5"/>
      <c r="AE36" s="5"/>
      <c r="AF36" s="5"/>
      <c r="AG36" s="5"/>
      <c r="AH36" s="5"/>
      <c r="AI36" s="5"/>
      <c r="AJ36" s="5"/>
      <c r="AK36" s="5"/>
      <c r="AL36" s="5"/>
      <c r="AM36" s="52"/>
    </row>
    <row r="37">
      <c r="A37" s="11">
        <v>44288</v>
      </c>
      <c r="B37" s="5"/>
      <c r="C37" s="5"/>
      <c r="D37" s="5"/>
      <c r="E37" s="5"/>
      <c r="F37" s="5"/>
      <c r="G37" s="5"/>
      <c r="H37" s="5"/>
      <c r="I37" s="5"/>
      <c r="J37" s="5"/>
      <c r="K37" s="5"/>
      <c r="L37" s="5"/>
      <c r="M37" s="5"/>
      <c r="N37" s="5"/>
      <c r="O37" s="5"/>
      <c r="P37" s="5"/>
      <c r="Q37" s="5"/>
      <c r="R37" s="5"/>
      <c r="S37" s="5"/>
      <c r="T37" s="8"/>
      <c r="U37" s="11">
        <v>44288</v>
      </c>
      <c r="V37" s="5"/>
      <c r="W37" s="5"/>
      <c r="X37" s="5"/>
      <c r="Y37" s="5"/>
      <c r="Z37" s="5"/>
      <c r="AA37" s="5"/>
      <c r="AB37" s="5"/>
      <c r="AC37" s="5"/>
      <c r="AD37" s="5"/>
      <c r="AE37" s="5"/>
      <c r="AF37" s="5"/>
      <c r="AG37" s="5"/>
      <c r="AH37" s="5"/>
      <c r="AI37" s="5"/>
      <c r="AJ37" s="5"/>
      <c r="AK37" s="5"/>
      <c r="AL37" s="5"/>
      <c r="AM37" s="52"/>
    </row>
    <row r="38">
      <c r="A38" s="11">
        <v>44289</v>
      </c>
      <c r="B38" s="14"/>
      <c r="C38" s="14"/>
      <c r="D38" s="14"/>
      <c r="E38" s="14"/>
      <c r="F38" s="14"/>
      <c r="G38" s="14"/>
      <c r="H38" s="14"/>
      <c r="I38" s="14"/>
      <c r="J38" s="5"/>
      <c r="K38" s="5"/>
      <c r="L38" s="5"/>
      <c r="M38" s="5"/>
      <c r="N38" s="5"/>
      <c r="O38" s="5"/>
      <c r="P38" s="5"/>
      <c r="Q38" s="5"/>
      <c r="R38" s="5"/>
      <c r="S38" s="5"/>
      <c r="T38" s="8"/>
      <c r="U38" s="11">
        <v>44289</v>
      </c>
      <c r="V38" s="14"/>
      <c r="W38" s="14"/>
      <c r="X38" s="14"/>
      <c r="Y38" s="14"/>
      <c r="Z38" s="14"/>
      <c r="AA38" s="14"/>
      <c r="AB38" s="14"/>
      <c r="AC38" s="14"/>
      <c r="AD38" s="5"/>
      <c r="AE38" s="5"/>
      <c r="AF38" s="5"/>
      <c r="AG38" s="5"/>
      <c r="AH38" s="5"/>
      <c r="AI38" s="5"/>
      <c r="AJ38" s="5"/>
      <c r="AK38" s="5"/>
      <c r="AL38" s="5"/>
      <c r="AM38" s="52"/>
    </row>
    <row r="39">
      <c r="A39" s="11">
        <v>44290</v>
      </c>
      <c r="B39" s="5"/>
      <c r="C39" s="5"/>
      <c r="D39" s="5"/>
      <c r="E39" s="58">
        <v>48.450000000000003</v>
      </c>
      <c r="F39" s="5"/>
      <c r="G39" s="5"/>
      <c r="H39" s="5"/>
      <c r="I39" s="5">
        <f>142</f>
        <v>142</v>
      </c>
      <c r="J39" s="5"/>
      <c r="K39" s="5"/>
      <c r="L39" s="5"/>
      <c r="M39" s="5"/>
      <c r="N39" s="5"/>
      <c r="O39" s="5"/>
      <c r="P39" s="5"/>
      <c r="Q39" s="5"/>
      <c r="R39" s="5"/>
      <c r="S39" s="5"/>
      <c r="T39" s="8"/>
      <c r="U39" s="11">
        <v>44290</v>
      </c>
      <c r="V39" s="5"/>
      <c r="W39" s="5"/>
      <c r="X39" s="5"/>
      <c r="Y39" s="5"/>
      <c r="Z39" s="5"/>
      <c r="AA39" s="5"/>
      <c r="AB39" s="5"/>
      <c r="AC39" s="5"/>
      <c r="AD39" s="5"/>
      <c r="AE39" s="5"/>
      <c r="AF39" s="5"/>
      <c r="AG39" s="5"/>
      <c r="AH39" s="5"/>
      <c r="AI39" s="5"/>
      <c r="AJ39" s="5"/>
      <c r="AK39" s="5"/>
      <c r="AL39" s="5"/>
      <c r="AM39" s="52"/>
    </row>
    <row r="40">
      <c r="A40" s="11">
        <v>44291</v>
      </c>
      <c r="B40" s="14"/>
      <c r="C40" s="14"/>
      <c r="D40" s="14"/>
      <c r="E40" s="14"/>
      <c r="F40" s="14"/>
      <c r="G40" s="14"/>
      <c r="H40" s="14"/>
      <c r="I40" s="14"/>
      <c r="J40" s="5"/>
      <c r="K40" s="5"/>
      <c r="L40" s="5"/>
      <c r="M40" s="5"/>
      <c r="N40" s="5"/>
      <c r="O40" s="5"/>
      <c r="P40" s="5"/>
      <c r="Q40" s="5"/>
      <c r="R40" s="5"/>
      <c r="S40" s="5"/>
      <c r="T40" s="8"/>
      <c r="U40" s="11">
        <v>44291</v>
      </c>
      <c r="V40" s="14"/>
      <c r="W40" s="14"/>
      <c r="X40" s="14"/>
      <c r="Y40" s="14"/>
      <c r="Z40" s="14"/>
      <c r="AA40" s="14"/>
      <c r="AB40" s="14"/>
      <c r="AC40" s="14"/>
      <c r="AD40" s="5"/>
      <c r="AE40" s="5"/>
      <c r="AF40" s="5"/>
      <c r="AG40" s="5"/>
      <c r="AH40" s="5"/>
      <c r="AI40" s="5"/>
      <c r="AJ40" s="5"/>
      <c r="AK40" s="5"/>
      <c r="AL40" s="5"/>
      <c r="AM40" s="52"/>
    </row>
    <row r="41">
      <c r="A41" s="11">
        <v>44292</v>
      </c>
      <c r="B41" s="5"/>
      <c r="C41" s="5"/>
      <c r="D41" s="5"/>
      <c r="E41" s="5"/>
      <c r="F41" s="5"/>
      <c r="G41" s="5"/>
      <c r="H41" s="5"/>
      <c r="I41" s="5"/>
      <c r="J41" s="5"/>
      <c r="K41" s="5"/>
      <c r="L41" s="5"/>
      <c r="M41" s="5"/>
      <c r="N41" s="5"/>
      <c r="O41" s="5"/>
      <c r="P41" s="5"/>
      <c r="Q41" s="5"/>
      <c r="R41" s="5"/>
      <c r="S41" s="5"/>
      <c r="T41" s="8"/>
      <c r="U41" s="11">
        <v>44292</v>
      </c>
      <c r="V41" s="5"/>
      <c r="W41" s="5"/>
      <c r="X41" s="5"/>
      <c r="Y41" s="5"/>
      <c r="Z41" s="5"/>
      <c r="AA41" s="5"/>
      <c r="AB41" s="5"/>
      <c r="AC41" s="5"/>
      <c r="AD41" s="5"/>
      <c r="AE41" s="5"/>
      <c r="AF41" s="5"/>
      <c r="AG41" s="5"/>
      <c r="AH41" s="5"/>
      <c r="AI41" s="5"/>
      <c r="AJ41" s="5"/>
      <c r="AK41" s="5"/>
      <c r="AL41" s="5"/>
      <c r="AM41" s="52"/>
    </row>
    <row r="42">
      <c r="A42" s="11">
        <v>44293</v>
      </c>
      <c r="B42" s="14"/>
      <c r="C42" s="14"/>
      <c r="D42" s="14"/>
      <c r="E42" s="14"/>
      <c r="F42" s="14"/>
      <c r="G42" s="14"/>
      <c r="H42" s="14"/>
      <c r="I42" s="14"/>
      <c r="J42" s="5"/>
      <c r="K42" s="5"/>
      <c r="L42" s="5"/>
      <c r="M42" s="5"/>
      <c r="N42" s="5"/>
      <c r="O42" s="5"/>
      <c r="P42" s="5"/>
      <c r="Q42" s="5"/>
      <c r="R42" s="5"/>
      <c r="S42" s="5"/>
      <c r="T42" s="8"/>
      <c r="U42" s="11">
        <v>44293</v>
      </c>
      <c r="V42" s="14"/>
      <c r="W42" s="14"/>
      <c r="X42" s="14"/>
      <c r="Y42" s="14"/>
      <c r="Z42" s="14"/>
      <c r="AA42" s="14"/>
      <c r="AB42" s="14"/>
      <c r="AC42" s="14"/>
      <c r="AD42" s="5"/>
      <c r="AE42" s="5"/>
      <c r="AF42" s="5"/>
      <c r="AG42" s="5"/>
      <c r="AH42" s="5"/>
      <c r="AI42" s="5"/>
      <c r="AJ42" s="5"/>
      <c r="AK42" s="5"/>
      <c r="AL42" s="5"/>
      <c r="AM42" s="52"/>
    </row>
    <row r="43">
      <c r="A43" s="11">
        <v>44294</v>
      </c>
      <c r="B43" s="5"/>
      <c r="C43" s="5"/>
      <c r="D43" s="5"/>
      <c r="E43" s="5"/>
      <c r="F43" s="5"/>
      <c r="G43" s="5"/>
      <c r="H43" s="5"/>
      <c r="I43" s="5"/>
      <c r="J43" s="5"/>
      <c r="K43" s="5"/>
      <c r="L43" s="5"/>
      <c r="M43" s="5"/>
      <c r="N43" s="5"/>
      <c r="O43" s="5"/>
      <c r="P43" s="5"/>
      <c r="Q43" s="5"/>
      <c r="R43" s="5"/>
      <c r="S43" s="5"/>
      <c r="T43" s="8"/>
      <c r="U43" s="11">
        <v>44294</v>
      </c>
      <c r="V43" s="5"/>
      <c r="W43" s="5"/>
      <c r="X43" s="5"/>
      <c r="Y43" s="5"/>
      <c r="Z43" s="5"/>
      <c r="AA43" s="5"/>
      <c r="AB43" s="5"/>
      <c r="AC43" s="5"/>
      <c r="AD43" s="5"/>
      <c r="AE43" s="5"/>
      <c r="AF43" s="5"/>
      <c r="AG43" s="5"/>
      <c r="AH43" s="5"/>
      <c r="AI43" s="5"/>
      <c r="AJ43" s="5"/>
      <c r="AK43" s="5"/>
      <c r="AL43" s="5"/>
      <c r="AM43" s="52"/>
    </row>
    <row r="44">
      <c r="A44" s="11">
        <v>44295</v>
      </c>
      <c r="B44" s="59">
        <v>25315.259999999998</v>
      </c>
      <c r="C44" s="14"/>
      <c r="D44" s="14"/>
      <c r="E44" s="14"/>
      <c r="F44" s="14"/>
      <c r="G44" s="14"/>
      <c r="H44" s="14"/>
      <c r="I44" s="14"/>
      <c r="J44" s="5"/>
      <c r="K44" s="5"/>
      <c r="L44" s="5"/>
      <c r="M44" s="5"/>
      <c r="N44" s="5"/>
      <c r="O44" s="5"/>
      <c r="P44" s="5"/>
      <c r="Q44" s="5"/>
      <c r="R44" s="5"/>
      <c r="S44" s="5"/>
      <c r="T44" s="8"/>
      <c r="U44" s="11">
        <v>44295</v>
      </c>
      <c r="V44" s="38">
        <v>20092.630000000001</v>
      </c>
      <c r="W44" s="14"/>
      <c r="X44" s="14"/>
      <c r="Y44" s="14"/>
      <c r="Z44" s="14"/>
      <c r="AA44" s="14"/>
      <c r="AB44" s="14"/>
      <c r="AC44" s="14"/>
      <c r="AD44" s="5"/>
      <c r="AE44" s="5"/>
      <c r="AF44" s="5"/>
      <c r="AG44" s="5"/>
      <c r="AH44" s="5"/>
      <c r="AI44" s="5"/>
      <c r="AJ44" s="5"/>
      <c r="AK44" s="5"/>
      <c r="AL44" s="5"/>
      <c r="AM44" s="52"/>
    </row>
    <row r="45">
      <c r="A45" s="11">
        <v>44296</v>
      </c>
      <c r="B45" s="5"/>
      <c r="C45" s="5"/>
      <c r="D45" s="5"/>
      <c r="E45" s="5"/>
      <c r="F45" s="5"/>
      <c r="G45" s="5"/>
      <c r="H45" s="5"/>
      <c r="I45" s="5"/>
      <c r="J45" s="5"/>
      <c r="K45" s="5"/>
      <c r="L45" s="5"/>
      <c r="M45" s="5"/>
      <c r="N45" s="5"/>
      <c r="O45" s="5"/>
      <c r="P45" s="5"/>
      <c r="Q45" s="5"/>
      <c r="R45" s="5"/>
      <c r="S45" s="5"/>
      <c r="T45" s="8"/>
      <c r="U45" s="11">
        <v>44296</v>
      </c>
      <c r="V45" s="5"/>
      <c r="W45" s="5"/>
      <c r="X45" s="5"/>
      <c r="Y45" s="5"/>
      <c r="Z45" s="5"/>
      <c r="AA45" s="5"/>
      <c r="AB45" s="5"/>
      <c r="AC45" s="5"/>
      <c r="AD45" s="5"/>
      <c r="AE45" s="5"/>
      <c r="AF45" s="5"/>
      <c r="AG45" s="5"/>
      <c r="AH45" s="5"/>
      <c r="AI45" s="5"/>
      <c r="AJ45" s="5"/>
      <c r="AK45" s="5"/>
      <c r="AL45" s="5"/>
      <c r="AM45" s="52"/>
    </row>
    <row r="46">
      <c r="A46" s="11">
        <v>44297</v>
      </c>
      <c r="B46" s="14"/>
      <c r="C46" s="14"/>
      <c r="D46" s="14"/>
      <c r="E46" s="14"/>
      <c r="F46" s="14"/>
      <c r="G46" s="14"/>
      <c r="H46" s="14"/>
      <c r="I46" s="14"/>
      <c r="J46" s="5"/>
      <c r="K46" s="5"/>
      <c r="L46" s="5"/>
      <c r="M46" s="5"/>
      <c r="N46" s="5"/>
      <c r="O46" s="5"/>
      <c r="P46" s="5"/>
      <c r="Q46" s="5"/>
      <c r="R46" s="5"/>
      <c r="S46" s="5"/>
      <c r="T46" s="8"/>
      <c r="U46" s="11">
        <v>44297</v>
      </c>
      <c r="V46" s="14"/>
      <c r="W46" s="14"/>
      <c r="X46" s="14"/>
      <c r="Y46" s="14"/>
      <c r="Z46" s="14"/>
      <c r="AA46" s="14"/>
      <c r="AB46" s="14"/>
      <c r="AC46" s="14"/>
      <c r="AD46" s="5"/>
      <c r="AE46" s="5"/>
      <c r="AF46" s="5"/>
      <c r="AG46" s="5"/>
      <c r="AH46" s="5"/>
      <c r="AI46" s="5"/>
      <c r="AJ46" s="5"/>
      <c r="AK46" s="5"/>
      <c r="AL46" s="5"/>
      <c r="AM46" s="52"/>
    </row>
    <row r="47">
      <c r="A47" s="11">
        <v>44298</v>
      </c>
      <c r="B47" s="5"/>
      <c r="C47" s="5"/>
      <c r="D47" s="5"/>
      <c r="E47" s="5"/>
      <c r="F47" s="5"/>
      <c r="G47" s="5"/>
      <c r="H47" s="5"/>
      <c r="I47" s="5"/>
      <c r="J47" s="5"/>
      <c r="K47" s="5"/>
      <c r="L47" s="5"/>
      <c r="M47" s="5"/>
      <c r="N47" s="5"/>
      <c r="O47" s="5"/>
      <c r="P47" s="5"/>
      <c r="Q47" s="5"/>
      <c r="R47" s="5"/>
      <c r="S47" s="5"/>
      <c r="T47" s="8"/>
      <c r="U47" s="11">
        <v>44298</v>
      </c>
      <c r="V47" s="5"/>
      <c r="W47" s="5"/>
      <c r="X47" s="5"/>
      <c r="Y47" s="5"/>
      <c r="Z47" s="5"/>
      <c r="AA47" s="5"/>
      <c r="AB47" s="5"/>
      <c r="AC47" s="5"/>
      <c r="AD47" s="5"/>
      <c r="AE47" s="5"/>
      <c r="AF47" s="5"/>
      <c r="AG47" s="5"/>
      <c r="AH47" s="5"/>
      <c r="AI47" s="5"/>
      <c r="AJ47" s="5"/>
      <c r="AK47" s="5"/>
      <c r="AL47" s="5"/>
      <c r="AM47" s="52"/>
    </row>
    <row r="48">
      <c r="A48" s="11">
        <v>44299</v>
      </c>
      <c r="B48" s="14"/>
      <c r="C48" s="14"/>
      <c r="D48" s="14"/>
      <c r="E48" s="14"/>
      <c r="F48" s="14"/>
      <c r="G48" s="14"/>
      <c r="H48" s="14"/>
      <c r="I48" s="14"/>
      <c r="J48" s="5"/>
      <c r="K48" s="5"/>
      <c r="L48" s="5"/>
      <c r="M48" s="5"/>
      <c r="N48" s="5"/>
      <c r="O48" s="5"/>
      <c r="P48" s="5"/>
      <c r="Q48" s="5"/>
      <c r="R48" s="5"/>
      <c r="S48" s="5"/>
      <c r="T48" s="8"/>
      <c r="U48" s="11">
        <v>44299</v>
      </c>
      <c r="V48" s="14"/>
      <c r="W48" s="14"/>
      <c r="X48" s="14"/>
      <c r="Y48" s="14"/>
      <c r="Z48" s="14"/>
      <c r="AA48" s="14"/>
      <c r="AB48" s="14"/>
      <c r="AC48" s="14"/>
      <c r="AD48" s="5"/>
      <c r="AE48" s="5"/>
      <c r="AF48" s="5"/>
      <c r="AG48" s="5"/>
      <c r="AH48" s="5"/>
      <c r="AI48" s="5"/>
      <c r="AJ48" s="5"/>
      <c r="AK48" s="5"/>
      <c r="AL48" s="5"/>
      <c r="AM48" s="52"/>
    </row>
    <row r="49">
      <c r="A49" s="11">
        <v>44300</v>
      </c>
      <c r="B49" s="5"/>
      <c r="C49" s="5"/>
      <c r="D49" s="5"/>
      <c r="E49" s="5"/>
      <c r="F49" s="5"/>
      <c r="G49" s="5"/>
      <c r="H49" s="5"/>
      <c r="I49" s="5"/>
      <c r="J49" s="5"/>
      <c r="K49" s="5"/>
      <c r="L49" s="5"/>
      <c r="M49" s="5"/>
      <c r="N49" s="5"/>
      <c r="O49" s="5"/>
      <c r="P49" s="5"/>
      <c r="Q49" s="5"/>
      <c r="R49" s="5"/>
      <c r="S49" s="5"/>
      <c r="T49" s="8"/>
      <c r="U49" s="11">
        <v>44300</v>
      </c>
      <c r="V49" s="5"/>
      <c r="W49" s="5"/>
      <c r="X49" s="5"/>
      <c r="Y49" s="5"/>
      <c r="Z49" s="5"/>
      <c r="AA49" s="5"/>
      <c r="AB49" s="5"/>
      <c r="AC49" s="5"/>
      <c r="AD49" s="5"/>
      <c r="AE49" s="5"/>
      <c r="AF49" s="5"/>
      <c r="AG49" s="5"/>
      <c r="AH49" s="5"/>
      <c r="AI49" s="5"/>
      <c r="AJ49" s="5"/>
      <c r="AK49" s="5"/>
      <c r="AL49" s="5"/>
      <c r="AM49" s="52"/>
    </row>
    <row r="50">
      <c r="A50" s="11">
        <v>44301</v>
      </c>
      <c r="B50" s="14"/>
      <c r="C50" s="14"/>
      <c r="D50" s="14"/>
      <c r="E50" s="14"/>
      <c r="F50" s="14"/>
      <c r="G50" s="14"/>
      <c r="H50" s="14"/>
      <c r="I50" s="14"/>
      <c r="J50" s="5"/>
      <c r="K50" s="5"/>
      <c r="L50" s="5"/>
      <c r="M50" s="5"/>
      <c r="N50" s="5"/>
      <c r="O50" s="5"/>
      <c r="P50" s="5"/>
      <c r="Q50" s="5"/>
      <c r="R50" s="5"/>
      <c r="S50" s="5"/>
      <c r="T50" s="8"/>
      <c r="U50" s="11">
        <v>44301</v>
      </c>
      <c r="V50" s="14"/>
      <c r="W50" s="14"/>
      <c r="X50" s="14"/>
      <c r="Y50" s="14"/>
      <c r="Z50" s="14"/>
      <c r="AA50" s="14"/>
      <c r="AB50" s="14"/>
      <c r="AC50" s="14"/>
      <c r="AD50" s="5"/>
      <c r="AE50" s="5"/>
      <c r="AF50" s="5"/>
      <c r="AG50" s="5"/>
      <c r="AH50" s="5"/>
      <c r="AI50" s="5"/>
      <c r="AJ50" s="5"/>
      <c r="AK50" s="5"/>
      <c r="AL50" s="5"/>
      <c r="AM50" s="52"/>
    </row>
    <row r="51">
      <c r="A51" s="11">
        <v>44302</v>
      </c>
      <c r="B51" s="5"/>
      <c r="C51" s="5"/>
      <c r="D51" s="5"/>
      <c r="E51" s="5"/>
      <c r="F51" s="5"/>
      <c r="G51" s="5"/>
      <c r="H51" s="5"/>
      <c r="I51" s="5"/>
      <c r="J51" s="5"/>
      <c r="K51" s="5"/>
      <c r="L51" s="5"/>
      <c r="M51" s="5"/>
      <c r="N51" s="5"/>
      <c r="O51" s="5"/>
      <c r="P51" s="5"/>
      <c r="Q51" s="5"/>
      <c r="R51" s="5"/>
      <c r="S51" s="5"/>
      <c r="T51" s="8"/>
      <c r="U51" s="11">
        <v>44302</v>
      </c>
      <c r="V51" s="5"/>
      <c r="W51" s="5"/>
      <c r="X51" s="5"/>
      <c r="Y51" s="5"/>
      <c r="Z51" s="5"/>
      <c r="AA51" s="5"/>
      <c r="AB51" s="5"/>
      <c r="AC51" s="5"/>
      <c r="AD51" s="5"/>
      <c r="AE51" s="5"/>
      <c r="AF51" s="5"/>
      <c r="AG51" s="5"/>
      <c r="AH51" s="5"/>
      <c r="AI51" s="5"/>
      <c r="AJ51" s="5"/>
      <c r="AK51" s="5"/>
      <c r="AL51" s="5"/>
      <c r="AM51" s="52"/>
    </row>
    <row r="52">
      <c r="A52" s="11">
        <v>44303</v>
      </c>
      <c r="B52" s="14"/>
      <c r="C52" s="14"/>
      <c r="D52" s="14"/>
      <c r="E52" s="14"/>
      <c r="F52" s="14"/>
      <c r="G52" s="14"/>
      <c r="H52" s="14"/>
      <c r="I52" s="14"/>
      <c r="J52" s="5"/>
      <c r="K52" s="5"/>
      <c r="L52" s="5"/>
      <c r="M52" s="5"/>
      <c r="N52" s="5"/>
      <c r="O52" s="5"/>
      <c r="P52" s="5"/>
      <c r="Q52" s="5"/>
      <c r="R52" s="5"/>
      <c r="S52" s="5"/>
      <c r="T52" s="8"/>
      <c r="U52" s="11">
        <v>44303</v>
      </c>
      <c r="V52" s="14"/>
      <c r="W52" s="14"/>
      <c r="X52" s="14"/>
      <c r="Y52" s="14"/>
      <c r="Z52" s="14"/>
      <c r="AA52" s="14"/>
      <c r="AB52" s="14"/>
      <c r="AC52" s="14"/>
      <c r="AD52" s="5"/>
      <c r="AE52" s="5"/>
      <c r="AF52" s="5"/>
      <c r="AG52" s="5"/>
      <c r="AH52" s="5"/>
      <c r="AI52" s="5"/>
      <c r="AJ52" s="5"/>
      <c r="AK52" s="5"/>
      <c r="AL52" s="5"/>
      <c r="AM52" s="52"/>
    </row>
    <row r="53">
      <c r="A53" s="11">
        <v>44304</v>
      </c>
      <c r="B53" s="5"/>
      <c r="C53" s="5"/>
      <c r="D53" s="5"/>
      <c r="E53" s="5"/>
      <c r="F53" s="5"/>
      <c r="G53" s="5"/>
      <c r="H53" s="5"/>
      <c r="I53" s="5"/>
      <c r="J53" s="5"/>
      <c r="K53" s="5"/>
      <c r="L53" s="5"/>
      <c r="M53" s="5"/>
      <c r="N53" s="5"/>
      <c r="O53" s="5"/>
      <c r="P53" s="5"/>
      <c r="Q53" s="5"/>
      <c r="R53" s="5"/>
      <c r="S53" s="5"/>
      <c r="T53" s="8"/>
      <c r="U53" s="11">
        <v>44304</v>
      </c>
      <c r="V53" s="5"/>
      <c r="W53" s="5"/>
      <c r="X53" s="5"/>
      <c r="Y53" s="5"/>
      <c r="Z53" s="5"/>
      <c r="AA53" s="5"/>
      <c r="AB53" s="5"/>
      <c r="AC53" s="5"/>
      <c r="AD53" s="5"/>
      <c r="AE53" s="5"/>
      <c r="AF53" s="5"/>
      <c r="AG53" s="5"/>
      <c r="AH53" s="5"/>
      <c r="AI53" s="5"/>
      <c r="AJ53" s="5"/>
      <c r="AK53" s="5"/>
      <c r="AL53" s="5"/>
      <c r="AM53" s="52"/>
    </row>
    <row r="54">
      <c r="A54" s="11">
        <v>44305</v>
      </c>
      <c r="B54" s="14"/>
      <c r="C54" s="14"/>
      <c r="D54" s="14"/>
      <c r="E54" s="14"/>
      <c r="F54" s="14"/>
      <c r="G54" s="14"/>
      <c r="H54" s="14"/>
      <c r="I54" s="14"/>
      <c r="J54" s="5"/>
      <c r="K54" s="5"/>
      <c r="L54" s="5"/>
      <c r="M54" s="5"/>
      <c r="N54" s="5"/>
      <c r="O54" s="5"/>
      <c r="P54" s="5"/>
      <c r="Q54" s="5"/>
      <c r="R54" s="5"/>
      <c r="S54" s="5"/>
      <c r="T54" s="8"/>
      <c r="U54" s="11">
        <v>44305</v>
      </c>
      <c r="V54" s="14"/>
      <c r="W54" s="14"/>
      <c r="X54" s="14"/>
      <c r="Y54" s="14"/>
      <c r="Z54" s="14"/>
      <c r="AA54" s="14"/>
      <c r="AB54" s="14"/>
      <c r="AC54" s="14"/>
      <c r="AD54" s="5"/>
      <c r="AE54" s="5"/>
      <c r="AF54" s="5"/>
      <c r="AG54" s="5"/>
      <c r="AH54" s="5"/>
      <c r="AI54" s="5"/>
      <c r="AJ54" s="5"/>
      <c r="AK54" s="5"/>
      <c r="AL54" s="5"/>
      <c r="AM54" s="52"/>
    </row>
    <row r="55">
      <c r="A55" s="11">
        <v>44306</v>
      </c>
      <c r="B55" s="5"/>
      <c r="C55" s="5"/>
      <c r="D55" s="5"/>
      <c r="E55" s="5"/>
      <c r="F55" s="5"/>
      <c r="G55" s="5"/>
      <c r="H55" s="5"/>
      <c r="I55" s="5"/>
      <c r="J55" s="5"/>
      <c r="K55" s="5"/>
      <c r="L55" s="5"/>
      <c r="M55" s="5"/>
      <c r="N55" s="5"/>
      <c r="O55" s="5"/>
      <c r="P55" s="5"/>
      <c r="Q55" s="5"/>
      <c r="R55" s="5"/>
      <c r="S55" s="5"/>
      <c r="T55" s="8"/>
      <c r="U55" s="11">
        <v>44306</v>
      </c>
      <c r="V55" s="5"/>
      <c r="W55" s="5"/>
      <c r="X55" s="5"/>
      <c r="Y55" s="5"/>
      <c r="Z55" s="5"/>
      <c r="AA55" s="5"/>
      <c r="AB55" s="5"/>
      <c r="AC55" s="5"/>
      <c r="AD55" s="5"/>
      <c r="AE55" s="5"/>
      <c r="AF55" s="5"/>
      <c r="AG55" s="5"/>
      <c r="AH55" s="5"/>
      <c r="AI55" s="5"/>
      <c r="AJ55" s="5"/>
      <c r="AK55" s="5"/>
      <c r="AL55" s="5"/>
      <c r="AM55" s="52"/>
    </row>
    <row r="56">
      <c r="A56" s="11">
        <v>44307</v>
      </c>
      <c r="B56" s="14"/>
      <c r="C56" s="14"/>
      <c r="D56" s="14"/>
      <c r="E56" s="14"/>
      <c r="F56" s="14"/>
      <c r="G56" s="14"/>
      <c r="H56" s="14"/>
      <c r="I56" s="14"/>
      <c r="J56" s="5"/>
      <c r="K56" s="5"/>
      <c r="L56" s="5"/>
      <c r="M56" s="5"/>
      <c r="N56" s="5"/>
      <c r="O56" s="5"/>
      <c r="P56" s="5"/>
      <c r="Q56" s="5"/>
      <c r="R56" s="5"/>
      <c r="S56" s="5"/>
      <c r="T56" s="8"/>
      <c r="U56" s="11">
        <v>44307</v>
      </c>
      <c r="V56" s="14"/>
      <c r="W56" s="14"/>
      <c r="X56" s="14"/>
      <c r="Y56" s="14"/>
      <c r="Z56" s="14"/>
      <c r="AA56" s="14"/>
      <c r="AB56" s="14"/>
      <c r="AC56" s="14"/>
      <c r="AD56" s="5"/>
      <c r="AE56" s="5"/>
      <c r="AF56" s="5"/>
      <c r="AG56" s="5"/>
      <c r="AH56" s="5"/>
      <c r="AI56" s="5"/>
      <c r="AJ56" s="5"/>
      <c r="AK56" s="5"/>
      <c r="AL56" s="5"/>
      <c r="AM56" s="52"/>
    </row>
    <row r="57">
      <c r="A57" s="11">
        <v>44308</v>
      </c>
      <c r="B57" s="5"/>
      <c r="C57" s="5"/>
      <c r="D57" s="5"/>
      <c r="E57" s="5"/>
      <c r="F57" s="5"/>
      <c r="G57" s="5"/>
      <c r="H57" s="5"/>
      <c r="I57" s="5"/>
      <c r="J57" s="5"/>
      <c r="K57" s="5"/>
      <c r="L57" s="5"/>
      <c r="M57" s="5"/>
      <c r="N57" s="5"/>
      <c r="O57" s="5"/>
      <c r="P57" s="5"/>
      <c r="Q57" s="5"/>
      <c r="R57" s="5"/>
      <c r="S57" s="5"/>
      <c r="T57" s="8"/>
      <c r="U57" s="11">
        <v>44308</v>
      </c>
      <c r="V57" s="5"/>
      <c r="W57" s="5"/>
      <c r="X57" s="5"/>
      <c r="Y57" s="5"/>
      <c r="Z57" s="5"/>
      <c r="AA57" s="5"/>
      <c r="AB57" s="5"/>
      <c r="AC57" s="5"/>
      <c r="AD57" s="5"/>
      <c r="AE57" s="5"/>
      <c r="AF57" s="5"/>
      <c r="AG57" s="5"/>
      <c r="AH57" s="5"/>
      <c r="AI57" s="5"/>
      <c r="AJ57" s="5"/>
      <c r="AK57" s="5"/>
      <c r="AL57" s="5"/>
      <c r="AM57" s="52"/>
    </row>
    <row r="58">
      <c r="A58" s="11">
        <v>44309</v>
      </c>
      <c r="B58" s="14">
        <v>12583.040000000001</v>
      </c>
      <c r="C58" s="14"/>
      <c r="D58" s="14"/>
      <c r="E58" s="14"/>
      <c r="F58" s="14"/>
      <c r="G58" s="14"/>
      <c r="H58" s="14"/>
      <c r="I58" s="14"/>
      <c r="J58" s="5"/>
      <c r="K58" s="5"/>
      <c r="L58" s="5"/>
      <c r="M58" s="5"/>
      <c r="N58" s="5"/>
      <c r="O58" s="5"/>
      <c r="P58" s="5"/>
      <c r="Q58" s="5"/>
      <c r="R58" s="5"/>
      <c r="S58" s="5"/>
      <c r="T58" s="8"/>
      <c r="U58" s="11">
        <v>44309</v>
      </c>
      <c r="V58" s="14"/>
      <c r="W58" s="14"/>
      <c r="X58" s="14"/>
      <c r="Y58" s="14"/>
      <c r="Z58" s="14"/>
      <c r="AA58" s="14"/>
      <c r="AB58" s="14"/>
      <c r="AC58" s="14"/>
      <c r="AD58" s="5"/>
      <c r="AE58" s="5"/>
      <c r="AF58" s="5"/>
      <c r="AG58" s="5"/>
      <c r="AH58" s="5"/>
      <c r="AI58" s="5"/>
      <c r="AJ58" s="5"/>
      <c r="AK58" s="5"/>
      <c r="AL58" s="5"/>
      <c r="AM58" s="52"/>
    </row>
    <row r="59">
      <c r="A59" s="11">
        <v>44310</v>
      </c>
      <c r="B59" s="5"/>
      <c r="C59" s="5"/>
      <c r="D59" s="5"/>
      <c r="E59" s="5"/>
      <c r="F59" s="5"/>
      <c r="G59" s="5"/>
      <c r="H59" s="5"/>
      <c r="I59" s="5"/>
      <c r="J59" s="5"/>
      <c r="K59" s="5"/>
      <c r="L59" s="5"/>
      <c r="M59" s="5"/>
      <c r="N59" s="5"/>
      <c r="O59" s="5"/>
      <c r="P59" s="5"/>
      <c r="Q59" s="5"/>
      <c r="R59" s="5"/>
      <c r="S59" s="5"/>
      <c r="T59" s="8"/>
      <c r="U59" s="11">
        <v>44310</v>
      </c>
      <c r="V59" s="5"/>
      <c r="W59" s="5"/>
      <c r="X59" s="5"/>
      <c r="Y59" s="5"/>
      <c r="Z59" s="5"/>
      <c r="AA59" s="5"/>
      <c r="AB59" s="5"/>
      <c r="AC59" s="5"/>
      <c r="AD59" s="5"/>
      <c r="AE59" s="5"/>
      <c r="AF59" s="5"/>
      <c r="AG59" s="5"/>
      <c r="AH59" s="5"/>
      <c r="AI59" s="5"/>
      <c r="AJ59" s="5"/>
      <c r="AK59" s="5"/>
      <c r="AL59" s="5"/>
      <c r="AM59" s="52"/>
    </row>
    <row r="60">
      <c r="A60" s="11">
        <v>44311</v>
      </c>
      <c r="B60" s="14"/>
      <c r="C60" s="14"/>
      <c r="D60" s="14"/>
      <c r="E60" s="14"/>
      <c r="F60" s="14"/>
      <c r="G60" s="14"/>
      <c r="H60" s="14"/>
      <c r="I60" s="14"/>
      <c r="J60" s="5"/>
      <c r="K60" s="5"/>
      <c r="L60" s="5"/>
      <c r="M60" s="5"/>
      <c r="N60" s="5"/>
      <c r="O60" s="5"/>
      <c r="P60" s="5"/>
      <c r="Q60" s="5"/>
      <c r="R60" s="5"/>
      <c r="S60" s="5"/>
      <c r="T60" s="8"/>
      <c r="U60" s="11">
        <v>44311</v>
      </c>
      <c r="V60" s="14"/>
      <c r="W60" s="14"/>
      <c r="X60" s="14"/>
      <c r="Y60" s="14"/>
      <c r="Z60" s="14"/>
      <c r="AA60" s="14"/>
      <c r="AB60" s="14"/>
      <c r="AC60" s="14"/>
      <c r="AD60" s="5"/>
      <c r="AE60" s="5"/>
      <c r="AF60" s="5"/>
      <c r="AG60" s="5"/>
      <c r="AH60" s="5"/>
      <c r="AI60" s="5"/>
      <c r="AJ60" s="5"/>
      <c r="AK60" s="5"/>
      <c r="AL60" s="5"/>
      <c r="AM60" s="52"/>
    </row>
    <row r="61">
      <c r="A61" s="11">
        <v>44312</v>
      </c>
      <c r="B61" s="5"/>
      <c r="C61" s="5"/>
      <c r="D61" s="5"/>
      <c r="E61" s="5"/>
      <c r="F61" s="5"/>
      <c r="G61" s="5"/>
      <c r="H61" s="5"/>
      <c r="I61" s="5"/>
      <c r="J61" s="5"/>
      <c r="K61" s="5"/>
      <c r="L61" s="5"/>
      <c r="M61" s="5"/>
      <c r="N61" s="5"/>
      <c r="O61" s="5"/>
      <c r="P61" s="5"/>
      <c r="Q61" s="5"/>
      <c r="R61" s="5"/>
      <c r="S61" s="5"/>
      <c r="T61" s="8"/>
      <c r="U61" s="11">
        <v>44312</v>
      </c>
      <c r="V61" s="5">
        <v>6132</v>
      </c>
      <c r="W61" s="5"/>
      <c r="X61" s="5"/>
      <c r="Y61" s="5"/>
      <c r="Z61" s="5"/>
      <c r="AA61" s="5"/>
      <c r="AB61" s="5"/>
      <c r="AC61" s="5"/>
      <c r="AD61" s="5"/>
      <c r="AE61" s="5"/>
      <c r="AF61" s="5"/>
      <c r="AG61" s="5"/>
      <c r="AH61" s="5"/>
      <c r="AI61" s="5"/>
      <c r="AJ61" s="5"/>
      <c r="AK61" s="5"/>
      <c r="AL61" s="5"/>
      <c r="AM61" s="52"/>
    </row>
    <row r="62">
      <c r="A62" s="11">
        <v>44313</v>
      </c>
      <c r="B62" s="14"/>
      <c r="C62" s="14"/>
      <c r="D62" s="14"/>
      <c r="E62" s="14"/>
      <c r="F62" s="14"/>
      <c r="G62" s="14"/>
      <c r="H62" s="14"/>
      <c r="I62" s="14"/>
      <c r="J62" s="5"/>
      <c r="K62" s="5"/>
      <c r="L62" s="5"/>
      <c r="M62" s="5"/>
      <c r="N62" s="5"/>
      <c r="O62" s="5"/>
      <c r="P62" s="5"/>
      <c r="Q62" s="5"/>
      <c r="R62" s="5"/>
      <c r="S62" s="5"/>
      <c r="T62" s="8"/>
      <c r="U62" s="11">
        <v>44313</v>
      </c>
      <c r="V62" s="14"/>
      <c r="W62" s="14"/>
      <c r="X62" s="14"/>
      <c r="Y62" s="14"/>
      <c r="Z62" s="14"/>
      <c r="AA62" s="14"/>
      <c r="AB62" s="14"/>
      <c r="AC62" s="14"/>
      <c r="AD62" s="5"/>
      <c r="AE62" s="5"/>
      <c r="AF62" s="5"/>
      <c r="AG62" s="5"/>
      <c r="AH62" s="5"/>
      <c r="AI62" s="5"/>
      <c r="AJ62" s="5"/>
      <c r="AK62" s="5"/>
      <c r="AL62" s="5"/>
      <c r="AM62" s="52"/>
    </row>
    <row r="63">
      <c r="A63" s="11">
        <v>44314</v>
      </c>
      <c r="B63" s="5"/>
      <c r="C63" s="5"/>
      <c r="D63" s="5"/>
      <c r="E63" s="5"/>
      <c r="F63" s="5"/>
      <c r="G63" s="5"/>
      <c r="H63" s="5"/>
      <c r="I63" s="5"/>
      <c r="J63" s="5"/>
      <c r="K63" s="5"/>
      <c r="L63" s="5"/>
      <c r="M63" s="5"/>
      <c r="N63" s="5"/>
      <c r="O63" s="5"/>
      <c r="P63" s="5"/>
      <c r="Q63" s="5"/>
      <c r="R63" s="48"/>
      <c r="S63" s="5"/>
      <c r="T63" s="8"/>
      <c r="U63" s="11">
        <v>44314</v>
      </c>
      <c r="V63" s="5"/>
      <c r="W63" s="5"/>
      <c r="X63" s="5"/>
      <c r="Y63" s="5"/>
      <c r="Z63" s="5"/>
      <c r="AA63" s="5"/>
      <c r="AB63" s="5"/>
      <c r="AC63" s="5"/>
      <c r="AD63" s="5"/>
      <c r="AE63" s="5"/>
      <c r="AF63" s="5"/>
      <c r="AG63" s="5"/>
      <c r="AH63" s="5"/>
      <c r="AI63" s="5"/>
      <c r="AJ63" s="5"/>
      <c r="AK63" s="5"/>
      <c r="AL63" s="5"/>
      <c r="AM63" s="52"/>
    </row>
    <row r="64">
      <c r="A64" s="11">
        <v>44315</v>
      </c>
      <c r="B64" s="22"/>
      <c r="C64" s="22"/>
      <c r="D64" s="22"/>
      <c r="E64" s="22"/>
      <c r="F64" s="22"/>
      <c r="G64" s="22"/>
      <c r="H64" s="22"/>
      <c r="I64" s="22"/>
      <c r="J64" s="5"/>
      <c r="K64" s="5"/>
      <c r="L64" s="5"/>
      <c r="M64" s="5"/>
      <c r="N64" s="5"/>
      <c r="O64" s="5"/>
      <c r="P64" s="5"/>
      <c r="Q64" s="5"/>
      <c r="R64" s="48"/>
      <c r="S64" s="5"/>
      <c r="T64" s="8"/>
      <c r="U64" s="11">
        <v>44315</v>
      </c>
      <c r="V64" s="5"/>
      <c r="W64" s="5"/>
      <c r="X64" s="5"/>
      <c r="Y64" s="5"/>
      <c r="Z64" s="5"/>
      <c r="AA64" s="5"/>
      <c r="AB64" s="5"/>
      <c r="AC64" s="5"/>
      <c r="AD64" s="5"/>
      <c r="AE64" s="5"/>
      <c r="AF64" s="5"/>
      <c r="AG64" s="5"/>
      <c r="AH64" s="5"/>
      <c r="AI64" s="5"/>
      <c r="AJ64" s="5"/>
      <c r="AK64" s="5"/>
      <c r="AL64" s="5"/>
      <c r="AM64" s="52"/>
    </row>
    <row r="65">
      <c r="A65" s="11">
        <v>44316</v>
      </c>
      <c r="B65" s="5"/>
      <c r="C65" s="5"/>
      <c r="D65" s="5"/>
      <c r="E65" s="5">
        <v>181.43000000000001</v>
      </c>
      <c r="F65" s="5"/>
      <c r="G65" s="5"/>
      <c r="H65" s="5"/>
      <c r="I65" s="5"/>
      <c r="J65" s="5"/>
      <c r="K65" s="5"/>
      <c r="L65" s="5"/>
      <c r="M65" s="5"/>
      <c r="N65" s="5"/>
      <c r="O65" s="5"/>
      <c r="P65" s="5"/>
      <c r="Q65" s="5"/>
      <c r="R65" s="48"/>
      <c r="S65" s="5"/>
      <c r="T65" s="8"/>
      <c r="U65" s="11">
        <v>44316</v>
      </c>
      <c r="V65" s="5"/>
      <c r="W65" s="5"/>
      <c r="X65" s="5"/>
      <c r="Y65" s="5"/>
      <c r="Z65" s="5"/>
      <c r="AA65" s="5"/>
      <c r="AB65" s="5"/>
      <c r="AC65" s="5"/>
      <c r="AD65" s="5"/>
      <c r="AE65" s="5"/>
      <c r="AF65" s="5"/>
      <c r="AG65" s="5"/>
      <c r="AH65" s="5"/>
      <c r="AI65" s="5"/>
      <c r="AJ65" s="5"/>
      <c r="AK65" s="5"/>
      <c r="AL65" s="5"/>
      <c r="AM65" s="52"/>
    </row>
    <row r="66">
      <c r="A66" s="11"/>
      <c r="B66" s="22"/>
      <c r="C66" s="22"/>
      <c r="D66" s="22"/>
      <c r="E66" s="22"/>
      <c r="F66" s="22"/>
      <c r="G66" s="22"/>
      <c r="H66" s="22"/>
      <c r="I66" s="22"/>
      <c r="J66" s="5"/>
      <c r="K66" s="5"/>
      <c r="L66" s="5"/>
      <c r="M66" s="5"/>
      <c r="N66" s="5"/>
      <c r="O66" s="5"/>
      <c r="P66" s="5"/>
      <c r="Q66" s="5"/>
      <c r="R66" s="48"/>
      <c r="S66" s="5"/>
      <c r="T66" s="8"/>
      <c r="U66" s="11"/>
      <c r="V66" s="5"/>
      <c r="W66" s="5"/>
      <c r="X66" s="5"/>
      <c r="Y66" s="5"/>
      <c r="Z66" s="5"/>
      <c r="AA66" s="5"/>
      <c r="AB66" s="5"/>
      <c r="AC66" s="5"/>
      <c r="AD66" s="5"/>
      <c r="AE66" s="5"/>
      <c r="AF66" s="5"/>
      <c r="AG66" s="5"/>
      <c r="AH66" s="5"/>
      <c r="AI66" s="5"/>
      <c r="AJ66" s="5"/>
      <c r="AK66" s="5"/>
      <c r="AL66" s="5"/>
      <c r="AM66" s="52"/>
    </row>
    <row r="67">
      <c r="A67" s="7"/>
      <c r="B67" s="7">
        <f t="shared" ref="B67:E67" si="56">SUM(B36:B66)</f>
        <v>37898.300000000003</v>
      </c>
      <c r="C67" s="7">
        <f>SUM(C36:C66)</f>
        <v>0</v>
      </c>
      <c r="D67" s="7">
        <f t="shared" si="56"/>
        <v>0</v>
      </c>
      <c r="E67" s="7">
        <f t="shared" si="56"/>
        <v>229.88</v>
      </c>
      <c r="F67" s="7">
        <f>SUM(F36:F66)</f>
        <v>0</v>
      </c>
      <c r="G67" s="7">
        <f t="shared" ref="G67:R67" si="57">SUM(G36:G66)</f>
        <v>0</v>
      </c>
      <c r="H67" s="7">
        <f t="shared" si="57"/>
        <v>0</v>
      </c>
      <c r="I67" s="7">
        <f t="shared" si="57"/>
        <v>142</v>
      </c>
      <c r="J67" s="7">
        <f t="shared" si="57"/>
        <v>0</v>
      </c>
      <c r="K67" s="7">
        <f t="shared" si="57"/>
        <v>0</v>
      </c>
      <c r="L67" s="7">
        <f t="shared" si="57"/>
        <v>0</v>
      </c>
      <c r="M67" s="7">
        <f t="shared" si="57"/>
        <v>0</v>
      </c>
      <c r="N67" s="7">
        <f t="shared" si="57"/>
        <v>0</v>
      </c>
      <c r="O67" s="7">
        <f t="shared" si="57"/>
        <v>0</v>
      </c>
      <c r="P67" s="7">
        <f t="shared" si="57"/>
        <v>0</v>
      </c>
      <c r="Q67" s="7">
        <f t="shared" si="57"/>
        <v>0</v>
      </c>
      <c r="R67" s="7">
        <f t="shared" si="57"/>
        <v>0</v>
      </c>
      <c r="S67" s="7">
        <f>SUM(B67:R67)</f>
        <v>38270.18</v>
      </c>
      <c r="T67" s="8"/>
      <c r="U67" s="7"/>
      <c r="V67" s="7">
        <f t="shared" ref="V67:AK67" si="58">SUM(V36:V63)</f>
        <v>26224.630000000001</v>
      </c>
      <c r="W67" s="7">
        <f t="shared" si="58"/>
        <v>0</v>
      </c>
      <c r="X67" s="7">
        <f t="shared" si="58"/>
        <v>0</v>
      </c>
      <c r="Y67" s="7">
        <f t="shared" si="58"/>
        <v>0</v>
      </c>
      <c r="Z67" s="7">
        <f t="shared" si="58"/>
        <v>0</v>
      </c>
      <c r="AA67" s="7">
        <f t="shared" si="58"/>
        <v>0</v>
      </c>
      <c r="AB67" s="7">
        <f t="shared" si="58"/>
        <v>0</v>
      </c>
      <c r="AC67" s="7">
        <f t="shared" si="58"/>
        <v>0</v>
      </c>
      <c r="AD67" s="7">
        <f t="shared" si="58"/>
        <v>0</v>
      </c>
      <c r="AE67" s="7">
        <f t="shared" si="58"/>
        <v>0</v>
      </c>
      <c r="AF67" s="7">
        <f t="shared" si="58"/>
        <v>0</v>
      </c>
      <c r="AG67" s="7">
        <f t="shared" si="58"/>
        <v>0</v>
      </c>
      <c r="AH67" s="7">
        <f t="shared" si="58"/>
        <v>0</v>
      </c>
      <c r="AI67" s="7">
        <f t="shared" si="58"/>
        <v>0</v>
      </c>
      <c r="AJ67" s="7">
        <f t="shared" si="58"/>
        <v>0</v>
      </c>
      <c r="AK67" s="7">
        <f t="shared" si="58"/>
        <v>0</v>
      </c>
      <c r="AL67" s="7">
        <f>SUM(V67:AK67)</f>
        <v>26224.630000000001</v>
      </c>
      <c r="AM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row>
    <row r="69">
      <c r="A69" t="s">
        <v>67</v>
      </c>
    </row>
    <row r="70">
      <c r="A70" t="s">
        <v>68</v>
      </c>
      <c r="B70" s="50">
        <f>21000-344+2039+(23000-23000)-344-344+8164.1-4600-3300+(3000-3000)+80000+2000+(5500-5000)+(5650-5100)+1000</f>
        <v>106321.10000000001</v>
      </c>
    </row>
    <row r="71">
      <c r="A71" t="s">
        <v>69</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L37" zoomScale="100" workbookViewId="0">
      <selection activeCell="M12" activeCellId="0" sqref="M12"/>
    </sheetView>
  </sheetViews>
  <sheetFormatPr defaultRowHeight="14.25"/>
  <cols>
    <col bestFit="1" customWidth="1" min="1" max="1" width="11.42578125"/>
    <col bestFit="1" customWidth="1" min="8" max="8" width="10"/>
    <col bestFit="1" customWidth="1" min="15" max="15" width="8.140625"/>
    <col bestFit="1" customWidth="1" min="16" max="16" width="12.85546875"/>
    <col bestFit="1" customWidth="1" min="17" max="17" width="10.7109375"/>
    <col customWidth="1" min="21" max="21" width="12.7109375"/>
  </cols>
  <sheetData>
    <row r="1">
      <c r="A1" s="10" t="s">
        <v>0</v>
      </c>
      <c r="B1" s="51" t="s">
        <v>70</v>
      </c>
      <c r="C1" s="60" t="s">
        <v>71</v>
      </c>
      <c r="D1" s="51" t="s">
        <v>72</v>
      </c>
      <c r="E1" s="61" t="s">
        <v>3</v>
      </c>
      <c r="F1" s="51" t="s">
        <v>4</v>
      </c>
      <c r="G1" s="51" t="s">
        <v>5</v>
      </c>
      <c r="H1" s="51" t="s">
        <v>6</v>
      </c>
      <c r="I1" s="51" t="s">
        <v>7</v>
      </c>
      <c r="J1" s="51" t="s">
        <v>8</v>
      </c>
      <c r="K1" s="51" t="s">
        <v>9</v>
      </c>
      <c r="L1" s="51" t="s">
        <v>10</v>
      </c>
      <c r="M1" s="51" t="s">
        <v>11</v>
      </c>
      <c r="N1" s="51" t="s">
        <v>12</v>
      </c>
      <c r="O1" s="51" t="s">
        <v>13</v>
      </c>
      <c r="P1" s="51" t="s">
        <v>19</v>
      </c>
      <c r="Q1" s="51" t="s">
        <v>20</v>
      </c>
      <c r="R1" s="51" t="s">
        <v>73</v>
      </c>
      <c r="S1" s="51" t="s">
        <v>62</v>
      </c>
      <c r="T1" s="8"/>
      <c r="U1" s="10" t="s">
        <v>1</v>
      </c>
      <c r="V1" s="10" t="s">
        <v>2</v>
      </c>
      <c r="W1" s="10" t="s">
        <v>3</v>
      </c>
      <c r="X1" s="10" t="s">
        <v>4</v>
      </c>
      <c r="Y1" s="10" t="s">
        <v>5</v>
      </c>
      <c r="Z1" s="10" t="s">
        <v>6</v>
      </c>
      <c r="AA1" s="10" t="s">
        <v>7</v>
      </c>
      <c r="AB1" s="10" t="s">
        <v>8</v>
      </c>
      <c r="AC1" s="10" t="s">
        <v>9</v>
      </c>
      <c r="AD1" s="10" t="s">
        <v>10</v>
      </c>
      <c r="AE1" s="10" t="s">
        <v>11</v>
      </c>
      <c r="AF1" s="10" t="s">
        <v>12</v>
      </c>
      <c r="AG1" s="10" t="s">
        <v>13</v>
      </c>
      <c r="AH1" s="10" t="s">
        <v>63</v>
      </c>
      <c r="AI1" s="10" t="s">
        <v>20</v>
      </c>
      <c r="AJ1" s="10" t="s">
        <v>49</v>
      </c>
      <c r="AK1" s="10"/>
      <c r="AL1" s="1"/>
      <c r="AM1" s="52"/>
    </row>
    <row r="2">
      <c r="A2" s="11">
        <v>44317</v>
      </c>
      <c r="B2" s="14">
        <v>80</v>
      </c>
      <c r="C2" s="46">
        <v>678.33000000000004</v>
      </c>
      <c r="D2" s="18"/>
      <c r="E2" s="62">
        <v>510</v>
      </c>
      <c r="F2" s="14"/>
      <c r="G2" s="14"/>
      <c r="H2" s="14"/>
      <c r="I2" s="14"/>
      <c r="J2" s="14"/>
      <c r="K2" s="14"/>
      <c r="L2" s="14"/>
      <c r="M2" s="14">
        <v>1200</v>
      </c>
      <c r="N2" s="14"/>
      <c r="O2" s="14"/>
      <c r="P2" s="14"/>
      <c r="Q2" s="14"/>
      <c r="R2" s="14"/>
      <c r="S2" s="14"/>
      <c r="T2" s="8"/>
      <c r="U2" s="14"/>
      <c r="V2" s="14"/>
      <c r="W2" s="14"/>
      <c r="X2" s="14"/>
      <c r="Y2" s="14"/>
      <c r="Z2" s="14"/>
      <c r="AA2" s="14"/>
      <c r="AB2" s="14"/>
      <c r="AC2" s="14"/>
      <c r="AD2" s="14"/>
      <c r="AE2" s="14"/>
      <c r="AF2" s="14"/>
      <c r="AG2" s="14"/>
      <c r="AH2" s="14"/>
      <c r="AI2" s="14"/>
      <c r="AJ2" s="14"/>
      <c r="AK2" s="14"/>
      <c r="AL2" s="14"/>
      <c r="AM2" s="52"/>
    </row>
    <row r="3">
      <c r="A3" s="11">
        <v>44318</v>
      </c>
      <c r="B3" s="5"/>
      <c r="C3" s="41">
        <f>229.8+300</f>
        <v>529.79999999999995</v>
      </c>
      <c r="D3" s="5"/>
      <c r="E3" s="42"/>
      <c r="F3" s="5"/>
      <c r="G3" s="5"/>
      <c r="H3" s="5"/>
      <c r="I3" s="5"/>
      <c r="J3" s="5"/>
      <c r="K3" s="5"/>
      <c r="L3" s="5"/>
      <c r="M3" s="5"/>
      <c r="N3" s="5">
        <v>300</v>
      </c>
      <c r="O3" s="5"/>
      <c r="P3" s="5"/>
      <c r="Q3" s="5"/>
      <c r="R3" s="5"/>
      <c r="S3" s="5"/>
      <c r="T3" s="8"/>
      <c r="U3" s="5"/>
      <c r="V3" s="5"/>
      <c r="W3" s="5"/>
      <c r="X3" s="5"/>
      <c r="Y3" s="5"/>
      <c r="Z3" s="5"/>
      <c r="AA3" s="5"/>
      <c r="AB3" s="5"/>
      <c r="AC3" s="5"/>
      <c r="AD3" s="5"/>
      <c r="AE3" s="5"/>
      <c r="AF3" s="5"/>
      <c r="AG3" s="5"/>
      <c r="AH3" s="5"/>
      <c r="AI3" s="5"/>
      <c r="AJ3" s="5"/>
      <c r="AK3" s="5"/>
      <c r="AL3" s="5"/>
      <c r="AM3" s="52"/>
    </row>
    <row r="4">
      <c r="A4" s="11">
        <v>44319</v>
      </c>
      <c r="B4" s="14">
        <v>40</v>
      </c>
      <c r="C4" s="46">
        <v>19</v>
      </c>
      <c r="D4" s="14"/>
      <c r="E4" s="62">
        <v>530</v>
      </c>
      <c r="F4" s="14"/>
      <c r="G4" s="14"/>
      <c r="H4" s="14">
        <v>163</v>
      </c>
      <c r="I4" s="14"/>
      <c r="J4" s="14"/>
      <c r="K4" s="14"/>
      <c r="L4" s="14"/>
      <c r="M4" s="14"/>
      <c r="N4" s="14"/>
      <c r="O4" s="14"/>
      <c r="P4" s="14"/>
      <c r="Q4" s="14"/>
      <c r="R4" s="14"/>
      <c r="S4" s="14"/>
      <c r="T4" s="8"/>
      <c r="U4" s="14"/>
      <c r="V4" s="14"/>
      <c r="W4" s="14"/>
      <c r="X4" s="14"/>
      <c r="Y4" s="14"/>
      <c r="Z4" s="14"/>
      <c r="AA4" s="14"/>
      <c r="AB4" s="14"/>
      <c r="AC4" s="14"/>
      <c r="AD4" s="14"/>
      <c r="AE4" s="14"/>
      <c r="AF4" s="14"/>
      <c r="AG4" s="14"/>
      <c r="AH4" s="14"/>
      <c r="AI4" s="14"/>
      <c r="AJ4" s="14"/>
      <c r="AK4" s="14"/>
      <c r="AL4" s="14"/>
      <c r="AM4" s="52"/>
    </row>
    <row r="5">
      <c r="A5" s="11">
        <v>44320</v>
      </c>
      <c r="B5" s="5">
        <v>30</v>
      </c>
      <c r="D5" s="23">
        <v>85</v>
      </c>
      <c r="E5" s="42"/>
      <c r="F5" s="5"/>
      <c r="G5" s="5"/>
      <c r="H5" s="5"/>
      <c r="I5" s="5"/>
      <c r="J5" s="5"/>
      <c r="K5" s="5"/>
      <c r="L5" s="5"/>
      <c r="M5" s="5">
        <v>435.88</v>
      </c>
      <c r="N5" s="5"/>
      <c r="O5" s="5"/>
      <c r="P5" s="5"/>
      <c r="Q5" s="5"/>
      <c r="R5" s="5">
        <v>95.939999999999998</v>
      </c>
      <c r="S5" s="5"/>
      <c r="T5" s="8"/>
      <c r="U5" s="5"/>
      <c r="V5" s="5"/>
      <c r="W5" s="5"/>
      <c r="X5" s="5"/>
      <c r="Y5" s="5"/>
      <c r="Z5" s="5"/>
      <c r="AA5" s="5"/>
      <c r="AB5" s="5"/>
      <c r="AC5" s="5"/>
      <c r="AD5" s="5"/>
      <c r="AE5" s="5"/>
      <c r="AF5" s="5"/>
      <c r="AG5" s="5"/>
      <c r="AH5" s="5"/>
      <c r="AI5" s="5"/>
      <c r="AJ5" s="5"/>
      <c r="AK5" s="5"/>
      <c r="AL5" s="5"/>
      <c r="AM5" s="52"/>
    </row>
    <row r="6">
      <c r="A6" s="11">
        <v>44321</v>
      </c>
      <c r="B6" s="46">
        <v>60</v>
      </c>
      <c r="C6" s="14">
        <v>150</v>
      </c>
      <c r="D6" s="14">
        <f>100+248.8</f>
        <v>348.80000000000001</v>
      </c>
      <c r="E6" s="62"/>
      <c r="F6" s="14"/>
      <c r="G6" s="14"/>
      <c r="H6" s="14">
        <f>378.31-C6</f>
        <v>228.31</v>
      </c>
      <c r="I6" s="14"/>
      <c r="J6" s="14"/>
      <c r="K6" s="14"/>
      <c r="L6" s="14"/>
      <c r="M6" s="14"/>
      <c r="N6" s="14"/>
      <c r="O6" s="14"/>
      <c r="P6" s="14"/>
      <c r="Q6" s="14"/>
      <c r="R6" s="14"/>
      <c r="S6" s="14"/>
      <c r="T6" s="8"/>
      <c r="U6" s="14"/>
      <c r="V6" s="14"/>
      <c r="W6" s="14"/>
      <c r="X6" s="14"/>
      <c r="Y6" s="14"/>
      <c r="Z6" s="14"/>
      <c r="AA6" s="14"/>
      <c r="AB6" s="14"/>
      <c r="AC6" s="14"/>
      <c r="AD6" s="14"/>
      <c r="AE6" s="14"/>
      <c r="AF6" s="14"/>
      <c r="AG6" s="14"/>
      <c r="AH6" s="14"/>
      <c r="AI6" s="14"/>
      <c r="AJ6" s="14"/>
      <c r="AK6" s="14"/>
      <c r="AL6" s="14"/>
      <c r="AM6" s="52"/>
    </row>
    <row r="7">
      <c r="A7" s="11">
        <v>44322</v>
      </c>
      <c r="B7" s="5">
        <v>60</v>
      </c>
      <c r="C7" s="26"/>
      <c r="D7" s="26">
        <v>107</v>
      </c>
      <c r="E7" s="5">
        <v>790</v>
      </c>
      <c r="F7" s="5"/>
      <c r="G7" s="5"/>
      <c r="H7" s="5"/>
      <c r="I7" s="5"/>
      <c r="J7" s="5"/>
      <c r="K7" s="5"/>
      <c r="L7" s="5"/>
      <c r="M7" s="5"/>
      <c r="N7" s="5"/>
      <c r="O7" s="5"/>
      <c r="P7" s="5"/>
      <c r="Q7" s="5"/>
      <c r="R7" s="5"/>
      <c r="S7" s="41"/>
      <c r="T7" s="8"/>
      <c r="U7" s="5"/>
      <c r="V7" s="5"/>
      <c r="W7" s="5"/>
      <c r="X7" s="5"/>
      <c r="Y7" s="5"/>
      <c r="Z7" s="5"/>
      <c r="AA7" s="5"/>
      <c r="AB7" s="5"/>
      <c r="AC7" s="5"/>
      <c r="AD7" s="5"/>
      <c r="AE7" s="5"/>
      <c r="AF7" s="5"/>
      <c r="AG7" s="5"/>
      <c r="AH7" s="5"/>
      <c r="AI7" s="5"/>
      <c r="AJ7" s="5"/>
      <c r="AK7" s="5"/>
      <c r="AL7" s="5"/>
      <c r="AM7" s="52"/>
    </row>
    <row r="8">
      <c r="A8" s="11">
        <v>44323</v>
      </c>
      <c r="B8" s="14">
        <v>60</v>
      </c>
      <c r="C8" s="14"/>
      <c r="D8" s="14">
        <v>109</v>
      </c>
      <c r="E8" s="14">
        <f>154+220-120</f>
        <v>254</v>
      </c>
      <c r="F8" s="14"/>
      <c r="G8" s="14"/>
      <c r="H8" s="14"/>
      <c r="I8" s="14"/>
      <c r="J8" s="14">
        <f>799+1770</f>
        <v>2569</v>
      </c>
      <c r="K8" s="14"/>
      <c r="L8" s="14"/>
      <c r="M8" s="14"/>
      <c r="N8" s="14"/>
      <c r="O8" s="14"/>
      <c r="P8" s="14"/>
      <c r="Q8" s="14"/>
      <c r="R8" s="14">
        <v>33.920000000000002</v>
      </c>
      <c r="S8" s="46"/>
      <c r="T8" s="8"/>
      <c r="U8" s="14"/>
      <c r="V8" s="14"/>
      <c r="W8" s="14"/>
      <c r="X8" s="14"/>
      <c r="Y8" s="14"/>
      <c r="Z8" s="14"/>
      <c r="AA8" s="14"/>
      <c r="AB8" s="14"/>
      <c r="AC8" s="14"/>
      <c r="AD8" s="14"/>
      <c r="AE8" s="14"/>
      <c r="AF8" s="14"/>
      <c r="AG8" s="14"/>
      <c r="AH8" s="14"/>
      <c r="AI8" s="14"/>
      <c r="AJ8" s="14"/>
      <c r="AK8" s="14"/>
      <c r="AL8" s="14"/>
      <c r="AM8" s="52"/>
    </row>
    <row r="9">
      <c r="A9" s="11">
        <v>44324</v>
      </c>
      <c r="B9" s="5"/>
      <c r="C9" s="5"/>
      <c r="D9" s="5"/>
      <c r="E9" s="5"/>
      <c r="F9" s="5"/>
      <c r="G9" s="5"/>
      <c r="H9" s="5"/>
      <c r="I9" s="5"/>
      <c r="J9" s="5">
        <f>272</f>
        <v>272</v>
      </c>
      <c r="K9" s="5"/>
      <c r="L9" s="5"/>
      <c r="M9" s="5">
        <f>30+1698</f>
        <v>1728</v>
      </c>
      <c r="N9" s="5"/>
      <c r="O9" s="5"/>
      <c r="P9" s="5"/>
      <c r="Q9" s="5"/>
      <c r="R9" s="5"/>
      <c r="S9" s="41"/>
      <c r="T9" s="8"/>
      <c r="U9" s="5"/>
      <c r="V9" s="5"/>
      <c r="W9" s="5"/>
      <c r="X9" s="5"/>
      <c r="Y9" s="5"/>
      <c r="Z9" s="5"/>
      <c r="AA9" s="5"/>
      <c r="AB9" s="5"/>
      <c r="AC9" s="5"/>
      <c r="AD9" s="5"/>
      <c r="AE9" s="5"/>
      <c r="AF9" s="5"/>
      <c r="AG9" s="5"/>
      <c r="AH9" s="5"/>
      <c r="AI9" s="5"/>
      <c r="AJ9" s="5"/>
      <c r="AK9" s="5"/>
      <c r="AL9" s="5"/>
      <c r="AM9" s="52"/>
    </row>
    <row r="10">
      <c r="A10" s="11">
        <v>44325</v>
      </c>
      <c r="B10" s="14"/>
      <c r="C10" s="14"/>
      <c r="D10" s="14"/>
      <c r="E10" s="14"/>
      <c r="F10" s="14"/>
      <c r="G10" s="14"/>
      <c r="H10" s="14"/>
      <c r="I10" s="14"/>
      <c r="J10" s="14"/>
      <c r="K10" s="14"/>
      <c r="L10" s="14"/>
      <c r="M10" s="14"/>
      <c r="N10" s="14"/>
      <c r="O10" s="14"/>
      <c r="P10" s="14"/>
      <c r="Q10" s="14"/>
      <c r="R10" s="14"/>
      <c r="S10" s="46"/>
      <c r="T10" s="8"/>
      <c r="U10" s="14"/>
      <c r="V10" s="14"/>
      <c r="W10" s="14"/>
      <c r="X10" s="14"/>
      <c r="Y10" s="14"/>
      <c r="Z10" s="14"/>
      <c r="AA10" s="14"/>
      <c r="AB10" s="14"/>
      <c r="AC10" s="14"/>
      <c r="AD10" s="14"/>
      <c r="AE10" s="14"/>
      <c r="AF10" s="14"/>
      <c r="AG10" s="14"/>
      <c r="AH10" s="14"/>
      <c r="AI10" s="14"/>
      <c r="AJ10" s="14"/>
      <c r="AK10" s="14"/>
      <c r="AL10" s="14"/>
      <c r="AM10" s="52"/>
    </row>
    <row r="11">
      <c r="A11" s="11">
        <v>44326</v>
      </c>
      <c r="B11" s="5"/>
      <c r="C11" s="5"/>
      <c r="D11" s="5"/>
      <c r="E11" s="5"/>
      <c r="F11" s="5"/>
      <c r="G11" s="5"/>
      <c r="H11" s="5"/>
      <c r="I11" s="5"/>
      <c r="J11" s="5"/>
      <c r="K11" s="5"/>
      <c r="L11" s="5"/>
      <c r="M11" s="5"/>
      <c r="N11" s="5"/>
      <c r="O11" s="5"/>
      <c r="P11" s="5"/>
      <c r="Q11" s="5"/>
      <c r="R11" s="5"/>
      <c r="S11" s="41"/>
      <c r="T11" s="8"/>
      <c r="U11" s="5"/>
      <c r="V11" s="5"/>
      <c r="W11" s="5"/>
      <c r="X11" s="5"/>
      <c r="Y11" s="5"/>
      <c r="Z11" s="5"/>
      <c r="AA11" s="5"/>
      <c r="AB11" s="5"/>
      <c r="AC11" s="5"/>
      <c r="AD11" s="5"/>
      <c r="AE11" s="5"/>
      <c r="AF11" s="5"/>
      <c r="AG11" s="5"/>
      <c r="AH11" s="5"/>
      <c r="AI11" s="5"/>
      <c r="AJ11" s="5"/>
      <c r="AK11" s="5"/>
      <c r="AL11" s="5"/>
      <c r="AM11" s="52"/>
    </row>
    <row r="12">
      <c r="A12" s="11">
        <v>44327</v>
      </c>
      <c r="B12" s="14"/>
      <c r="C12" s="14">
        <v>248.72</v>
      </c>
      <c r="D12" s="14">
        <f>109+95</f>
        <v>204</v>
      </c>
      <c r="E12" s="14"/>
      <c r="F12" s="14"/>
      <c r="G12" s="14"/>
      <c r="H12" s="14"/>
      <c r="I12" s="14"/>
      <c r="J12" s="14"/>
      <c r="K12" s="14"/>
      <c r="L12" s="14"/>
      <c r="M12" s="14">
        <v>1570</v>
      </c>
      <c r="N12" s="14"/>
      <c r="O12" s="14"/>
      <c r="P12" s="14"/>
      <c r="Q12" s="14"/>
      <c r="R12" s="14">
        <f>168.89</f>
        <v>168.88999999999999</v>
      </c>
      <c r="S12" s="46"/>
      <c r="T12" s="8"/>
      <c r="U12" s="14"/>
      <c r="V12" s="14"/>
      <c r="W12" s="14"/>
      <c r="X12" s="14"/>
      <c r="Y12" s="14"/>
      <c r="Z12" s="14"/>
      <c r="AA12" s="14"/>
      <c r="AB12" s="14"/>
      <c r="AC12" s="14"/>
      <c r="AD12" s="14"/>
      <c r="AE12" s="14"/>
      <c r="AF12" s="14"/>
      <c r="AG12" s="14"/>
      <c r="AH12" s="14"/>
      <c r="AI12" s="14"/>
      <c r="AJ12" s="14"/>
      <c r="AK12" s="14"/>
      <c r="AL12" s="14"/>
      <c r="AM12" s="52"/>
    </row>
    <row r="13">
      <c r="A13" s="11">
        <v>44328</v>
      </c>
      <c r="B13" s="5">
        <v>30</v>
      </c>
      <c r="C13" s="5"/>
      <c r="D13" s="5">
        <v>122</v>
      </c>
      <c r="E13" s="5">
        <v>416</v>
      </c>
      <c r="F13" s="5"/>
      <c r="G13" s="5"/>
      <c r="H13" s="5"/>
      <c r="I13" s="5"/>
      <c r="J13" s="5"/>
      <c r="K13" s="5"/>
      <c r="L13" s="5"/>
      <c r="M13" s="5"/>
      <c r="N13" s="5"/>
      <c r="O13" s="5"/>
      <c r="P13" s="5"/>
      <c r="Q13" s="5"/>
      <c r="R13" s="5"/>
      <c r="S13" s="41"/>
      <c r="T13" s="8"/>
      <c r="U13" s="5"/>
      <c r="V13" s="5"/>
      <c r="W13" s="5"/>
      <c r="X13" s="5"/>
      <c r="Y13" s="5"/>
      <c r="Z13" s="5"/>
      <c r="AA13" s="5"/>
      <c r="AB13" s="5"/>
      <c r="AC13" s="5"/>
      <c r="AD13" s="5"/>
      <c r="AE13" s="5"/>
      <c r="AF13" s="5"/>
      <c r="AG13" s="5"/>
      <c r="AH13" s="5"/>
      <c r="AI13" s="5"/>
      <c r="AJ13" s="5"/>
      <c r="AK13" s="5"/>
      <c r="AL13" s="5"/>
      <c r="AM13" s="52"/>
    </row>
    <row r="14">
      <c r="A14" s="11">
        <v>44329</v>
      </c>
      <c r="B14" s="14">
        <v>30</v>
      </c>
      <c r="C14" s="14"/>
      <c r="D14" s="14">
        <f>127+120</f>
        <v>247</v>
      </c>
      <c r="E14" s="14">
        <v>350</v>
      </c>
      <c r="F14" s="14"/>
      <c r="G14" s="14"/>
      <c r="H14" s="14"/>
      <c r="I14" s="14"/>
      <c r="J14" s="14"/>
      <c r="K14" s="14"/>
      <c r="L14" s="14"/>
      <c r="M14" s="14">
        <v>399</v>
      </c>
      <c r="N14" s="14"/>
      <c r="O14" s="14"/>
      <c r="P14" s="14"/>
      <c r="Q14" s="14"/>
      <c r="R14" s="14"/>
      <c r="S14" s="46"/>
      <c r="T14" s="8"/>
      <c r="U14" s="14"/>
      <c r="V14" s="14"/>
      <c r="W14" s="14"/>
      <c r="X14" s="14"/>
      <c r="Y14" s="14"/>
      <c r="Z14" s="14"/>
      <c r="AA14" s="14"/>
      <c r="AB14" s="14"/>
      <c r="AC14" s="14"/>
      <c r="AD14" s="14"/>
      <c r="AE14" s="14"/>
      <c r="AF14" s="14"/>
      <c r="AG14" s="14"/>
      <c r="AH14" s="14"/>
      <c r="AI14" s="14"/>
      <c r="AJ14" s="14"/>
      <c r="AK14" s="14"/>
      <c r="AL14" s="14"/>
      <c r="AM14" s="52"/>
    </row>
    <row r="15">
      <c r="A15" s="11">
        <v>44330</v>
      </c>
      <c r="B15" s="5">
        <v>30</v>
      </c>
      <c r="C15" s="5"/>
      <c r="D15" s="5">
        <v>114</v>
      </c>
      <c r="E15" s="5"/>
      <c r="F15" s="5"/>
      <c r="G15" s="5"/>
      <c r="H15" s="5"/>
      <c r="J15" s="5"/>
      <c r="K15" s="5"/>
      <c r="L15" s="5"/>
      <c r="M15" s="5"/>
      <c r="N15" s="5"/>
      <c r="O15" s="5"/>
      <c r="P15" s="5"/>
      <c r="Q15" s="5"/>
      <c r="R15" s="5"/>
      <c r="S15" s="41"/>
      <c r="T15" s="8"/>
      <c r="U15" s="5"/>
      <c r="V15" s="5"/>
      <c r="W15" s="5"/>
      <c r="X15" s="5"/>
      <c r="Y15" s="5"/>
      <c r="Z15" s="5"/>
      <c r="AA15" s="5"/>
      <c r="AC15" s="5"/>
      <c r="AD15" s="5"/>
      <c r="AE15" s="5"/>
      <c r="AF15" s="5"/>
      <c r="AG15" s="5"/>
      <c r="AH15" s="5"/>
      <c r="AI15" s="5"/>
      <c r="AJ15" s="5"/>
      <c r="AK15" s="5"/>
      <c r="AL15" s="5"/>
      <c r="AM15" s="52"/>
    </row>
    <row r="16">
      <c r="A16" s="11">
        <v>44331</v>
      </c>
      <c r="B16" s="14">
        <v>200</v>
      </c>
      <c r="C16" s="14">
        <v>951</v>
      </c>
      <c r="D16" s="14"/>
      <c r="E16" s="14"/>
      <c r="F16" s="14"/>
      <c r="G16" s="14"/>
      <c r="H16" s="14"/>
      <c r="I16" s="14"/>
      <c r="J16" s="14"/>
      <c r="K16" s="14"/>
      <c r="L16" s="14"/>
      <c r="M16" s="14"/>
      <c r="N16" s="14"/>
      <c r="O16" s="14"/>
      <c r="P16" s="14"/>
      <c r="Q16" s="14"/>
      <c r="R16" s="14"/>
      <c r="S16" s="46"/>
      <c r="T16" s="8"/>
      <c r="U16" s="14"/>
      <c r="V16" s="14"/>
      <c r="W16" s="14"/>
      <c r="X16" s="14"/>
      <c r="Y16" s="14"/>
      <c r="Z16" s="14"/>
      <c r="AA16" s="14"/>
      <c r="AB16" s="14"/>
      <c r="AC16" s="14"/>
      <c r="AD16" s="14"/>
      <c r="AE16" s="14"/>
      <c r="AF16" s="14"/>
      <c r="AG16" s="14"/>
      <c r="AH16" s="14"/>
      <c r="AI16" s="14"/>
      <c r="AJ16" s="14"/>
      <c r="AK16" s="14"/>
      <c r="AL16" s="14"/>
      <c r="AM16" s="52"/>
    </row>
    <row r="17">
      <c r="A17" s="11">
        <v>44332</v>
      </c>
      <c r="B17" s="5"/>
      <c r="C17" s="5">
        <f>97.48</f>
        <v>97.480000000000004</v>
      </c>
      <c r="D17" s="5"/>
      <c r="E17" s="5"/>
      <c r="F17" s="5"/>
      <c r="G17" s="5"/>
      <c r="H17" s="5"/>
      <c r="I17" s="5"/>
      <c r="J17" s="5"/>
      <c r="K17" s="5"/>
      <c r="L17" s="5"/>
      <c r="M17" s="5"/>
      <c r="N17" s="5"/>
      <c r="O17" s="5"/>
      <c r="P17" s="5"/>
      <c r="Q17" s="5"/>
      <c r="R17" s="5">
        <v>149.90000000000001</v>
      </c>
      <c r="S17" s="41"/>
      <c r="T17" s="8"/>
      <c r="U17" s="5"/>
      <c r="V17" s="5"/>
      <c r="W17" s="5"/>
      <c r="X17" s="5"/>
      <c r="Y17" s="5"/>
      <c r="Z17" s="5"/>
      <c r="AA17" s="5"/>
      <c r="AB17" s="5"/>
      <c r="AC17" s="5"/>
      <c r="AD17" s="5"/>
      <c r="AE17" s="5"/>
      <c r="AF17" s="5"/>
      <c r="AG17" s="5"/>
      <c r="AH17" s="5"/>
      <c r="AI17" s="5"/>
      <c r="AJ17" s="5"/>
      <c r="AK17" s="5"/>
      <c r="AL17" s="5"/>
      <c r="AM17" s="52"/>
    </row>
    <row r="18">
      <c r="A18" s="11">
        <v>44333</v>
      </c>
      <c r="B18" s="14">
        <v>60</v>
      </c>
      <c r="C18" s="14">
        <v>40</v>
      </c>
      <c r="D18" s="14">
        <f>121+58</f>
        <v>179</v>
      </c>
      <c r="E18" s="14"/>
      <c r="F18" s="14"/>
      <c r="G18" s="14"/>
      <c r="H18" s="14"/>
      <c r="I18" s="14"/>
      <c r="J18" s="14"/>
      <c r="K18" s="14"/>
      <c r="L18" s="14">
        <v>3064.9699999999998</v>
      </c>
      <c r="M18" s="14"/>
      <c r="N18" s="14"/>
      <c r="O18" s="14"/>
      <c r="P18" s="14"/>
      <c r="Q18" s="14"/>
      <c r="R18" s="14"/>
      <c r="S18" s="46"/>
      <c r="T18" s="8"/>
      <c r="U18" s="14"/>
      <c r="V18" s="14"/>
      <c r="W18" s="14"/>
      <c r="X18" s="14"/>
      <c r="Y18" s="14"/>
      <c r="Z18" s="14"/>
      <c r="AA18" s="14"/>
      <c r="AB18" s="14"/>
      <c r="AC18" s="14"/>
      <c r="AD18" s="14"/>
      <c r="AE18" s="14"/>
      <c r="AF18" s="14"/>
      <c r="AG18" s="14"/>
      <c r="AH18" s="14"/>
      <c r="AI18" s="14"/>
      <c r="AJ18" s="14"/>
      <c r="AK18" s="14"/>
      <c r="AL18" s="14"/>
      <c r="AM18" s="52"/>
    </row>
    <row r="19">
      <c r="A19" s="11">
        <v>44334</v>
      </c>
      <c r="B19" s="5">
        <v>60</v>
      </c>
      <c r="C19" s="5"/>
      <c r="D19" s="5">
        <v>124</v>
      </c>
      <c r="E19" s="5"/>
      <c r="F19" s="5"/>
      <c r="G19" s="5"/>
      <c r="H19" s="5"/>
      <c r="I19" s="5"/>
      <c r="J19" s="5"/>
      <c r="K19" s="5"/>
      <c r="L19" s="5"/>
      <c r="M19" s="5"/>
      <c r="N19" s="5">
        <v>100</v>
      </c>
      <c r="O19" s="5"/>
      <c r="P19" s="5"/>
      <c r="Q19" s="5"/>
      <c r="R19" s="5"/>
      <c r="S19" s="41"/>
      <c r="T19" s="8"/>
      <c r="U19" s="5"/>
      <c r="V19" s="5"/>
      <c r="W19" s="5"/>
      <c r="X19" s="5"/>
      <c r="Y19" s="5"/>
      <c r="Z19" s="5"/>
      <c r="AA19" s="5"/>
      <c r="AB19" s="5"/>
      <c r="AC19" s="5"/>
      <c r="AD19" s="5"/>
      <c r="AE19" s="5"/>
      <c r="AF19" s="5"/>
      <c r="AG19" s="5"/>
      <c r="AH19" s="5"/>
      <c r="AI19" s="5"/>
      <c r="AJ19" s="5"/>
      <c r="AK19" s="5"/>
      <c r="AL19" s="5"/>
      <c r="AM19" s="52"/>
    </row>
    <row r="20">
      <c r="A20" s="11">
        <v>44335</v>
      </c>
      <c r="B20" s="14">
        <v>30</v>
      </c>
      <c r="C20" s="14"/>
      <c r="D20" s="14">
        <f>138+26</f>
        <v>164</v>
      </c>
      <c r="E20" s="14"/>
      <c r="F20" s="14"/>
      <c r="G20" s="14"/>
      <c r="H20" s="14"/>
      <c r="I20" s="14"/>
      <c r="J20" s="14"/>
      <c r="K20" s="14"/>
      <c r="L20" s="14"/>
      <c r="M20" s="14"/>
      <c r="N20" s="14"/>
      <c r="O20" s="14"/>
      <c r="P20" s="34"/>
      <c r="Q20" s="14"/>
      <c r="R20" s="14"/>
      <c r="S20" s="46"/>
      <c r="T20" s="8"/>
      <c r="U20" s="14"/>
      <c r="V20" s="14"/>
      <c r="W20" s="14"/>
      <c r="X20" s="14"/>
      <c r="Y20" s="14"/>
      <c r="Z20" s="14"/>
      <c r="AA20" s="14"/>
      <c r="AB20" s="14"/>
      <c r="AC20" s="14"/>
      <c r="AD20" s="14"/>
      <c r="AE20" s="14"/>
      <c r="AF20" s="14"/>
      <c r="AG20" s="14"/>
      <c r="AH20" s="14"/>
      <c r="AI20" s="34"/>
      <c r="AJ20" s="14"/>
      <c r="AK20" s="14"/>
      <c r="AL20" s="14"/>
      <c r="AM20" s="52"/>
    </row>
    <row r="21">
      <c r="A21" s="11">
        <v>44336</v>
      </c>
      <c r="B21" s="35"/>
      <c r="C21" s="5"/>
      <c r="D21" s="5">
        <v>120</v>
      </c>
      <c r="E21" s="5"/>
      <c r="F21" s="5"/>
      <c r="G21" s="5"/>
      <c r="H21" s="5"/>
      <c r="I21" s="5"/>
      <c r="J21" s="5"/>
      <c r="K21" s="5"/>
      <c r="L21" s="5"/>
      <c r="M21" s="5"/>
      <c r="N21" s="5"/>
      <c r="O21" s="5"/>
      <c r="P21" s="5"/>
      <c r="Q21" s="5"/>
      <c r="R21" s="5"/>
      <c r="S21" s="41"/>
      <c r="T21" s="8"/>
      <c r="U21" s="35"/>
      <c r="V21" s="5"/>
      <c r="W21" s="5"/>
      <c r="X21" s="5"/>
      <c r="Y21" s="5"/>
      <c r="Z21" s="5"/>
      <c r="AA21" s="5"/>
      <c r="AB21" s="5"/>
      <c r="AC21" s="5"/>
      <c r="AD21" s="5"/>
      <c r="AE21" s="5"/>
      <c r="AF21" s="5"/>
      <c r="AG21" s="5"/>
      <c r="AH21" s="5"/>
      <c r="AI21" s="5"/>
      <c r="AJ21" s="5"/>
      <c r="AK21" s="5"/>
      <c r="AL21" s="5"/>
      <c r="AM21" s="52"/>
    </row>
    <row r="22">
      <c r="A22" s="11">
        <v>44337</v>
      </c>
      <c r="B22" s="53"/>
      <c r="C22" s="63">
        <f>297.95</f>
        <v>297.94999999999999</v>
      </c>
      <c r="D22" s="64">
        <f>120+87</f>
        <v>207</v>
      </c>
      <c r="E22" s="14"/>
      <c r="F22" s="14"/>
      <c r="G22" s="14"/>
      <c r="H22" s="14"/>
      <c r="I22" s="14"/>
      <c r="J22" s="14"/>
      <c r="K22" s="14"/>
      <c r="L22" s="14"/>
      <c r="M22" s="14"/>
      <c r="N22" s="14"/>
      <c r="O22" s="14"/>
      <c r="P22" s="14"/>
      <c r="Q22" s="14">
        <v>320</v>
      </c>
      <c r="R22" s="14">
        <v>77.969999999999999</v>
      </c>
      <c r="S22" s="46"/>
      <c r="T22" s="8"/>
      <c r="U22" s="14"/>
      <c r="V22" s="36"/>
      <c r="W22" s="36"/>
      <c r="X22" s="14"/>
      <c r="Y22" s="14"/>
      <c r="Z22" s="14"/>
      <c r="AA22" s="14"/>
      <c r="AB22" s="14"/>
      <c r="AC22" s="14"/>
      <c r="AD22" s="14"/>
      <c r="AE22" s="14"/>
      <c r="AF22" s="14"/>
      <c r="AG22" s="14"/>
      <c r="AH22" s="14"/>
      <c r="AI22" s="14"/>
      <c r="AJ22" s="14"/>
      <c r="AK22" s="14"/>
      <c r="AL22" s="14"/>
      <c r="AM22" s="52"/>
    </row>
    <row r="23">
      <c r="A23" s="11">
        <v>44338</v>
      </c>
      <c r="B23" s="41"/>
      <c r="C23" s="5"/>
      <c r="D23" s="5"/>
      <c r="E23" s="42"/>
      <c r="F23" s="5"/>
      <c r="G23" s="5"/>
      <c r="H23" s="5"/>
      <c r="I23" s="5"/>
      <c r="J23" s="5"/>
      <c r="K23" s="5"/>
      <c r="L23" s="5"/>
      <c r="M23" s="5"/>
      <c r="N23" s="5"/>
      <c r="O23" s="5"/>
      <c r="P23" s="5"/>
      <c r="Q23" s="5"/>
      <c r="R23" s="5"/>
      <c r="S23" s="41"/>
      <c r="T23" s="8"/>
      <c r="U23" s="5"/>
      <c r="X23" s="5"/>
      <c r="Y23" s="5"/>
      <c r="Z23" s="5"/>
      <c r="AA23" s="5"/>
      <c r="AB23" s="5"/>
      <c r="AC23" s="5"/>
      <c r="AD23" s="5"/>
      <c r="AE23" s="5"/>
      <c r="AF23" s="5"/>
      <c r="AG23" s="5"/>
      <c r="AH23" s="5"/>
      <c r="AI23" s="5"/>
      <c r="AJ23" s="5"/>
      <c r="AK23" s="5"/>
      <c r="AL23" s="5"/>
      <c r="AM23" s="52"/>
    </row>
    <row r="24">
      <c r="A24" s="11">
        <v>44339</v>
      </c>
      <c r="B24" s="14"/>
      <c r="C24" s="18"/>
      <c r="D24" s="18"/>
      <c r="E24" s="14">
        <f>295+620</f>
        <v>915</v>
      </c>
      <c r="F24" s="14"/>
      <c r="G24" s="14"/>
      <c r="H24" s="14"/>
      <c r="I24" s="14"/>
      <c r="J24" s="14">
        <v>130</v>
      </c>
      <c r="K24" s="14"/>
      <c r="L24" s="14"/>
      <c r="M24" s="14"/>
      <c r="N24" s="14"/>
      <c r="O24" s="14"/>
      <c r="P24" s="14"/>
      <c r="Q24" s="14"/>
      <c r="R24" s="14"/>
      <c r="S24" s="46"/>
      <c r="T24" s="8"/>
      <c r="U24" s="14"/>
      <c r="V24" s="14"/>
      <c r="W24" s="14"/>
      <c r="X24" s="14"/>
      <c r="Y24" s="14"/>
      <c r="Z24" s="14"/>
      <c r="AA24" s="14"/>
      <c r="AB24" s="14"/>
      <c r="AC24" s="14"/>
      <c r="AD24" s="14"/>
      <c r="AE24" s="14"/>
      <c r="AF24" s="14"/>
      <c r="AG24" s="14"/>
      <c r="AH24" s="14"/>
      <c r="AI24" s="14"/>
      <c r="AJ24" s="14"/>
      <c r="AK24" s="14"/>
      <c r="AL24" s="14"/>
      <c r="AM24" s="52"/>
    </row>
    <row r="25">
      <c r="A25" s="11">
        <v>44340</v>
      </c>
      <c r="B25" s="54"/>
      <c r="C25" s="5">
        <f>220.46</f>
        <v>220.46000000000001</v>
      </c>
      <c r="D25" s="5"/>
      <c r="E25" s="5"/>
      <c r="F25" s="5"/>
      <c r="G25" s="5"/>
      <c r="H25" s="5"/>
      <c r="I25" s="5"/>
      <c r="J25" s="5"/>
      <c r="K25" s="5"/>
      <c r="L25" s="5"/>
      <c r="M25" s="5"/>
      <c r="N25" s="5"/>
      <c r="O25" s="5"/>
      <c r="P25" s="5"/>
      <c r="Q25" s="5"/>
      <c r="R25" s="5">
        <v>122.94</v>
      </c>
      <c r="S25" s="41"/>
      <c r="T25" s="8"/>
      <c r="V25" s="5"/>
      <c r="W25" s="5"/>
      <c r="X25" s="5"/>
      <c r="Y25" s="5"/>
      <c r="Z25" s="5"/>
      <c r="AA25" s="5"/>
      <c r="AB25" s="5"/>
      <c r="AC25" s="5"/>
      <c r="AD25" s="5"/>
      <c r="AE25" s="5"/>
      <c r="AF25" s="5"/>
      <c r="AG25" s="5"/>
      <c r="AH25" s="5"/>
      <c r="AI25" s="5"/>
      <c r="AJ25" s="5"/>
      <c r="AK25" s="5"/>
      <c r="AL25" s="5"/>
      <c r="AM25" s="52"/>
    </row>
    <row r="26">
      <c r="A26" s="11">
        <v>44341</v>
      </c>
      <c r="B26" s="14"/>
      <c r="C26" s="14">
        <f>111.1+100</f>
        <v>211.09999999999999</v>
      </c>
      <c r="D26" s="14">
        <v>103</v>
      </c>
      <c r="E26" s="14"/>
      <c r="F26" s="14"/>
      <c r="G26" s="14"/>
      <c r="H26" s="14"/>
      <c r="I26" s="14"/>
      <c r="J26" s="14"/>
      <c r="K26" s="14"/>
      <c r="L26" s="14"/>
      <c r="M26" s="14"/>
      <c r="N26" s="14"/>
      <c r="O26" s="14"/>
      <c r="P26" s="14"/>
      <c r="Q26" s="14"/>
      <c r="R26" s="14"/>
      <c r="S26" s="46"/>
      <c r="T26" s="8"/>
      <c r="U26" s="14"/>
      <c r="V26" s="14"/>
      <c r="W26" s="14"/>
      <c r="X26" s="14"/>
      <c r="Y26" s="14"/>
      <c r="Z26" s="14"/>
      <c r="AA26" s="14"/>
      <c r="AB26" s="14"/>
      <c r="AC26" s="14"/>
      <c r="AD26" s="14"/>
      <c r="AE26" s="14"/>
      <c r="AF26" s="14"/>
      <c r="AG26" s="14"/>
      <c r="AH26" s="14"/>
      <c r="AI26" s="14"/>
      <c r="AJ26" s="14"/>
      <c r="AK26" s="14"/>
      <c r="AL26" s="14"/>
      <c r="AM26" s="52"/>
    </row>
    <row r="27">
      <c r="A27" s="11">
        <v>44342</v>
      </c>
      <c r="B27" s="5"/>
      <c r="C27" s="5"/>
      <c r="D27" s="5">
        <f>26+98</f>
        <v>124</v>
      </c>
      <c r="E27" s="5"/>
      <c r="F27" s="5"/>
      <c r="G27" s="5"/>
      <c r="H27" s="5"/>
      <c r="I27" s="5"/>
      <c r="J27" s="5"/>
      <c r="K27" s="5"/>
      <c r="L27" s="5"/>
      <c r="M27" s="5"/>
      <c r="N27" s="5"/>
      <c r="O27" s="5"/>
      <c r="P27" s="5"/>
      <c r="Q27" s="5">
        <v>199</v>
      </c>
      <c r="R27" s="5"/>
      <c r="S27" s="41"/>
      <c r="T27" s="8"/>
      <c r="U27" s="5"/>
      <c r="V27" s="5"/>
      <c r="W27" s="5"/>
      <c r="X27" s="5"/>
      <c r="Y27" s="5"/>
      <c r="Z27" s="5"/>
      <c r="AA27" s="5"/>
      <c r="AB27" s="5"/>
      <c r="AC27" s="5"/>
      <c r="AD27" s="5"/>
      <c r="AE27" s="5"/>
      <c r="AF27" s="5"/>
      <c r="AG27" s="5"/>
      <c r="AH27" s="5"/>
      <c r="AI27" s="5"/>
      <c r="AJ27" s="5"/>
      <c r="AK27" s="5"/>
      <c r="AL27" s="5"/>
      <c r="AM27" s="52"/>
    </row>
    <row r="28">
      <c r="A28" s="11">
        <v>44343</v>
      </c>
      <c r="B28" s="14"/>
      <c r="C28" s="14"/>
      <c r="D28" s="14">
        <f>119+30</f>
        <v>149</v>
      </c>
      <c r="E28" s="14">
        <v>145</v>
      </c>
      <c r="F28" s="14"/>
      <c r="G28" s="14"/>
      <c r="H28" s="14"/>
      <c r="I28" s="14"/>
      <c r="J28" s="14"/>
      <c r="K28" s="14"/>
      <c r="L28" s="14"/>
      <c r="M28" s="14"/>
      <c r="N28" s="14"/>
      <c r="O28" s="14"/>
      <c r="P28" s="14"/>
      <c r="Q28" s="14"/>
      <c r="R28" s="14"/>
      <c r="S28" s="46"/>
      <c r="T28" s="8"/>
      <c r="U28" s="14"/>
      <c r="V28" s="14"/>
      <c r="W28" s="14"/>
      <c r="X28" s="14"/>
      <c r="Y28" s="14"/>
      <c r="Z28" s="14"/>
      <c r="AA28" s="14"/>
      <c r="AB28" s="14"/>
      <c r="AC28" s="14"/>
      <c r="AD28" s="14"/>
      <c r="AE28" s="14"/>
      <c r="AF28" s="14"/>
      <c r="AG28" s="14"/>
      <c r="AH28" s="14"/>
      <c r="AI28" s="14"/>
      <c r="AJ28" s="14"/>
      <c r="AK28" s="14"/>
      <c r="AL28" s="14"/>
      <c r="AM28" s="52"/>
    </row>
    <row r="29">
      <c r="A29" s="11">
        <v>44344</v>
      </c>
      <c r="B29" s="5"/>
      <c r="C29" s="5"/>
      <c r="D29" s="5">
        <f>111+32</f>
        <v>143</v>
      </c>
      <c r="E29" s="5"/>
      <c r="F29" s="5"/>
      <c r="G29" s="5">
        <v>199</v>
      </c>
      <c r="H29" s="5"/>
      <c r="I29" s="5"/>
      <c r="J29" s="5"/>
      <c r="K29" s="5"/>
      <c r="L29" s="5">
        <v>517.98000000000002</v>
      </c>
      <c r="M29" s="5"/>
      <c r="N29" s="5"/>
      <c r="O29" s="5"/>
      <c r="P29" s="5"/>
      <c r="Q29" s="5"/>
      <c r="R29" s="5"/>
      <c r="S29" s="41"/>
      <c r="T29" s="8"/>
      <c r="U29" s="5"/>
      <c r="V29" s="5"/>
      <c r="W29" s="5"/>
      <c r="X29" s="5"/>
      <c r="Y29" s="5"/>
      <c r="Z29" s="5"/>
      <c r="AA29" s="5"/>
      <c r="AB29" s="5"/>
      <c r="AC29" s="5"/>
      <c r="AD29" s="5"/>
      <c r="AE29" s="5"/>
      <c r="AF29" s="5"/>
      <c r="AG29" s="5"/>
      <c r="AH29" s="5"/>
      <c r="AI29" s="5"/>
      <c r="AJ29" s="5"/>
      <c r="AK29" s="5"/>
      <c r="AL29" s="5"/>
      <c r="AM29" s="52"/>
    </row>
    <row r="30">
      <c r="A30" s="11">
        <v>44345</v>
      </c>
      <c r="B30" s="22"/>
      <c r="C30" s="22"/>
      <c r="D30" s="22"/>
      <c r="E30" s="22"/>
      <c r="F30" s="22"/>
      <c r="G30" s="22"/>
      <c r="H30" s="22"/>
      <c r="I30" s="22"/>
      <c r="J30" s="22"/>
      <c r="K30" s="22"/>
      <c r="L30" s="22"/>
      <c r="M30" s="22"/>
      <c r="N30" s="22"/>
      <c r="O30" s="22"/>
      <c r="P30" s="22"/>
      <c r="Q30" s="22"/>
      <c r="R30" s="22"/>
      <c r="S30" s="55"/>
      <c r="T30" s="8"/>
      <c r="U30" s="22"/>
      <c r="V30" s="22"/>
      <c r="W30" s="22"/>
      <c r="X30" s="22"/>
      <c r="Y30" s="22"/>
      <c r="Z30" s="22"/>
      <c r="AA30" s="22"/>
      <c r="AB30" s="22"/>
      <c r="AC30" s="22"/>
      <c r="AD30" s="22"/>
      <c r="AE30" s="22"/>
      <c r="AF30" s="22"/>
      <c r="AG30" s="22"/>
      <c r="AH30" s="22"/>
      <c r="AI30" s="22"/>
      <c r="AJ30" s="22"/>
      <c r="AK30" s="22"/>
      <c r="AL30" s="55"/>
      <c r="AM30" s="52"/>
    </row>
    <row r="31">
      <c r="A31" s="11">
        <v>44346</v>
      </c>
      <c r="B31" s="5"/>
      <c r="C31" s="5">
        <v>1346.3199999999999</v>
      </c>
      <c r="D31" s="5"/>
      <c r="E31" s="5"/>
      <c r="F31" s="5"/>
      <c r="G31" s="5"/>
      <c r="H31" s="5"/>
      <c r="I31" s="5"/>
      <c r="J31" s="5"/>
      <c r="K31" s="5"/>
      <c r="L31" s="5"/>
      <c r="M31" s="5"/>
      <c r="N31" s="5"/>
      <c r="O31" s="5"/>
      <c r="P31" s="5"/>
      <c r="Q31" s="5"/>
      <c r="R31" s="5"/>
      <c r="S31" s="41"/>
      <c r="T31" s="8"/>
      <c r="U31" s="5"/>
      <c r="V31" s="5"/>
      <c r="W31" s="5"/>
      <c r="X31" s="5"/>
      <c r="Y31" s="5"/>
      <c r="Z31" s="5"/>
      <c r="AA31" s="5"/>
      <c r="AB31" s="5"/>
      <c r="AC31" s="5"/>
      <c r="AD31" s="5"/>
      <c r="AE31" s="5"/>
      <c r="AF31" s="5"/>
      <c r="AG31" s="5"/>
      <c r="AH31" s="5"/>
      <c r="AI31" s="5"/>
      <c r="AJ31" s="5"/>
      <c r="AK31" s="5"/>
      <c r="AL31" s="41"/>
      <c r="AM31" s="52"/>
    </row>
    <row r="32">
      <c r="A32" s="11">
        <v>44347</v>
      </c>
      <c r="B32" s="22"/>
      <c r="C32" s="22">
        <v>649.20000000000005</v>
      </c>
      <c r="D32" s="22">
        <v>138</v>
      </c>
      <c r="E32" s="22"/>
      <c r="F32" s="22"/>
      <c r="G32" s="22"/>
      <c r="H32" s="22"/>
      <c r="I32" s="22"/>
      <c r="J32" s="22"/>
      <c r="K32" s="22"/>
      <c r="L32" s="22"/>
      <c r="M32" s="22"/>
      <c r="N32" s="22"/>
      <c r="O32" s="22"/>
      <c r="P32" s="22"/>
      <c r="Q32" s="22"/>
      <c r="R32" s="22"/>
      <c r="S32" s="55"/>
      <c r="T32" s="8"/>
      <c r="U32" s="22"/>
      <c r="V32" s="22"/>
      <c r="W32" s="22"/>
      <c r="X32" s="22"/>
      <c r="Y32" s="22"/>
      <c r="Z32" s="22"/>
      <c r="AA32" s="22"/>
      <c r="AB32" s="22"/>
      <c r="AC32" s="22"/>
      <c r="AD32" s="22"/>
      <c r="AE32" s="22"/>
      <c r="AF32" s="22"/>
      <c r="AG32" s="22"/>
      <c r="AH32" s="22"/>
      <c r="AI32" s="22"/>
      <c r="AJ32" s="22"/>
      <c r="AK32" s="22"/>
      <c r="AL32" s="55"/>
      <c r="AM32" s="52"/>
    </row>
    <row r="33">
      <c r="A33" s="7"/>
      <c r="B33" s="7">
        <f>SUM(B2:B32)</f>
        <v>770</v>
      </c>
      <c r="C33" s="7">
        <f t="shared" ref="C33:R33" si="59">SUM(C2:C32)</f>
        <v>5439.3599999999997</v>
      </c>
      <c r="D33" s="7">
        <f t="shared" si="59"/>
        <v>2787.8000000000002</v>
      </c>
      <c r="E33" s="7">
        <f t="shared" si="59"/>
        <v>3910</v>
      </c>
      <c r="F33" s="7">
        <f t="shared" si="59"/>
        <v>0</v>
      </c>
      <c r="G33" s="7">
        <f t="shared" si="59"/>
        <v>199</v>
      </c>
      <c r="H33" s="7">
        <f t="shared" si="59"/>
        <v>391.31</v>
      </c>
      <c r="I33" s="7">
        <f t="shared" si="59"/>
        <v>0</v>
      </c>
      <c r="J33" s="7">
        <f t="shared" si="59"/>
        <v>2971</v>
      </c>
      <c r="K33" s="7">
        <f t="shared" si="59"/>
        <v>0</v>
      </c>
      <c r="L33" s="7">
        <f t="shared" si="59"/>
        <v>3582.9499999999998</v>
      </c>
      <c r="M33" s="7">
        <f t="shared" si="59"/>
        <v>5332.8800000000001</v>
      </c>
      <c r="N33" s="7">
        <f t="shared" si="59"/>
        <v>400</v>
      </c>
      <c r="O33" s="7">
        <f t="shared" si="59"/>
        <v>0</v>
      </c>
      <c r="P33" s="7">
        <f t="shared" si="59"/>
        <v>0</v>
      </c>
      <c r="Q33" s="7">
        <f t="shared" si="59"/>
        <v>519</v>
      </c>
      <c r="R33" s="7">
        <f t="shared" si="59"/>
        <v>649.55999999999995</v>
      </c>
      <c r="S33" s="47">
        <f>SUM(B33:R33)</f>
        <v>26952.860000000004</v>
      </c>
      <c r="T33" s="8"/>
      <c r="U33" s="7">
        <f t="shared" ref="U33:AJ33" si="60">SUM(U2:U29)</f>
        <v>0</v>
      </c>
      <c r="V33" s="7">
        <f t="shared" si="60"/>
        <v>0</v>
      </c>
      <c r="W33" s="7">
        <f t="shared" si="60"/>
        <v>0</v>
      </c>
      <c r="X33" s="7">
        <f t="shared" si="60"/>
        <v>0</v>
      </c>
      <c r="Y33" s="7">
        <f t="shared" si="60"/>
        <v>0</v>
      </c>
      <c r="Z33" s="7">
        <f t="shared" si="60"/>
        <v>0</v>
      </c>
      <c r="AA33" s="7">
        <f t="shared" si="60"/>
        <v>0</v>
      </c>
      <c r="AB33" s="7">
        <f t="shared" si="60"/>
        <v>0</v>
      </c>
      <c r="AC33" s="7">
        <f t="shared" si="60"/>
        <v>0</v>
      </c>
      <c r="AD33" s="7">
        <f t="shared" si="60"/>
        <v>0</v>
      </c>
      <c r="AE33" s="7">
        <f t="shared" si="60"/>
        <v>0</v>
      </c>
      <c r="AF33" s="7">
        <f t="shared" si="60"/>
        <v>0</v>
      </c>
      <c r="AG33" s="7">
        <f t="shared" si="60"/>
        <v>0</v>
      </c>
      <c r="AH33" s="7">
        <f t="shared" si="60"/>
        <v>0</v>
      </c>
      <c r="AI33" s="7">
        <f t="shared" si="60"/>
        <v>0</v>
      </c>
      <c r="AJ33" s="7">
        <f t="shared" si="60"/>
        <v>0</v>
      </c>
      <c r="AK33" s="7" t="s">
        <v>14</v>
      </c>
      <c r="AL33" s="47">
        <f>SUM(U33:AJ33)</f>
        <v>0</v>
      </c>
      <c r="AM33" s="52"/>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56"/>
      <c r="AE34" s="56"/>
      <c r="AF34" s="56"/>
      <c r="AG34" s="56"/>
      <c r="AH34" s="56"/>
      <c r="AI34" s="56"/>
      <c r="AJ34" s="56"/>
      <c r="AK34" s="56"/>
      <c r="AL34" s="56"/>
      <c r="AM34" s="52"/>
    </row>
    <row r="35">
      <c r="A35" s="10" t="s">
        <v>0</v>
      </c>
      <c r="B35" s="10" t="s">
        <v>50</v>
      </c>
      <c r="C35" s="10" t="s">
        <v>13</v>
      </c>
      <c r="D35" s="10" t="s">
        <v>11</v>
      </c>
      <c r="E35" s="10" t="s">
        <v>51</v>
      </c>
      <c r="F35" s="10" t="s">
        <v>52</v>
      </c>
      <c r="G35" s="10" t="s">
        <v>53</v>
      </c>
      <c r="H35" s="10" t="s">
        <v>54</v>
      </c>
      <c r="I35" s="10" t="s">
        <v>55</v>
      </c>
      <c r="J35" s="65" t="s">
        <v>61</v>
      </c>
      <c r="K35" s="57"/>
      <c r="L35" s="57"/>
      <c r="M35" s="57"/>
      <c r="N35" s="57"/>
      <c r="O35" s="57"/>
      <c r="P35" s="57"/>
      <c r="Q35" s="57"/>
      <c r="R35" s="57"/>
      <c r="S35" s="57"/>
      <c r="T35" s="8"/>
      <c r="U35" s="10" t="s">
        <v>0</v>
      </c>
      <c r="V35" s="10" t="s">
        <v>15</v>
      </c>
      <c r="W35" s="10" t="s">
        <v>64</v>
      </c>
      <c r="X35" s="10" t="s">
        <v>17</v>
      </c>
      <c r="Y35" s="10" t="s">
        <v>18</v>
      </c>
      <c r="Z35" s="10" t="s">
        <v>21</v>
      </c>
      <c r="AA35" s="10" t="s">
        <v>26</v>
      </c>
      <c r="AB35" s="10" t="s">
        <v>27</v>
      </c>
      <c r="AC35" s="1"/>
      <c r="AD35" s="5"/>
      <c r="AE35" s="5"/>
      <c r="AF35" s="5"/>
      <c r="AG35" s="5"/>
      <c r="AH35" s="5"/>
      <c r="AI35" s="5"/>
      <c r="AJ35" s="5"/>
      <c r="AK35" s="5"/>
      <c r="AL35" s="5"/>
      <c r="AM35" s="52"/>
    </row>
    <row r="36">
      <c r="A36" s="11">
        <v>44317</v>
      </c>
      <c r="B36" s="14"/>
      <c r="C36" s="14"/>
      <c r="D36" s="14"/>
      <c r="E36" s="14"/>
      <c r="F36" s="14">
        <v>-52999</v>
      </c>
      <c r="G36" s="14"/>
      <c r="H36" s="14"/>
      <c r="I36" s="14"/>
      <c r="J36" s="5"/>
      <c r="K36" s="5"/>
      <c r="L36" s="5"/>
      <c r="M36" s="5"/>
      <c r="N36" s="6"/>
      <c r="O36" s="6"/>
      <c r="P36" s="5"/>
      <c r="Q36" s="5"/>
      <c r="R36" s="5"/>
      <c r="S36" s="5"/>
      <c r="T36" s="8"/>
      <c r="U36" s="11">
        <v>44317</v>
      </c>
      <c r="V36" s="14"/>
      <c r="W36" s="14"/>
      <c r="X36" s="14"/>
      <c r="Y36" s="14"/>
      <c r="Z36" s="14"/>
      <c r="AA36" s="14"/>
      <c r="AB36" s="14"/>
      <c r="AC36" s="14"/>
      <c r="AD36" s="5"/>
      <c r="AE36" s="5"/>
      <c r="AF36" s="5"/>
      <c r="AG36" s="5"/>
      <c r="AH36" s="5"/>
      <c r="AI36" s="5"/>
      <c r="AJ36" s="5"/>
      <c r="AK36" s="5"/>
      <c r="AL36" s="5"/>
      <c r="AM36" s="52"/>
    </row>
    <row r="37">
      <c r="A37" s="11">
        <v>44318</v>
      </c>
      <c r="B37" s="5"/>
      <c r="C37" s="5"/>
      <c r="D37" s="5"/>
      <c r="E37" s="5"/>
      <c r="F37" s="5"/>
      <c r="G37" s="5"/>
      <c r="H37" s="5">
        <v>300</v>
      </c>
      <c r="I37" s="5"/>
      <c r="J37" s="5"/>
      <c r="K37" s="5"/>
      <c r="L37" s="5"/>
      <c r="M37" s="5"/>
      <c r="N37" s="5"/>
      <c r="O37" s="5"/>
      <c r="P37" s="5"/>
      <c r="Q37" s="5"/>
      <c r="R37" s="5"/>
      <c r="S37" s="5"/>
      <c r="T37" s="8"/>
      <c r="U37" s="11">
        <v>44318</v>
      </c>
      <c r="V37" s="5"/>
      <c r="W37" s="5"/>
      <c r="X37" s="5"/>
      <c r="Y37" s="5"/>
      <c r="Z37" s="5"/>
      <c r="AA37" s="5"/>
      <c r="AB37" s="5"/>
      <c r="AC37" s="5"/>
      <c r="AD37" s="5"/>
      <c r="AE37" s="5"/>
      <c r="AF37" s="5"/>
      <c r="AG37" s="5"/>
      <c r="AH37" s="5"/>
      <c r="AI37" s="5"/>
      <c r="AJ37" s="5"/>
      <c r="AK37" s="5"/>
      <c r="AL37" s="5"/>
      <c r="AM37" s="52"/>
    </row>
    <row r="38">
      <c r="A38" s="11">
        <v>44319</v>
      </c>
      <c r="B38" s="14"/>
      <c r="C38" s="14"/>
      <c r="D38" s="14"/>
      <c r="E38" s="14"/>
      <c r="F38" s="14"/>
      <c r="G38" s="14"/>
      <c r="H38" s="14"/>
      <c r="I38" s="14"/>
      <c r="J38" s="5"/>
      <c r="K38" s="5"/>
      <c r="L38" s="5"/>
      <c r="M38" s="5"/>
      <c r="N38" s="5"/>
      <c r="O38" s="5"/>
      <c r="P38" s="5"/>
      <c r="Q38" s="5"/>
      <c r="R38" s="5"/>
      <c r="S38" s="5"/>
      <c r="T38" s="8"/>
      <c r="U38" s="11">
        <v>44319</v>
      </c>
      <c r="V38" s="14"/>
      <c r="W38" s="14"/>
      <c r="X38" s="14"/>
      <c r="Y38" s="14"/>
      <c r="Z38" s="14"/>
      <c r="AA38" s="14"/>
      <c r="AB38" s="14"/>
      <c r="AC38" s="14"/>
      <c r="AD38" s="5"/>
      <c r="AE38" s="5"/>
      <c r="AF38" s="5"/>
      <c r="AG38" s="5"/>
      <c r="AH38" s="5"/>
      <c r="AI38" s="5"/>
      <c r="AJ38" s="5"/>
      <c r="AK38" s="5"/>
      <c r="AL38" s="5"/>
      <c r="AM38" s="52"/>
    </row>
    <row r="39">
      <c r="A39" s="11">
        <v>44320</v>
      </c>
      <c r="B39" s="5"/>
      <c r="C39" s="5"/>
      <c r="D39" s="5"/>
      <c r="E39" s="58">
        <v>58.630000000000003</v>
      </c>
      <c r="F39" s="5"/>
      <c r="G39" s="5"/>
      <c r="H39" s="5"/>
      <c r="I39" s="5">
        <v>728</v>
      </c>
      <c r="J39" s="5"/>
      <c r="K39" s="5"/>
      <c r="L39" s="5"/>
      <c r="M39" s="5"/>
      <c r="N39" s="5"/>
      <c r="O39" s="5"/>
      <c r="P39" s="5"/>
      <c r="Q39" s="5"/>
      <c r="R39" s="5"/>
      <c r="S39" s="5"/>
      <c r="T39" s="8"/>
      <c r="U39" s="11">
        <v>44320</v>
      </c>
      <c r="V39" s="5"/>
      <c r="W39" s="5"/>
      <c r="X39" s="5"/>
      <c r="Y39" s="5"/>
      <c r="Z39" s="5"/>
      <c r="AA39" s="5"/>
      <c r="AB39" s="5"/>
      <c r="AC39" s="5"/>
      <c r="AD39" s="5"/>
      <c r="AE39" s="5"/>
      <c r="AF39" s="5"/>
      <c r="AG39" s="5"/>
      <c r="AH39" s="5"/>
      <c r="AI39" s="5"/>
      <c r="AJ39" s="5"/>
      <c r="AK39" s="5"/>
      <c r="AL39" s="5"/>
      <c r="AM39" s="52"/>
    </row>
    <row r="40">
      <c r="A40" s="11">
        <v>44321</v>
      </c>
      <c r="B40" s="14"/>
      <c r="C40" s="14"/>
      <c r="D40" s="14"/>
      <c r="E40" s="14"/>
      <c r="F40" s="14">
        <v>60000</v>
      </c>
      <c r="G40" s="14"/>
      <c r="H40" s="14"/>
      <c r="I40" s="14"/>
      <c r="J40" s="5"/>
      <c r="K40" s="5"/>
      <c r="L40" s="5"/>
      <c r="M40" s="5"/>
      <c r="N40" s="5"/>
      <c r="O40" s="5"/>
      <c r="P40" s="5"/>
      <c r="Q40" s="5"/>
      <c r="R40" s="5"/>
      <c r="S40" s="5"/>
      <c r="T40" s="8"/>
      <c r="U40" s="11">
        <v>44321</v>
      </c>
      <c r="V40" s="14"/>
      <c r="W40" s="14"/>
      <c r="X40" s="14"/>
      <c r="Y40" s="14"/>
      <c r="Z40" s="14"/>
      <c r="AA40" s="14"/>
      <c r="AB40" s="14"/>
      <c r="AC40" s="14"/>
      <c r="AD40" s="5"/>
      <c r="AE40" s="5"/>
      <c r="AF40" s="5"/>
      <c r="AG40" s="5"/>
      <c r="AH40" s="5"/>
      <c r="AI40" s="5"/>
      <c r="AJ40" s="5"/>
      <c r="AK40" s="5"/>
      <c r="AL40" s="5"/>
      <c r="AM40" s="52"/>
    </row>
    <row r="41">
      <c r="A41" s="11">
        <v>44322</v>
      </c>
      <c r="B41" s="5"/>
      <c r="C41" s="5"/>
      <c r="D41" s="5"/>
      <c r="E41" s="5"/>
      <c r="F41" s="5"/>
      <c r="G41" s="5"/>
      <c r="H41" s="5"/>
      <c r="I41" s="5"/>
      <c r="J41" s="5"/>
      <c r="K41" s="5"/>
      <c r="L41" s="5"/>
      <c r="M41" s="5"/>
      <c r="N41" s="5"/>
      <c r="O41" s="5"/>
      <c r="P41" s="5"/>
      <c r="Q41" s="5"/>
      <c r="R41" s="5"/>
      <c r="S41" s="5"/>
      <c r="T41" s="8"/>
      <c r="U41" s="11">
        <v>44322</v>
      </c>
      <c r="V41" s="5"/>
      <c r="W41" s="5"/>
      <c r="X41" s="5"/>
      <c r="Y41" s="5"/>
      <c r="Z41" s="5"/>
      <c r="AA41" s="5"/>
      <c r="AB41" s="5"/>
      <c r="AC41" s="5"/>
      <c r="AD41" s="5"/>
      <c r="AE41" s="5"/>
      <c r="AF41" s="5"/>
      <c r="AG41" s="5"/>
      <c r="AH41" s="5"/>
      <c r="AI41" s="5"/>
      <c r="AJ41" s="5"/>
      <c r="AK41" s="5"/>
      <c r="AL41" s="5"/>
      <c r="AM41" s="52"/>
    </row>
    <row r="42">
      <c r="A42" s="11">
        <v>44323</v>
      </c>
      <c r="B42" s="14">
        <v>30223.639999999999</v>
      </c>
      <c r="C42" s="14"/>
      <c r="D42" s="14"/>
      <c r="E42" s="14"/>
      <c r="F42" s="14"/>
      <c r="G42" s="14"/>
      <c r="H42" s="14"/>
      <c r="I42" s="14"/>
      <c r="J42" s="5"/>
      <c r="K42" s="5"/>
      <c r="L42" s="5"/>
      <c r="M42" s="5"/>
      <c r="N42" s="5"/>
      <c r="O42" s="5"/>
      <c r="P42" s="5"/>
      <c r="Q42" s="5"/>
      <c r="R42" s="5"/>
      <c r="S42" s="5"/>
      <c r="T42" s="8"/>
      <c r="U42" s="11">
        <v>44323</v>
      </c>
      <c r="V42" s="14"/>
      <c r="W42" s="14"/>
      <c r="X42" s="14"/>
      <c r="Y42" s="14"/>
      <c r="Z42" s="14"/>
      <c r="AA42" s="14"/>
      <c r="AB42" s="14"/>
      <c r="AC42" s="14"/>
      <c r="AD42" s="5"/>
      <c r="AE42" s="5"/>
      <c r="AF42" s="5"/>
      <c r="AG42" s="5"/>
      <c r="AH42" s="5"/>
      <c r="AI42" s="5"/>
      <c r="AJ42" s="5"/>
      <c r="AK42" s="5"/>
      <c r="AL42" s="5"/>
      <c r="AM42" s="52"/>
    </row>
    <row r="43">
      <c r="A43" s="11">
        <v>44324</v>
      </c>
      <c r="B43" s="5"/>
      <c r="C43" s="5"/>
      <c r="D43" s="5"/>
      <c r="E43" s="5"/>
      <c r="F43" s="5"/>
      <c r="G43" s="5"/>
      <c r="H43" s="5"/>
      <c r="I43" s="5"/>
      <c r="J43" s="5"/>
      <c r="K43" s="5"/>
      <c r="L43" s="5"/>
      <c r="M43" s="5"/>
      <c r="N43" s="5"/>
      <c r="O43" s="5"/>
      <c r="P43" s="5"/>
      <c r="Q43" s="5"/>
      <c r="R43" s="5"/>
      <c r="S43" s="5"/>
      <c r="T43" s="8"/>
      <c r="U43" s="11">
        <v>44324</v>
      </c>
      <c r="V43" s="5"/>
      <c r="W43" s="5"/>
      <c r="X43" s="5"/>
      <c r="Y43" s="5"/>
      <c r="Z43" s="5"/>
      <c r="AA43" s="5"/>
      <c r="AB43" s="5"/>
      <c r="AC43" s="5"/>
      <c r="AD43" s="5"/>
      <c r="AE43" s="5"/>
      <c r="AF43" s="5"/>
      <c r="AG43" s="5"/>
      <c r="AH43" s="5"/>
      <c r="AI43" s="5"/>
      <c r="AJ43" s="5"/>
      <c r="AK43" s="5"/>
      <c r="AL43" s="5"/>
      <c r="AM43" s="52"/>
    </row>
    <row r="44">
      <c r="A44" s="11">
        <v>44325</v>
      </c>
      <c r="B44" s="59"/>
      <c r="C44" s="14"/>
      <c r="D44" s="14"/>
      <c r="E44" s="14"/>
      <c r="F44" s="14"/>
      <c r="G44" s="14"/>
      <c r="H44" s="14"/>
      <c r="I44" s="14"/>
      <c r="J44" s="5"/>
      <c r="K44" s="5"/>
      <c r="L44" s="5"/>
      <c r="M44" s="5"/>
      <c r="N44" s="5"/>
      <c r="O44" s="5"/>
      <c r="P44" s="5"/>
      <c r="Q44" s="5"/>
      <c r="R44" s="5"/>
      <c r="S44" s="5"/>
      <c r="T44" s="8"/>
      <c r="U44" s="11">
        <v>44325</v>
      </c>
      <c r="V44" s="38"/>
      <c r="W44" s="14"/>
      <c r="X44" s="14"/>
      <c r="Y44" s="14"/>
      <c r="Z44" s="14"/>
      <c r="AA44" s="14"/>
      <c r="AB44" s="14"/>
      <c r="AC44" s="14"/>
      <c r="AD44" s="5"/>
      <c r="AE44" s="5"/>
      <c r="AF44" s="5"/>
      <c r="AG44" s="5"/>
      <c r="AH44" s="5"/>
      <c r="AI44" s="5"/>
      <c r="AJ44" s="5"/>
      <c r="AK44" s="5"/>
      <c r="AL44" s="5"/>
      <c r="AM44" s="52"/>
    </row>
    <row r="45">
      <c r="A45" s="11">
        <v>44326</v>
      </c>
      <c r="B45" s="5"/>
      <c r="C45" s="5"/>
      <c r="D45" s="5"/>
      <c r="E45" s="5"/>
      <c r="F45" s="5"/>
      <c r="G45" s="5"/>
      <c r="H45" s="5"/>
      <c r="I45" s="5"/>
      <c r="J45" s="5"/>
      <c r="K45" s="5"/>
      <c r="L45" s="5"/>
      <c r="M45" s="5"/>
      <c r="N45" s="5"/>
      <c r="O45" s="5"/>
      <c r="P45" s="5"/>
      <c r="Q45" s="5"/>
      <c r="R45" s="5"/>
      <c r="S45" s="5"/>
      <c r="T45" s="8"/>
      <c r="U45" s="11">
        <v>44326</v>
      </c>
      <c r="V45" s="5"/>
      <c r="W45" s="5"/>
      <c r="X45" s="5"/>
      <c r="Y45" s="5"/>
      <c r="Z45" s="5"/>
      <c r="AA45" s="5"/>
      <c r="AB45" s="5"/>
      <c r="AC45" s="5"/>
      <c r="AD45" s="5"/>
      <c r="AE45" s="5"/>
      <c r="AF45" s="5"/>
      <c r="AG45" s="5"/>
      <c r="AH45" s="5"/>
      <c r="AI45" s="5"/>
      <c r="AJ45" s="5"/>
      <c r="AK45" s="5"/>
      <c r="AL45" s="5"/>
      <c r="AM45" s="52"/>
    </row>
    <row r="46">
      <c r="A46" s="11">
        <v>44327</v>
      </c>
      <c r="B46" s="14"/>
      <c r="C46" s="14"/>
      <c r="D46" s="14"/>
      <c r="E46" s="14"/>
      <c r="F46" s="14"/>
      <c r="G46" s="14"/>
      <c r="H46" s="14"/>
      <c r="I46" s="14"/>
      <c r="J46" s="5"/>
      <c r="K46" s="5"/>
      <c r="L46" s="5"/>
      <c r="M46" s="5"/>
      <c r="N46" s="5"/>
      <c r="O46" s="5"/>
      <c r="P46" s="5"/>
      <c r="Q46" s="5"/>
      <c r="R46" s="5"/>
      <c r="S46" s="5"/>
      <c r="T46" s="8"/>
      <c r="U46" s="11">
        <v>44327</v>
      </c>
      <c r="V46" s="14">
        <v>18982.200000000001</v>
      </c>
      <c r="W46" s="14"/>
      <c r="X46" s="14"/>
      <c r="Y46" s="14"/>
      <c r="Z46" s="14"/>
      <c r="AA46" s="14"/>
      <c r="AB46" s="14"/>
      <c r="AC46" s="14"/>
      <c r="AD46" s="5"/>
      <c r="AE46" s="5"/>
      <c r="AF46" s="5"/>
      <c r="AG46" s="5"/>
      <c r="AH46" s="5"/>
      <c r="AI46" s="5"/>
      <c r="AJ46" s="5"/>
      <c r="AK46" s="5"/>
      <c r="AL46" s="5"/>
      <c r="AM46" s="52"/>
    </row>
    <row r="47">
      <c r="A47" s="11">
        <v>44328</v>
      </c>
      <c r="B47" s="5"/>
      <c r="C47" s="5"/>
      <c r="D47" s="5"/>
      <c r="E47" s="5"/>
      <c r="F47" s="5"/>
      <c r="G47" s="5"/>
      <c r="H47" s="5"/>
      <c r="I47" s="5"/>
      <c r="J47" s="5"/>
      <c r="K47" s="5"/>
      <c r="L47" s="5"/>
      <c r="M47" s="5"/>
      <c r="N47" s="5"/>
      <c r="O47" s="5"/>
      <c r="P47" s="5"/>
      <c r="Q47" s="5"/>
      <c r="R47" s="5"/>
      <c r="S47" s="5"/>
      <c r="T47" s="8"/>
      <c r="U47" s="11">
        <v>44328</v>
      </c>
      <c r="V47" s="5"/>
      <c r="W47" s="5"/>
      <c r="X47" s="5"/>
      <c r="Y47" s="5"/>
      <c r="Z47" s="5"/>
      <c r="AA47" s="5"/>
      <c r="AB47" s="5"/>
      <c r="AC47" s="5"/>
      <c r="AD47" s="5"/>
      <c r="AE47" s="5"/>
      <c r="AF47" s="5"/>
      <c r="AG47" s="5"/>
      <c r="AH47" s="5"/>
      <c r="AI47" s="5"/>
      <c r="AJ47" s="5"/>
      <c r="AK47" s="5"/>
      <c r="AL47" s="5"/>
      <c r="AM47" s="52"/>
    </row>
    <row r="48">
      <c r="A48" s="11">
        <v>44329</v>
      </c>
      <c r="B48" s="14"/>
      <c r="C48" s="14"/>
      <c r="D48" s="14"/>
      <c r="E48" s="14"/>
      <c r="F48" s="14"/>
      <c r="G48" s="14"/>
      <c r="H48" s="14"/>
      <c r="I48" s="14"/>
      <c r="J48" s="5"/>
      <c r="K48" s="5"/>
      <c r="L48" s="5"/>
      <c r="M48" s="5"/>
      <c r="N48" s="5"/>
      <c r="O48" s="5"/>
      <c r="P48" s="5"/>
      <c r="Q48" s="5"/>
      <c r="R48" s="5"/>
      <c r="S48" s="5"/>
      <c r="T48" s="8"/>
      <c r="U48" s="11">
        <v>44329</v>
      </c>
      <c r="V48" s="14"/>
      <c r="W48" s="14"/>
      <c r="X48" s="14"/>
      <c r="Y48" s="14"/>
      <c r="Z48" s="14"/>
      <c r="AA48" s="14"/>
      <c r="AB48" s="14"/>
      <c r="AC48" s="14"/>
      <c r="AD48" s="5"/>
      <c r="AE48" s="5"/>
      <c r="AF48" s="5"/>
      <c r="AG48" s="5"/>
      <c r="AH48" s="5"/>
      <c r="AI48" s="5"/>
      <c r="AJ48" s="5"/>
      <c r="AK48" s="5"/>
      <c r="AL48" s="5"/>
      <c r="AM48" s="52"/>
    </row>
    <row r="49">
      <c r="A49" s="11">
        <v>44330</v>
      </c>
      <c r="B49" s="5"/>
      <c r="C49" s="5"/>
      <c r="D49" s="5"/>
      <c r="E49" s="5"/>
      <c r="F49" s="5"/>
      <c r="G49" s="5"/>
      <c r="H49" s="5"/>
      <c r="I49" s="5"/>
      <c r="J49" s="5"/>
      <c r="K49" s="5"/>
      <c r="L49" s="5"/>
      <c r="M49" s="5"/>
      <c r="N49" s="5"/>
      <c r="O49" s="5"/>
      <c r="P49" s="5"/>
      <c r="Q49" s="5"/>
      <c r="R49" s="5"/>
      <c r="S49" s="5"/>
      <c r="T49" s="8"/>
      <c r="U49" s="11">
        <v>44330</v>
      </c>
      <c r="V49" s="5"/>
      <c r="W49" s="5"/>
      <c r="X49" s="5"/>
      <c r="Y49" s="5"/>
      <c r="Z49" s="5"/>
      <c r="AA49" s="5"/>
      <c r="AB49" s="5"/>
      <c r="AC49" s="5"/>
      <c r="AD49" s="5"/>
      <c r="AE49" s="5"/>
      <c r="AF49" s="5"/>
      <c r="AG49" s="5"/>
      <c r="AH49" s="5"/>
      <c r="AI49" s="5"/>
      <c r="AJ49" s="5"/>
      <c r="AK49" s="5"/>
      <c r="AL49" s="5"/>
      <c r="AM49" s="52"/>
    </row>
    <row r="50">
      <c r="A50" s="11">
        <v>44331</v>
      </c>
      <c r="B50" s="14"/>
      <c r="C50" s="14"/>
      <c r="D50" s="14"/>
      <c r="E50" s="14"/>
      <c r="F50" s="14"/>
      <c r="G50" s="14"/>
      <c r="H50" s="14"/>
      <c r="I50" s="14"/>
      <c r="J50" s="5"/>
      <c r="K50" s="5"/>
      <c r="L50" s="5"/>
      <c r="M50" s="5"/>
      <c r="N50" s="5"/>
      <c r="O50" s="5"/>
      <c r="P50" s="5"/>
      <c r="Q50" s="5"/>
      <c r="R50" s="5"/>
      <c r="S50" s="5"/>
      <c r="T50" s="8"/>
      <c r="U50" s="11">
        <v>44331</v>
      </c>
      <c r="V50" s="14"/>
      <c r="W50" s="14"/>
      <c r="X50" s="14"/>
      <c r="Y50" s="14"/>
      <c r="Z50" s="14"/>
      <c r="AA50" s="14"/>
      <c r="AB50" s="14"/>
      <c r="AC50" s="14"/>
      <c r="AD50" s="5"/>
      <c r="AE50" s="5"/>
      <c r="AF50" s="5"/>
      <c r="AG50" s="5"/>
      <c r="AH50" s="5"/>
      <c r="AI50" s="5"/>
      <c r="AJ50" s="5"/>
      <c r="AK50" s="5"/>
      <c r="AL50" s="5"/>
      <c r="AM50" s="52"/>
    </row>
    <row r="51">
      <c r="A51" s="11">
        <v>44332</v>
      </c>
      <c r="B51" s="5"/>
      <c r="C51" s="5"/>
      <c r="D51" s="5"/>
      <c r="E51" s="5"/>
      <c r="F51" s="5"/>
      <c r="G51" s="5"/>
      <c r="H51" s="5"/>
      <c r="I51" s="5"/>
      <c r="J51" s="5"/>
      <c r="K51" s="5"/>
      <c r="L51" s="5"/>
      <c r="M51" s="5"/>
      <c r="N51" s="5"/>
      <c r="O51" s="5"/>
      <c r="P51" s="5"/>
      <c r="Q51" s="5"/>
      <c r="R51" s="5"/>
      <c r="S51" s="5"/>
      <c r="T51" s="8"/>
      <c r="U51" s="11">
        <v>44332</v>
      </c>
      <c r="V51" s="5"/>
      <c r="W51" s="5"/>
      <c r="X51" s="5"/>
      <c r="Y51" s="5"/>
      <c r="Z51" s="5"/>
      <c r="AA51" s="5"/>
      <c r="AB51" s="5"/>
      <c r="AC51" s="5"/>
      <c r="AD51" s="5"/>
      <c r="AE51" s="5"/>
      <c r="AF51" s="5"/>
      <c r="AG51" s="5"/>
      <c r="AH51" s="5"/>
      <c r="AI51" s="5"/>
      <c r="AJ51" s="5"/>
      <c r="AK51" s="5"/>
      <c r="AL51" s="5"/>
      <c r="AM51" s="52"/>
    </row>
    <row r="52">
      <c r="A52" s="11">
        <v>44333</v>
      </c>
      <c r="B52" s="14"/>
      <c r="C52" s="14"/>
      <c r="D52" s="14"/>
      <c r="E52" s="14"/>
      <c r="F52" s="14"/>
      <c r="G52" s="14"/>
      <c r="H52" s="14"/>
      <c r="I52" s="14"/>
      <c r="J52" s="5"/>
      <c r="K52" s="5"/>
      <c r="L52" s="5"/>
      <c r="M52" s="5"/>
      <c r="N52" s="5"/>
      <c r="O52" s="5"/>
      <c r="P52" s="5"/>
      <c r="Q52" s="5"/>
      <c r="R52" s="5"/>
      <c r="S52" s="5"/>
      <c r="T52" s="8"/>
      <c r="U52" s="11">
        <v>44333</v>
      </c>
      <c r="V52" s="14"/>
      <c r="W52" s="14"/>
      <c r="X52" s="14"/>
      <c r="Y52" s="14"/>
      <c r="Z52" s="14"/>
      <c r="AA52" s="14"/>
      <c r="AB52" s="14"/>
      <c r="AC52" s="14"/>
      <c r="AD52" s="5"/>
      <c r="AE52" s="5"/>
      <c r="AF52" s="5"/>
      <c r="AG52" s="5"/>
      <c r="AH52" s="5"/>
      <c r="AI52" s="5"/>
      <c r="AJ52" s="5"/>
      <c r="AK52" s="5"/>
      <c r="AL52" s="5"/>
      <c r="AM52" s="52"/>
    </row>
    <row r="53">
      <c r="A53" s="11">
        <v>44334</v>
      </c>
      <c r="B53" s="5"/>
      <c r="C53" s="5"/>
      <c r="D53" s="5"/>
      <c r="E53" s="5"/>
      <c r="F53" s="5"/>
      <c r="G53" s="5"/>
      <c r="H53" s="5"/>
      <c r="I53" s="5"/>
      <c r="J53" s="5"/>
      <c r="K53" s="5"/>
      <c r="L53" s="5"/>
      <c r="M53" s="5"/>
      <c r="N53" s="5"/>
      <c r="O53" s="5"/>
      <c r="P53" s="5"/>
      <c r="Q53" s="5"/>
      <c r="R53" s="5"/>
      <c r="S53" s="5"/>
      <c r="T53" s="8"/>
      <c r="U53" s="11">
        <v>44334</v>
      </c>
      <c r="V53" s="5"/>
      <c r="W53" s="5"/>
      <c r="X53" s="5"/>
      <c r="Y53" s="5"/>
      <c r="Z53" s="5"/>
      <c r="AA53" s="5"/>
      <c r="AB53" s="5"/>
      <c r="AC53" s="5"/>
      <c r="AD53" s="5"/>
      <c r="AE53" s="5"/>
      <c r="AF53" s="5"/>
      <c r="AG53" s="5"/>
      <c r="AH53" s="5"/>
      <c r="AI53" s="5"/>
      <c r="AJ53" s="5"/>
      <c r="AK53" s="5"/>
      <c r="AL53" s="5"/>
      <c r="AM53" s="52"/>
    </row>
    <row r="54">
      <c r="A54" s="11">
        <v>44335</v>
      </c>
      <c r="B54" s="14"/>
      <c r="C54" s="14"/>
      <c r="D54" s="14"/>
      <c r="E54" s="14"/>
      <c r="F54" s="14"/>
      <c r="G54" s="14"/>
      <c r="H54" s="14"/>
      <c r="I54" s="14"/>
      <c r="J54" s="5"/>
      <c r="K54" s="5"/>
      <c r="L54" s="5"/>
      <c r="M54" s="5"/>
      <c r="N54" s="5"/>
      <c r="O54" s="5"/>
      <c r="P54" s="5"/>
      <c r="Q54" s="5"/>
      <c r="R54" s="5"/>
      <c r="S54" s="5"/>
      <c r="T54" s="8"/>
      <c r="U54" s="11">
        <v>44335</v>
      </c>
      <c r="V54" s="14"/>
      <c r="W54" s="14"/>
      <c r="X54" s="14"/>
      <c r="Y54" s="14"/>
      <c r="Z54" s="14"/>
      <c r="AA54" s="14"/>
      <c r="AB54" s="14"/>
      <c r="AC54" s="14"/>
      <c r="AD54" s="5"/>
      <c r="AE54" s="5"/>
      <c r="AF54" s="5"/>
      <c r="AG54" s="5"/>
      <c r="AH54" s="5"/>
      <c r="AI54" s="5"/>
      <c r="AJ54" s="5"/>
      <c r="AK54" s="5"/>
      <c r="AL54" s="5"/>
      <c r="AM54" s="52"/>
    </row>
    <row r="55">
      <c r="A55" s="11">
        <v>44336</v>
      </c>
      <c r="B55" s="5"/>
      <c r="C55" s="5"/>
      <c r="D55" s="5"/>
      <c r="E55" s="5"/>
      <c r="F55" s="5"/>
      <c r="G55" s="5"/>
      <c r="H55" s="5"/>
      <c r="I55" s="5"/>
      <c r="J55" s="5"/>
      <c r="K55" s="5"/>
      <c r="L55" s="5"/>
      <c r="M55" s="5"/>
      <c r="N55" s="5"/>
      <c r="O55" s="5"/>
      <c r="P55" s="5"/>
      <c r="Q55" s="5"/>
      <c r="R55" s="5"/>
      <c r="S55" s="5"/>
      <c r="T55" s="8"/>
      <c r="U55" s="11">
        <v>44336</v>
      </c>
      <c r="V55" s="5"/>
      <c r="W55" s="5"/>
      <c r="X55" s="5"/>
      <c r="Y55" s="5"/>
      <c r="Z55" s="5"/>
      <c r="AA55" s="5"/>
      <c r="AB55" s="5"/>
      <c r="AC55" s="5"/>
      <c r="AD55" s="5"/>
      <c r="AE55" s="5"/>
      <c r="AF55" s="5"/>
      <c r="AG55" s="5"/>
      <c r="AH55" s="5"/>
      <c r="AI55" s="5"/>
      <c r="AJ55" s="5"/>
      <c r="AK55" s="5"/>
      <c r="AL55" s="5"/>
      <c r="AM55" s="52"/>
    </row>
    <row r="56">
      <c r="A56" s="11">
        <v>44337</v>
      </c>
      <c r="B56" s="14"/>
      <c r="C56" s="14"/>
      <c r="D56" s="14"/>
      <c r="E56" s="14"/>
      <c r="F56" s="14"/>
      <c r="G56" s="14"/>
      <c r="H56" s="14"/>
      <c r="I56" s="14"/>
      <c r="J56" s="5"/>
      <c r="K56" s="5"/>
      <c r="L56" s="5"/>
      <c r="M56" s="5"/>
      <c r="N56" s="5"/>
      <c r="O56" s="5"/>
      <c r="P56" s="5"/>
      <c r="Q56" s="5"/>
      <c r="R56" s="5"/>
      <c r="S56" s="5"/>
      <c r="T56" s="8"/>
      <c r="U56" s="11">
        <v>44337</v>
      </c>
      <c r="V56" s="14"/>
      <c r="W56" s="14"/>
      <c r="X56" s="14"/>
      <c r="Y56" s="14"/>
      <c r="Z56" s="14"/>
      <c r="AA56" s="14"/>
      <c r="AB56" s="14"/>
      <c r="AC56" s="14"/>
      <c r="AD56" s="5"/>
      <c r="AE56" s="5"/>
      <c r="AF56" s="5"/>
      <c r="AG56" s="5"/>
      <c r="AH56" s="5"/>
      <c r="AI56" s="5"/>
      <c r="AJ56" s="5"/>
      <c r="AK56" s="5"/>
      <c r="AL56" s="5"/>
      <c r="AM56" s="52"/>
    </row>
    <row r="57">
      <c r="A57" s="11">
        <v>44338</v>
      </c>
      <c r="B57" s="5"/>
      <c r="C57" s="5"/>
      <c r="D57" s="5"/>
      <c r="E57" s="5"/>
      <c r="F57" s="5"/>
      <c r="G57" s="5"/>
      <c r="H57" s="5"/>
      <c r="I57" s="5"/>
      <c r="J57" s="5"/>
      <c r="K57" s="5"/>
      <c r="L57" s="5"/>
      <c r="M57" s="5"/>
      <c r="N57" s="5"/>
      <c r="O57" s="5"/>
      <c r="P57" s="5"/>
      <c r="Q57" s="5"/>
      <c r="R57" s="5"/>
      <c r="S57" s="5"/>
      <c r="T57" s="8"/>
      <c r="U57" s="11">
        <v>44338</v>
      </c>
      <c r="V57" s="5"/>
      <c r="W57" s="5"/>
      <c r="X57" s="5"/>
      <c r="Y57" s="5"/>
      <c r="Z57" s="5"/>
      <c r="AA57" s="5"/>
      <c r="AB57" s="5"/>
      <c r="AC57" s="5"/>
      <c r="AD57" s="5"/>
      <c r="AE57" s="5"/>
      <c r="AF57" s="5"/>
      <c r="AG57" s="5"/>
      <c r="AH57" s="5"/>
      <c r="AI57" s="5"/>
      <c r="AJ57" s="5"/>
      <c r="AK57" s="5"/>
      <c r="AL57" s="5"/>
      <c r="AM57" s="52"/>
    </row>
    <row r="58">
      <c r="A58" s="11">
        <v>44339</v>
      </c>
      <c r="B58" s="14"/>
      <c r="C58" s="14"/>
      <c r="D58" s="14"/>
      <c r="E58" s="14"/>
      <c r="F58" s="14"/>
      <c r="G58" s="14"/>
      <c r="H58" s="14"/>
      <c r="I58" s="14"/>
      <c r="J58" s="5"/>
      <c r="K58" s="5"/>
      <c r="L58" s="5"/>
      <c r="M58" s="5"/>
      <c r="N58" s="5"/>
      <c r="O58" s="5"/>
      <c r="P58" s="5"/>
      <c r="Q58" s="5"/>
      <c r="R58" s="5"/>
      <c r="S58" s="5"/>
      <c r="T58" s="8"/>
      <c r="U58" s="11">
        <v>44339</v>
      </c>
      <c r="V58" s="14"/>
      <c r="W58" s="14"/>
      <c r="X58" s="14"/>
      <c r="Y58" s="14"/>
      <c r="Z58" s="14"/>
      <c r="AA58" s="14"/>
      <c r="AB58" s="14"/>
      <c r="AC58" s="14"/>
      <c r="AD58" s="5"/>
      <c r="AE58" s="5"/>
      <c r="AF58" s="5"/>
      <c r="AG58" s="5"/>
      <c r="AH58" s="5"/>
      <c r="AI58" s="5"/>
      <c r="AJ58" s="5"/>
      <c r="AK58" s="5"/>
      <c r="AL58" s="5"/>
      <c r="AM58" s="52"/>
    </row>
    <row r="59">
      <c r="A59" s="11">
        <v>44340</v>
      </c>
      <c r="B59" s="5"/>
      <c r="C59" s="5"/>
      <c r="D59" s="5"/>
      <c r="E59" s="5"/>
      <c r="F59" s="5"/>
      <c r="G59" s="5"/>
      <c r="H59" s="5"/>
      <c r="I59" s="5"/>
      <c r="J59" s="5"/>
      <c r="K59" s="5"/>
      <c r="L59" s="5"/>
      <c r="M59" s="5"/>
      <c r="N59" s="5"/>
      <c r="O59" s="5"/>
      <c r="P59" s="5"/>
      <c r="Q59" s="5"/>
      <c r="R59" s="5"/>
      <c r="S59" s="5"/>
      <c r="T59" s="8"/>
      <c r="U59" s="11">
        <v>44340</v>
      </c>
      <c r="V59" s="5"/>
      <c r="W59" s="5"/>
      <c r="X59" s="5"/>
      <c r="Y59" s="5"/>
      <c r="Z59" s="5"/>
      <c r="AA59" s="5"/>
      <c r="AB59" s="5"/>
      <c r="AC59" s="5"/>
      <c r="AD59" s="5"/>
      <c r="AE59" s="5"/>
      <c r="AF59" s="5"/>
      <c r="AG59" s="5"/>
      <c r="AH59" s="5"/>
      <c r="AI59" s="5"/>
      <c r="AJ59" s="5"/>
      <c r="AK59" s="5"/>
      <c r="AL59" s="5"/>
      <c r="AM59" s="52"/>
    </row>
    <row r="60">
      <c r="A60" s="11">
        <v>44341</v>
      </c>
      <c r="B60" s="14">
        <v>8723.9500000000007</v>
      </c>
      <c r="C60" s="14"/>
      <c r="D60" s="14"/>
      <c r="E60" s="14"/>
      <c r="F60" s="14"/>
      <c r="G60" s="14"/>
      <c r="H60" s="14"/>
      <c r="I60" s="14"/>
      <c r="J60" s="5"/>
      <c r="K60" s="5"/>
      <c r="L60" s="5"/>
      <c r="M60" s="5"/>
      <c r="N60" s="5"/>
      <c r="O60" s="5"/>
      <c r="P60" s="5"/>
      <c r="Q60" s="5"/>
      <c r="R60" s="5"/>
      <c r="S60" s="5"/>
      <c r="T60" s="8"/>
      <c r="U60" s="11">
        <v>44341</v>
      </c>
      <c r="V60" s="14"/>
      <c r="W60" s="14"/>
      <c r="X60" s="14"/>
      <c r="Y60" s="14"/>
      <c r="Z60" s="14"/>
      <c r="AA60" s="14"/>
      <c r="AB60" s="14"/>
      <c r="AC60" s="14"/>
      <c r="AD60" s="5"/>
      <c r="AE60" s="5"/>
      <c r="AF60" s="5"/>
      <c r="AG60" s="5"/>
      <c r="AH60" s="5"/>
      <c r="AI60" s="5"/>
      <c r="AJ60" s="5"/>
      <c r="AK60" s="5"/>
      <c r="AL60" s="5"/>
      <c r="AM60" s="52"/>
    </row>
    <row r="61">
      <c r="A61" s="11">
        <v>44342</v>
      </c>
      <c r="B61" s="5"/>
      <c r="C61" s="5"/>
      <c r="D61" s="5"/>
      <c r="E61" s="5"/>
      <c r="F61" s="5"/>
      <c r="G61" s="5"/>
      <c r="H61" s="5"/>
      <c r="I61" s="5"/>
      <c r="J61" s="5"/>
      <c r="K61" s="5"/>
      <c r="L61" s="5"/>
      <c r="M61" s="5"/>
      <c r="N61" s="5"/>
      <c r="O61" s="5"/>
      <c r="P61" s="5"/>
      <c r="Q61" s="5"/>
      <c r="R61" s="5"/>
      <c r="S61" s="5"/>
      <c r="T61" s="8"/>
      <c r="U61" s="11">
        <v>44342</v>
      </c>
      <c r="V61" s="5">
        <v>5164</v>
      </c>
      <c r="W61" s="5"/>
      <c r="X61" s="5"/>
      <c r="Y61" s="5"/>
      <c r="Z61" s="5"/>
      <c r="AA61" s="5"/>
      <c r="AB61" s="5"/>
      <c r="AC61" s="5"/>
      <c r="AD61" s="5"/>
      <c r="AE61" s="5"/>
      <c r="AF61" s="5"/>
      <c r="AG61" s="5"/>
      <c r="AH61" s="5"/>
      <c r="AI61" s="5"/>
      <c r="AJ61" s="5"/>
      <c r="AK61" s="5"/>
      <c r="AL61" s="5"/>
      <c r="AM61" s="52"/>
    </row>
    <row r="62">
      <c r="A62" s="11">
        <v>44343</v>
      </c>
      <c r="B62" s="14"/>
      <c r="C62" s="14"/>
      <c r="D62" s="14"/>
      <c r="E62" s="14"/>
      <c r="F62" s="14"/>
      <c r="G62" s="14"/>
      <c r="H62" s="14"/>
      <c r="I62" s="14"/>
      <c r="J62" s="5"/>
      <c r="K62" s="5"/>
      <c r="L62" s="5"/>
      <c r="M62" s="5"/>
      <c r="N62" s="5"/>
      <c r="O62" s="5"/>
      <c r="P62" s="5"/>
      <c r="Q62" s="5"/>
      <c r="R62" s="5"/>
      <c r="S62" s="5"/>
      <c r="T62" s="8"/>
      <c r="U62" s="11">
        <v>44343</v>
      </c>
      <c r="V62" s="14"/>
      <c r="W62" s="14"/>
      <c r="X62" s="14"/>
      <c r="Y62" s="14"/>
      <c r="Z62" s="14"/>
      <c r="AA62" s="14"/>
      <c r="AB62" s="14"/>
      <c r="AC62" s="14"/>
      <c r="AD62" s="5"/>
      <c r="AE62" s="5"/>
      <c r="AF62" s="5"/>
      <c r="AG62" s="5"/>
      <c r="AH62" s="5"/>
      <c r="AI62" s="5"/>
      <c r="AJ62" s="5"/>
      <c r="AK62" s="5"/>
      <c r="AL62" s="5"/>
      <c r="AM62" s="52"/>
    </row>
    <row r="63">
      <c r="A63" s="11">
        <v>44344</v>
      </c>
      <c r="B63" s="5"/>
      <c r="C63" s="5"/>
      <c r="D63" s="5"/>
      <c r="E63" s="5"/>
      <c r="F63" s="5"/>
      <c r="G63" s="5"/>
      <c r="H63" s="5"/>
      <c r="I63" s="5"/>
      <c r="J63" s="5"/>
      <c r="K63" s="5"/>
      <c r="L63" s="5"/>
      <c r="M63" s="5"/>
      <c r="N63" s="5"/>
      <c r="O63" s="5"/>
      <c r="P63" s="5"/>
      <c r="Q63" s="5"/>
      <c r="R63" s="48"/>
      <c r="S63" s="5"/>
      <c r="T63" s="8"/>
      <c r="U63" s="11">
        <v>44344</v>
      </c>
      <c r="V63" s="5">
        <v>16855.310000000001</v>
      </c>
      <c r="W63" s="5"/>
      <c r="X63" s="5"/>
      <c r="Y63" s="5"/>
      <c r="Z63" s="5"/>
      <c r="AA63" s="5"/>
      <c r="AB63" s="5"/>
      <c r="AC63" s="5"/>
      <c r="AD63" s="5"/>
      <c r="AE63" s="5"/>
      <c r="AF63" s="5"/>
      <c r="AG63" s="5"/>
      <c r="AH63" s="5"/>
      <c r="AI63" s="5"/>
      <c r="AJ63" s="5"/>
      <c r="AK63" s="5"/>
      <c r="AL63" s="5"/>
      <c r="AM63" s="52"/>
    </row>
    <row r="64">
      <c r="A64" s="11">
        <v>44345</v>
      </c>
      <c r="B64" s="22"/>
      <c r="C64" s="22"/>
      <c r="D64" s="22"/>
      <c r="E64" s="22"/>
      <c r="F64" s="22"/>
      <c r="G64" s="22"/>
      <c r="H64" s="22"/>
      <c r="I64" s="22"/>
      <c r="J64" s="5"/>
      <c r="K64" s="5"/>
      <c r="L64" s="5"/>
      <c r="M64" s="5"/>
      <c r="N64" s="5"/>
      <c r="O64" s="5"/>
      <c r="P64" s="5"/>
      <c r="Q64" s="5"/>
      <c r="R64" s="48"/>
      <c r="S64" s="5"/>
      <c r="T64" s="8"/>
      <c r="U64" s="11">
        <v>44345</v>
      </c>
      <c r="V64" s="5"/>
      <c r="W64" s="5"/>
      <c r="X64" s="5"/>
      <c r="Y64" s="5"/>
      <c r="Z64" s="5"/>
      <c r="AA64" s="5"/>
      <c r="AB64" s="5"/>
      <c r="AC64" s="5"/>
      <c r="AD64" s="5"/>
      <c r="AE64" s="5"/>
      <c r="AF64" s="5"/>
      <c r="AG64" s="5"/>
      <c r="AH64" s="5"/>
      <c r="AI64" s="5"/>
      <c r="AJ64" s="5"/>
      <c r="AK64" s="5"/>
      <c r="AL64" s="5"/>
      <c r="AM64" s="52"/>
    </row>
    <row r="65">
      <c r="A65" s="11">
        <v>44346</v>
      </c>
      <c r="B65" s="5"/>
      <c r="C65" s="5"/>
      <c r="D65" s="5"/>
      <c r="E65" s="5"/>
      <c r="F65" s="5"/>
      <c r="G65" s="5"/>
      <c r="H65" s="5"/>
      <c r="I65" s="5">
        <v>48</v>
      </c>
      <c r="J65" s="5"/>
      <c r="K65" s="5"/>
      <c r="L65" s="5"/>
      <c r="M65" s="5"/>
      <c r="N65" s="5"/>
      <c r="O65" s="5"/>
      <c r="P65" s="5"/>
      <c r="Q65" s="5"/>
      <c r="R65" s="48"/>
      <c r="S65" s="5"/>
      <c r="T65" s="8"/>
      <c r="U65" s="11">
        <v>44346</v>
      </c>
      <c r="V65" s="5"/>
      <c r="W65" s="5"/>
      <c r="X65" s="5"/>
      <c r="Y65" s="5"/>
      <c r="Z65" s="5"/>
      <c r="AA65" s="5"/>
      <c r="AB65" s="5"/>
      <c r="AC65" s="5"/>
      <c r="AD65" s="5"/>
      <c r="AE65" s="5"/>
      <c r="AF65" s="5"/>
      <c r="AG65" s="5"/>
      <c r="AH65" s="5"/>
      <c r="AI65" s="5"/>
      <c r="AJ65" s="5"/>
      <c r="AK65" s="5"/>
      <c r="AL65" s="5"/>
      <c r="AM65" s="52"/>
    </row>
    <row r="66">
      <c r="A66" s="11">
        <v>44347</v>
      </c>
      <c r="B66" s="22"/>
      <c r="C66" s="22"/>
      <c r="D66" s="22"/>
      <c r="E66" s="22">
        <v>128.08000000000001</v>
      </c>
      <c r="F66" s="22"/>
      <c r="G66" s="22"/>
      <c r="H66" s="22"/>
      <c r="I66" s="22"/>
      <c r="J66" s="5"/>
      <c r="K66" s="5"/>
      <c r="L66" s="5"/>
      <c r="M66" s="5"/>
      <c r="N66" s="5"/>
      <c r="O66" s="5"/>
      <c r="P66" s="5"/>
      <c r="Q66" s="5"/>
      <c r="R66" s="48"/>
      <c r="S66" s="5"/>
      <c r="T66" s="8"/>
      <c r="U66" s="11"/>
      <c r="V66" s="5"/>
      <c r="W66" s="5"/>
      <c r="X66" s="5"/>
      <c r="Y66" s="5"/>
      <c r="Z66" s="5"/>
      <c r="AA66" s="5"/>
      <c r="AB66" s="5"/>
      <c r="AC66" s="5"/>
      <c r="AD66" s="5"/>
      <c r="AE66" s="5"/>
      <c r="AF66" s="5"/>
      <c r="AG66" s="5"/>
      <c r="AH66" s="5"/>
      <c r="AI66" s="5"/>
      <c r="AJ66" s="5"/>
      <c r="AK66" s="5"/>
      <c r="AL66" s="5"/>
      <c r="AM66" s="52"/>
    </row>
    <row r="67">
      <c r="A67" s="7"/>
      <c r="B67" s="7">
        <f t="shared" ref="B67:E67" si="61">SUM(B36:B66)</f>
        <v>38947.589999999997</v>
      </c>
      <c r="C67" s="7">
        <f>SUM(C36:C66)</f>
        <v>0</v>
      </c>
      <c r="D67" s="7">
        <f t="shared" si="61"/>
        <v>0</v>
      </c>
      <c r="E67" s="7">
        <f t="shared" si="61"/>
        <v>186.71000000000001</v>
      </c>
      <c r="F67" s="7">
        <f>SUM(F36:F66)</f>
        <v>7001</v>
      </c>
      <c r="G67" s="7">
        <f t="shared" ref="G67:R67" si="62">SUM(G36:G66)</f>
        <v>0</v>
      </c>
      <c r="H67" s="7">
        <f t="shared" si="62"/>
        <v>300</v>
      </c>
      <c r="I67" s="7">
        <f t="shared" si="62"/>
        <v>776</v>
      </c>
      <c r="J67" s="7">
        <f t="shared" si="62"/>
        <v>0</v>
      </c>
      <c r="K67" s="7">
        <f t="shared" si="62"/>
        <v>0</v>
      </c>
      <c r="L67" s="7">
        <f t="shared" si="62"/>
        <v>0</v>
      </c>
      <c r="M67" s="7">
        <f t="shared" si="62"/>
        <v>0</v>
      </c>
      <c r="N67" s="7">
        <f t="shared" si="62"/>
        <v>0</v>
      </c>
      <c r="O67" s="7">
        <f t="shared" si="62"/>
        <v>0</v>
      </c>
      <c r="P67" s="7">
        <f t="shared" si="62"/>
        <v>0</v>
      </c>
      <c r="Q67" s="7">
        <f t="shared" si="62"/>
        <v>0</v>
      </c>
      <c r="R67" s="7">
        <f t="shared" si="62"/>
        <v>0</v>
      </c>
      <c r="S67" s="7">
        <f>SUM(B67:R67)</f>
        <v>47211.299999999996</v>
      </c>
      <c r="T67" s="8"/>
      <c r="U67" s="7"/>
      <c r="V67" s="7">
        <f t="shared" ref="V67:AK67" si="63">SUM(V36:V63)</f>
        <v>41001.510000000002</v>
      </c>
      <c r="W67" s="7">
        <f t="shared" si="63"/>
        <v>0</v>
      </c>
      <c r="X67" s="7">
        <f t="shared" si="63"/>
        <v>0</v>
      </c>
      <c r="Y67" s="7">
        <f t="shared" si="63"/>
        <v>0</v>
      </c>
      <c r="Z67" s="7">
        <f t="shared" si="63"/>
        <v>0</v>
      </c>
      <c r="AA67" s="7">
        <f t="shared" si="63"/>
        <v>0</v>
      </c>
      <c r="AB67" s="7">
        <f t="shared" si="63"/>
        <v>0</v>
      </c>
      <c r="AC67" s="7">
        <f t="shared" si="63"/>
        <v>0</v>
      </c>
      <c r="AD67" s="7">
        <f t="shared" si="63"/>
        <v>0</v>
      </c>
      <c r="AE67" s="7">
        <f t="shared" si="63"/>
        <v>0</v>
      </c>
      <c r="AF67" s="7">
        <f t="shared" si="63"/>
        <v>0</v>
      </c>
      <c r="AG67" s="7">
        <f t="shared" si="63"/>
        <v>0</v>
      </c>
      <c r="AH67" s="7">
        <f t="shared" si="63"/>
        <v>0</v>
      </c>
      <c r="AI67" s="7">
        <f t="shared" si="63"/>
        <v>0</v>
      </c>
      <c r="AJ67" s="7">
        <f t="shared" si="63"/>
        <v>0</v>
      </c>
      <c r="AK67" s="7">
        <f t="shared" si="63"/>
        <v>0</v>
      </c>
      <c r="AL67" s="7">
        <f>SUM(V67:AK67)</f>
        <v>41001.510000000002</v>
      </c>
      <c r="AM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row>
    <row r="69">
      <c r="A69" t="s">
        <v>67</v>
      </c>
    </row>
    <row r="70">
      <c r="A70" t="s">
        <v>68</v>
      </c>
      <c r="B70" s="50">
        <f>21000-344+2039+(23000-23000)-344-344+8164.1-4600-3300+(3000-3000)+80000+2000+(5500-5000)+(5650-5100)+1000</f>
        <v>106321.10000000001</v>
      </c>
    </row>
    <row r="71">
      <c r="A71" t="s">
        <v>69</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L34" zoomScale="100" workbookViewId="0">
      <selection activeCell="F55" activeCellId="0" sqref="F55"/>
    </sheetView>
  </sheetViews>
  <sheetFormatPr defaultRowHeight="14.25"/>
  <cols>
    <col bestFit="1" customWidth="1" min="1" max="1" width="11.42578125"/>
    <col bestFit="1" customWidth="1" min="11" max="11" width="11.5703125"/>
    <col bestFit="1" customWidth="1" min="19" max="19" width="11.140625"/>
    <col customWidth="1" min="21" max="21" width="13.42578125"/>
  </cols>
  <sheetData>
    <row r="1">
      <c r="A1" s="10" t="s">
        <v>0</v>
      </c>
      <c r="B1" s="51" t="s">
        <v>70</v>
      </c>
      <c r="C1" s="60" t="s">
        <v>71</v>
      </c>
      <c r="D1" s="51" t="s">
        <v>72</v>
      </c>
      <c r="E1" s="61" t="s">
        <v>3</v>
      </c>
      <c r="F1" s="51" t="s">
        <v>4</v>
      </c>
      <c r="G1" s="51" t="s">
        <v>5</v>
      </c>
      <c r="H1" s="51" t="s">
        <v>6</v>
      </c>
      <c r="I1" s="51" t="s">
        <v>7</v>
      </c>
      <c r="J1" s="51" t="s">
        <v>8</v>
      </c>
      <c r="K1" s="51" t="s">
        <v>9</v>
      </c>
      <c r="L1" s="51" t="s">
        <v>10</v>
      </c>
      <c r="M1" s="51" t="s">
        <v>11</v>
      </c>
      <c r="N1" s="51" t="s">
        <v>12</v>
      </c>
      <c r="O1" s="51" t="s">
        <v>13</v>
      </c>
      <c r="P1" s="51" t="s">
        <v>19</v>
      </c>
      <c r="Q1" s="51" t="s">
        <v>20</v>
      </c>
      <c r="R1" s="51" t="s">
        <v>73</v>
      </c>
      <c r="S1" s="51" t="s">
        <v>62</v>
      </c>
      <c r="T1" s="8"/>
      <c r="U1" s="10" t="s">
        <v>1</v>
      </c>
      <c r="V1" s="10" t="s">
        <v>2</v>
      </c>
      <c r="W1" s="10" t="s">
        <v>3</v>
      </c>
      <c r="X1" s="10" t="s">
        <v>4</v>
      </c>
      <c r="Y1" s="10" t="s">
        <v>5</v>
      </c>
      <c r="Z1" s="10" t="s">
        <v>6</v>
      </c>
      <c r="AA1" s="10" t="s">
        <v>7</v>
      </c>
      <c r="AB1" s="10" t="s">
        <v>8</v>
      </c>
      <c r="AC1" s="10" t="s">
        <v>9</v>
      </c>
      <c r="AD1" s="10" t="s">
        <v>10</v>
      </c>
      <c r="AE1" s="10" t="s">
        <v>11</v>
      </c>
      <c r="AF1" s="10" t="s">
        <v>12</v>
      </c>
      <c r="AG1" s="10" t="s">
        <v>13</v>
      </c>
      <c r="AH1" s="10" t="s">
        <v>63</v>
      </c>
      <c r="AI1" s="10" t="s">
        <v>20</v>
      </c>
      <c r="AJ1" s="10" t="s">
        <v>49</v>
      </c>
      <c r="AK1" s="10"/>
      <c r="AL1" s="1"/>
      <c r="AM1" s="52"/>
    </row>
    <row r="2">
      <c r="A2" s="11">
        <v>44348</v>
      </c>
      <c r="B2" s="14"/>
      <c r="C2" s="46"/>
      <c r="D2" s="18">
        <v>91</v>
      </c>
      <c r="E2" s="62"/>
      <c r="F2" s="14"/>
      <c r="G2" s="14"/>
      <c r="H2" s="14"/>
      <c r="I2" s="14"/>
      <c r="J2" s="14">
        <v>156</v>
      </c>
      <c r="K2" s="14"/>
      <c r="L2" s="14"/>
      <c r="M2" s="14"/>
      <c r="N2" s="14"/>
      <c r="O2" s="14"/>
      <c r="P2" s="14"/>
      <c r="Q2" s="14"/>
      <c r="R2" s="14"/>
      <c r="S2" s="14"/>
      <c r="T2" s="8"/>
      <c r="U2" s="14"/>
      <c r="V2" s="14"/>
      <c r="W2" s="14"/>
      <c r="X2" s="14"/>
      <c r="Y2" s="14"/>
      <c r="Z2" s="14"/>
      <c r="AA2" s="14"/>
      <c r="AB2" s="14"/>
      <c r="AC2" s="14"/>
      <c r="AD2" s="14"/>
      <c r="AE2" s="14"/>
      <c r="AF2" s="14"/>
      <c r="AG2" s="14"/>
      <c r="AH2" s="14"/>
      <c r="AI2" s="14"/>
      <c r="AJ2" s="14"/>
      <c r="AK2" s="14"/>
      <c r="AL2" s="14"/>
      <c r="AM2" s="52"/>
    </row>
    <row r="3">
      <c r="A3" s="11">
        <v>44349</v>
      </c>
      <c r="B3" s="5"/>
      <c r="C3" s="41"/>
      <c r="D3" s="5">
        <v>101</v>
      </c>
      <c r="E3" s="42"/>
      <c r="F3" s="5"/>
      <c r="G3" s="5"/>
      <c r="H3" s="5"/>
      <c r="I3" s="5"/>
      <c r="J3" s="5"/>
      <c r="K3" s="5"/>
      <c r="L3" s="5"/>
      <c r="M3" s="5"/>
      <c r="N3" s="5">
        <v>500</v>
      </c>
      <c r="O3" s="5"/>
      <c r="P3" s="5"/>
      <c r="Q3" s="5"/>
      <c r="R3" s="5"/>
      <c r="S3" s="5"/>
      <c r="T3" s="8"/>
      <c r="U3" s="5"/>
      <c r="V3" s="5"/>
      <c r="W3" s="5"/>
      <c r="X3" s="5"/>
      <c r="Y3" s="5"/>
      <c r="Z3" s="5"/>
      <c r="AA3" s="5"/>
      <c r="AB3" s="5"/>
      <c r="AC3" s="5"/>
      <c r="AD3" s="5"/>
      <c r="AE3" s="5"/>
      <c r="AF3" s="5"/>
      <c r="AG3" s="5"/>
      <c r="AH3" s="5"/>
      <c r="AI3" s="5"/>
      <c r="AJ3" s="5"/>
      <c r="AK3" s="5"/>
      <c r="AL3" s="5"/>
      <c r="AM3" s="52"/>
    </row>
    <row r="4">
      <c r="A4" s="11">
        <v>44350</v>
      </c>
      <c r="B4" s="14"/>
      <c r="C4" s="46"/>
      <c r="D4" s="14">
        <f>50+102</f>
        <v>152</v>
      </c>
      <c r="E4" s="62"/>
      <c r="F4" s="14"/>
      <c r="G4" s="14"/>
      <c r="H4" s="14"/>
      <c r="I4" s="14"/>
      <c r="J4" s="14"/>
      <c r="K4" s="14"/>
      <c r="L4" s="14"/>
      <c r="M4" s="14"/>
      <c r="N4" s="14"/>
      <c r="O4" s="14"/>
      <c r="P4" s="14"/>
      <c r="Q4" s="14"/>
      <c r="R4" s="14"/>
      <c r="S4" s="14"/>
      <c r="T4" s="8"/>
      <c r="U4" s="14"/>
      <c r="V4" s="14"/>
      <c r="W4" s="14"/>
      <c r="X4" s="14"/>
      <c r="Y4" s="14"/>
      <c r="Z4" s="14"/>
      <c r="AA4" s="14"/>
      <c r="AB4" s="14"/>
      <c r="AC4" s="14"/>
      <c r="AD4" s="14"/>
      <c r="AE4" s="14"/>
      <c r="AF4" s="14"/>
      <c r="AG4" s="14"/>
      <c r="AH4" s="14"/>
      <c r="AI4" s="14"/>
      <c r="AJ4" s="14"/>
      <c r="AK4" s="14"/>
      <c r="AL4" s="14"/>
      <c r="AM4" s="52"/>
    </row>
    <row r="5">
      <c r="A5" s="11">
        <v>44351</v>
      </c>
      <c r="B5" s="5"/>
      <c r="C5">
        <v>71.980000000000004</v>
      </c>
      <c r="D5" s="23">
        <f>93+64-53</f>
        <v>104</v>
      </c>
      <c r="E5" s="42">
        <v>1700</v>
      </c>
      <c r="F5" s="5"/>
      <c r="G5" s="5"/>
      <c r="H5" s="5"/>
      <c r="I5" s="5"/>
      <c r="J5" s="5"/>
      <c r="K5" s="5"/>
      <c r="L5" s="5"/>
      <c r="M5" s="5"/>
      <c r="N5" s="5"/>
      <c r="O5" s="5"/>
      <c r="P5" s="5"/>
      <c r="Q5" s="5"/>
      <c r="R5" s="5"/>
      <c r="S5" s="5"/>
      <c r="T5" s="8"/>
      <c r="U5" s="5"/>
      <c r="V5" s="5"/>
      <c r="W5" s="5"/>
      <c r="X5" s="5"/>
      <c r="Y5" s="5"/>
      <c r="Z5" s="5"/>
      <c r="AA5" s="5"/>
      <c r="AB5" s="5"/>
      <c r="AC5" s="5"/>
      <c r="AD5" s="5"/>
      <c r="AE5" s="5"/>
      <c r="AF5" s="5"/>
      <c r="AG5" s="5"/>
      <c r="AH5" s="5"/>
      <c r="AI5" s="5"/>
      <c r="AJ5" s="5"/>
      <c r="AK5" s="5"/>
      <c r="AL5" s="5"/>
      <c r="AM5" s="52"/>
    </row>
    <row r="6">
      <c r="A6" s="11">
        <v>44352</v>
      </c>
      <c r="B6" s="46"/>
      <c r="C6" s="14">
        <f>125.48+208.44</f>
        <v>333.92000000000002</v>
      </c>
      <c r="D6" s="14"/>
      <c r="E6" s="62"/>
      <c r="F6" s="14"/>
      <c r="G6" s="14"/>
      <c r="H6" s="14"/>
      <c r="I6" s="14"/>
      <c r="J6" s="14"/>
      <c r="K6" s="14"/>
      <c r="L6" s="14"/>
      <c r="M6" s="14"/>
      <c r="N6" s="14"/>
      <c r="O6" s="14"/>
      <c r="P6" s="14"/>
      <c r="Q6" s="14"/>
      <c r="R6" s="14"/>
      <c r="S6" s="14"/>
      <c r="T6" s="8"/>
      <c r="U6" s="14"/>
      <c r="V6" s="14"/>
      <c r="W6" s="14"/>
      <c r="X6" s="14"/>
      <c r="Y6" s="14"/>
      <c r="Z6" s="14"/>
      <c r="AA6" s="14"/>
      <c r="AB6" s="14"/>
      <c r="AC6" s="14"/>
      <c r="AD6" s="14"/>
      <c r="AE6" s="14"/>
      <c r="AF6" s="14"/>
      <c r="AG6" s="14"/>
      <c r="AH6" s="14"/>
      <c r="AI6" s="14"/>
      <c r="AJ6" s="14"/>
      <c r="AK6" s="14"/>
      <c r="AL6" s="14"/>
      <c r="AM6" s="52"/>
    </row>
    <row r="7">
      <c r="A7" s="11">
        <v>44353</v>
      </c>
      <c r="B7" s="5"/>
      <c r="C7" s="26">
        <v>40</v>
      </c>
      <c r="D7" s="26"/>
      <c r="E7" s="5"/>
      <c r="F7" s="5"/>
      <c r="G7" s="5"/>
      <c r="H7" s="5"/>
      <c r="I7" s="5"/>
      <c r="J7" s="5">
        <v>189.99000000000001</v>
      </c>
      <c r="K7" s="5"/>
      <c r="L7" s="5"/>
      <c r="M7" s="5"/>
      <c r="N7" s="5"/>
      <c r="O7" s="5"/>
      <c r="P7" s="5"/>
      <c r="Q7" s="5"/>
      <c r="R7" s="5"/>
      <c r="S7" s="41"/>
      <c r="T7" s="8"/>
      <c r="U7" s="5"/>
      <c r="V7" s="5"/>
      <c r="W7" s="5"/>
      <c r="X7" s="5"/>
      <c r="Y7" s="5"/>
      <c r="Z7" s="5"/>
      <c r="AA7" s="5"/>
      <c r="AB7" s="5"/>
      <c r="AC7" s="5"/>
      <c r="AD7" s="5"/>
      <c r="AE7" s="5"/>
      <c r="AF7" s="5"/>
      <c r="AG7" s="5"/>
      <c r="AH7" s="5"/>
      <c r="AI7" s="5"/>
      <c r="AJ7" s="5"/>
      <c r="AK7" s="5"/>
      <c r="AL7" s="5"/>
      <c r="AM7" s="52"/>
    </row>
    <row r="8">
      <c r="A8" s="11">
        <v>44354</v>
      </c>
      <c r="B8" s="14"/>
      <c r="C8" s="14">
        <v>287.94999999999999</v>
      </c>
      <c r="D8" s="14">
        <v>114</v>
      </c>
      <c r="E8" s="14"/>
      <c r="F8" s="14"/>
      <c r="G8" s="14"/>
      <c r="H8" s="14"/>
      <c r="I8" s="14"/>
      <c r="J8" s="14"/>
      <c r="K8" s="14"/>
      <c r="L8" s="14"/>
      <c r="M8" s="14"/>
      <c r="N8" s="14"/>
      <c r="O8" s="14"/>
      <c r="P8" s="14"/>
      <c r="Q8" s="14"/>
      <c r="R8" s="14"/>
      <c r="S8" s="46"/>
      <c r="T8" s="8"/>
      <c r="U8" s="14"/>
      <c r="V8" s="14"/>
      <c r="W8" s="14"/>
      <c r="X8" s="14"/>
      <c r="Y8" s="14"/>
      <c r="Z8" s="14"/>
      <c r="AA8" s="14"/>
      <c r="AB8" s="14"/>
      <c r="AC8" s="14"/>
      <c r="AD8" s="14"/>
      <c r="AE8" s="14"/>
      <c r="AF8" s="14"/>
      <c r="AG8" s="14"/>
      <c r="AH8" s="14"/>
      <c r="AI8" s="14"/>
      <c r="AJ8" s="14"/>
      <c r="AK8" s="14"/>
      <c r="AL8" s="14"/>
      <c r="AM8" s="52"/>
    </row>
    <row r="9">
      <c r="A9" s="11">
        <v>44355</v>
      </c>
      <c r="B9" s="5"/>
      <c r="C9" s="5"/>
      <c r="D9" s="5">
        <v>114</v>
      </c>
      <c r="E9" s="5"/>
      <c r="F9" s="5"/>
      <c r="G9" s="5"/>
      <c r="H9" s="5"/>
      <c r="I9" s="5"/>
      <c r="J9" s="5"/>
      <c r="K9" s="5"/>
      <c r="L9" s="5"/>
      <c r="M9" s="5"/>
      <c r="N9" s="5"/>
      <c r="O9" s="5"/>
      <c r="P9" s="5"/>
      <c r="Q9" s="5"/>
      <c r="R9" s="5"/>
      <c r="S9" s="41"/>
      <c r="T9" s="8"/>
      <c r="U9" s="5"/>
      <c r="V9" s="5"/>
      <c r="W9" s="5"/>
      <c r="X9" s="5"/>
      <c r="Y9" s="5"/>
      <c r="Z9" s="5"/>
      <c r="AA9" s="5"/>
      <c r="AB9" s="5"/>
      <c r="AC9" s="5"/>
      <c r="AD9" s="5"/>
      <c r="AE9" s="5"/>
      <c r="AF9" s="5"/>
      <c r="AG9" s="5"/>
      <c r="AH9" s="5"/>
      <c r="AI9" s="5"/>
      <c r="AJ9" s="5"/>
      <c r="AK9" s="5"/>
      <c r="AL9" s="5"/>
      <c r="AM9" s="52"/>
    </row>
    <row r="10">
      <c r="A10" s="11">
        <v>44356</v>
      </c>
      <c r="B10" s="14"/>
      <c r="C10" s="14"/>
      <c r="D10" s="14">
        <f>114+58</f>
        <v>172</v>
      </c>
      <c r="E10" s="14">
        <v>264</v>
      </c>
      <c r="F10" s="14"/>
      <c r="G10" s="14"/>
      <c r="H10" s="14"/>
      <c r="I10" s="14"/>
      <c r="J10" s="14"/>
      <c r="K10" s="14"/>
      <c r="L10" s="14"/>
      <c r="M10" s="14"/>
      <c r="N10" s="14"/>
      <c r="O10" s="14"/>
      <c r="P10" s="14"/>
      <c r="Q10" s="14"/>
      <c r="R10" s="14"/>
      <c r="S10" s="46"/>
      <c r="T10" s="8"/>
      <c r="U10" s="14"/>
      <c r="V10" s="14"/>
      <c r="W10" s="14"/>
      <c r="X10" s="14"/>
      <c r="Y10" s="14"/>
      <c r="Z10" s="14"/>
      <c r="AA10" s="14"/>
      <c r="AB10" s="14"/>
      <c r="AC10" s="14"/>
      <c r="AD10" s="14"/>
      <c r="AE10" s="14"/>
      <c r="AF10" s="14"/>
      <c r="AG10" s="14"/>
      <c r="AH10" s="14"/>
      <c r="AI10" s="14"/>
      <c r="AJ10" s="14"/>
      <c r="AK10" s="14"/>
      <c r="AL10" s="14"/>
      <c r="AM10" s="52"/>
    </row>
    <row r="11">
      <c r="A11" s="11">
        <v>44357</v>
      </c>
      <c r="B11" s="5"/>
      <c r="C11" s="5"/>
      <c r="D11" s="5">
        <f>107+58</f>
        <v>165</v>
      </c>
      <c r="E11" s="5"/>
      <c r="F11" s="5"/>
      <c r="G11" s="5"/>
      <c r="H11" s="5"/>
      <c r="I11" s="5"/>
      <c r="J11" s="5"/>
      <c r="K11" s="5"/>
      <c r="L11" s="5"/>
      <c r="M11" s="5"/>
      <c r="N11" s="5"/>
      <c r="O11" s="5"/>
      <c r="P11" s="5"/>
      <c r="Q11" s="5"/>
      <c r="R11" s="5"/>
      <c r="S11" s="41"/>
      <c r="T11" s="8"/>
      <c r="U11" s="5"/>
      <c r="V11" s="5"/>
      <c r="W11" s="5"/>
      <c r="X11" s="5"/>
      <c r="Y11" s="5"/>
      <c r="Z11" s="5"/>
      <c r="AA11" s="5"/>
      <c r="AB11" s="5"/>
      <c r="AC11" s="5"/>
      <c r="AD11" s="5"/>
      <c r="AE11" s="5"/>
      <c r="AF11" s="5"/>
      <c r="AG11" s="5"/>
      <c r="AH11" s="5"/>
      <c r="AI11" s="5"/>
      <c r="AJ11" s="5"/>
      <c r="AK11" s="5"/>
      <c r="AL11" s="5"/>
      <c r="AM11" s="52"/>
    </row>
    <row r="12">
      <c r="A12" s="11">
        <v>44358</v>
      </c>
      <c r="B12" s="14"/>
      <c r="C12" s="14"/>
      <c r="D12" s="14">
        <v>133</v>
      </c>
      <c r="E12" s="14"/>
      <c r="F12" s="14"/>
      <c r="G12" s="14"/>
      <c r="H12" s="14"/>
      <c r="I12" s="14"/>
      <c r="J12" s="14"/>
      <c r="K12" s="14"/>
      <c r="L12" s="14"/>
      <c r="M12" s="14"/>
      <c r="N12" s="14"/>
      <c r="O12" s="14"/>
      <c r="P12" s="14"/>
      <c r="Q12" s="14"/>
      <c r="R12" s="14"/>
      <c r="S12" s="46"/>
      <c r="T12" s="8"/>
      <c r="U12" s="14"/>
      <c r="V12" s="14"/>
      <c r="W12" s="14"/>
      <c r="X12" s="14"/>
      <c r="Y12" s="14"/>
      <c r="Z12" s="14"/>
      <c r="AA12" s="14"/>
      <c r="AB12" s="14"/>
      <c r="AC12" s="14"/>
      <c r="AD12" s="14"/>
      <c r="AE12" s="14"/>
      <c r="AF12" s="14"/>
      <c r="AG12" s="14"/>
      <c r="AH12" s="14"/>
      <c r="AI12" s="14"/>
      <c r="AJ12" s="14"/>
      <c r="AK12" s="14"/>
      <c r="AL12" s="14"/>
      <c r="AM12" s="52"/>
    </row>
    <row r="13">
      <c r="A13" s="11">
        <v>44359</v>
      </c>
      <c r="B13" s="5"/>
      <c r="C13" s="5">
        <v>254</v>
      </c>
      <c r="D13" s="5"/>
      <c r="E13" s="5">
        <v>160</v>
      </c>
      <c r="F13" s="5"/>
      <c r="G13" s="5"/>
      <c r="H13" s="5"/>
      <c r="I13" s="5"/>
      <c r="J13" s="5"/>
      <c r="K13" s="5"/>
      <c r="L13" s="5"/>
      <c r="M13" s="5"/>
      <c r="N13" s="5"/>
      <c r="O13" s="5"/>
      <c r="P13" s="5"/>
      <c r="Q13" s="5"/>
      <c r="R13" s="5"/>
      <c r="S13" s="41"/>
      <c r="T13" s="8"/>
      <c r="U13" s="5"/>
      <c r="V13" s="5"/>
      <c r="W13" s="5"/>
      <c r="X13" s="5"/>
      <c r="Y13" s="5"/>
      <c r="Z13" s="5"/>
      <c r="AA13" s="5"/>
      <c r="AB13" s="5"/>
      <c r="AC13" s="5"/>
      <c r="AD13" s="5"/>
      <c r="AE13" s="5"/>
      <c r="AF13" s="5"/>
      <c r="AG13" s="5"/>
      <c r="AH13" s="5"/>
      <c r="AI13" s="5"/>
      <c r="AJ13" s="5"/>
      <c r="AK13" s="5"/>
      <c r="AL13" s="5"/>
      <c r="AM13" s="52"/>
    </row>
    <row r="14">
      <c r="A14" s="11">
        <v>44360</v>
      </c>
      <c r="B14" s="14"/>
      <c r="C14" s="14"/>
      <c r="D14" s="14"/>
      <c r="E14" s="14"/>
      <c r="F14" s="14"/>
      <c r="G14" s="14"/>
      <c r="H14" s="14"/>
      <c r="I14" s="14"/>
      <c r="J14" s="14"/>
      <c r="K14" s="14"/>
      <c r="L14" s="14"/>
      <c r="M14" s="14">
        <v>500</v>
      </c>
      <c r="N14" s="14"/>
      <c r="O14" s="14"/>
      <c r="P14" s="14"/>
      <c r="Q14" s="14"/>
      <c r="R14" s="14"/>
      <c r="S14" s="46"/>
      <c r="T14" s="8"/>
      <c r="U14" s="14"/>
      <c r="V14" s="14"/>
      <c r="W14" s="14"/>
      <c r="X14" s="14"/>
      <c r="Y14" s="14"/>
      <c r="Z14" s="14"/>
      <c r="AA14" s="14"/>
      <c r="AB14" s="14"/>
      <c r="AC14" s="14"/>
      <c r="AD14" s="14"/>
      <c r="AE14" s="14"/>
      <c r="AF14" s="14"/>
      <c r="AG14" s="14"/>
      <c r="AH14" s="14"/>
      <c r="AI14" s="14"/>
      <c r="AJ14" s="14"/>
      <c r="AK14" s="14"/>
      <c r="AL14" s="14"/>
      <c r="AM14" s="52"/>
    </row>
    <row r="15">
      <c r="A15" s="11">
        <v>44361</v>
      </c>
      <c r="B15" s="5"/>
      <c r="C15" s="5"/>
      <c r="D15" s="5"/>
      <c r="E15" s="5"/>
      <c r="F15" s="5"/>
      <c r="G15" s="5"/>
      <c r="H15" s="5"/>
      <c r="J15" s="5">
        <v>499</v>
      </c>
      <c r="K15" s="5"/>
      <c r="L15" s="5"/>
      <c r="M15" s="5"/>
      <c r="N15" s="5"/>
      <c r="O15" s="5"/>
      <c r="P15" s="5"/>
      <c r="Q15" s="5"/>
      <c r="R15" s="5"/>
      <c r="S15" s="41"/>
      <c r="T15" s="8"/>
      <c r="U15" s="5"/>
      <c r="V15" s="5"/>
      <c r="W15" s="5"/>
      <c r="X15" s="5"/>
      <c r="Y15" s="5"/>
      <c r="Z15" s="5"/>
      <c r="AA15" s="5"/>
      <c r="AC15" s="5"/>
      <c r="AD15" s="5"/>
      <c r="AE15" s="5"/>
      <c r="AF15" s="5"/>
      <c r="AG15" s="5"/>
      <c r="AH15" s="5"/>
      <c r="AI15" s="5"/>
      <c r="AJ15" s="5"/>
      <c r="AK15" s="5"/>
      <c r="AL15" s="5"/>
      <c r="AM15" s="52"/>
    </row>
    <row r="16">
      <c r="A16" s="11">
        <v>44362</v>
      </c>
      <c r="B16" s="14"/>
      <c r="C16" s="14"/>
      <c r="D16" s="14">
        <f>95+30</f>
        <v>125</v>
      </c>
      <c r="E16" s="14">
        <v>469</v>
      </c>
      <c r="F16" s="14"/>
      <c r="G16" s="14"/>
      <c r="H16" s="14"/>
      <c r="I16" s="14"/>
      <c r="J16" s="14"/>
      <c r="K16" s="14"/>
      <c r="L16" s="14"/>
      <c r="M16" s="14"/>
      <c r="N16" s="14"/>
      <c r="O16" s="14"/>
      <c r="P16" s="14">
        <v>700</v>
      </c>
      <c r="Q16" s="14"/>
      <c r="R16" s="14"/>
      <c r="S16" s="46"/>
      <c r="T16" s="8"/>
      <c r="U16" s="14"/>
      <c r="V16" s="14"/>
      <c r="W16" s="14"/>
      <c r="X16" s="14"/>
      <c r="Y16" s="14"/>
      <c r="Z16" s="14"/>
      <c r="AA16" s="14"/>
      <c r="AB16" s="14"/>
      <c r="AC16" s="14"/>
      <c r="AD16" s="14"/>
      <c r="AE16" s="14"/>
      <c r="AF16" s="14"/>
      <c r="AG16" s="14"/>
      <c r="AH16" s="14"/>
      <c r="AI16" s="14"/>
      <c r="AJ16" s="14"/>
      <c r="AK16" s="14"/>
      <c r="AL16" s="14"/>
      <c r="AM16" s="52"/>
    </row>
    <row r="17">
      <c r="A17" s="11">
        <v>44363</v>
      </c>
      <c r="B17" s="5"/>
      <c r="C17" s="5">
        <v>1828.6800000000001</v>
      </c>
      <c r="D17" s="5">
        <v>145</v>
      </c>
      <c r="E17" s="5"/>
      <c r="F17" s="5"/>
      <c r="G17" s="5"/>
      <c r="H17" s="5"/>
      <c r="I17" s="5"/>
      <c r="J17" s="5"/>
      <c r="K17" s="5"/>
      <c r="L17" s="5"/>
      <c r="M17" s="5"/>
      <c r="N17" s="5"/>
      <c r="O17" s="5"/>
      <c r="P17" s="5"/>
      <c r="Q17" s="5"/>
      <c r="R17" s="5"/>
      <c r="S17" s="41"/>
      <c r="T17" s="8"/>
      <c r="U17" s="5"/>
      <c r="V17" s="5"/>
      <c r="W17" s="5"/>
      <c r="X17" s="5"/>
      <c r="Y17" s="5"/>
      <c r="Z17" s="5"/>
      <c r="AA17" s="5"/>
      <c r="AB17" s="5"/>
      <c r="AC17" s="5"/>
      <c r="AD17" s="5"/>
      <c r="AE17" s="5"/>
      <c r="AF17" s="5"/>
      <c r="AG17" s="5"/>
      <c r="AH17" s="5"/>
      <c r="AI17" s="5"/>
      <c r="AJ17" s="5"/>
      <c r="AK17" s="5"/>
      <c r="AL17" s="5"/>
      <c r="AM17" s="52"/>
    </row>
    <row r="18">
      <c r="A18" s="11">
        <v>44364</v>
      </c>
      <c r="B18" s="14"/>
      <c r="C18" s="14">
        <v>42.630000000000003</v>
      </c>
      <c r="D18" s="14">
        <v>131</v>
      </c>
      <c r="E18" s="14"/>
      <c r="F18" s="14"/>
      <c r="G18" s="14"/>
      <c r="H18" s="14"/>
      <c r="I18" s="14"/>
      <c r="J18" s="14"/>
      <c r="K18" s="14"/>
      <c r="L18" s="14"/>
      <c r="M18" s="14"/>
      <c r="N18" s="14"/>
      <c r="O18" s="14"/>
      <c r="P18" s="14"/>
      <c r="Q18" s="14"/>
      <c r="R18" s="14"/>
      <c r="S18" s="46"/>
      <c r="T18" s="8"/>
      <c r="U18" s="14"/>
      <c r="V18" s="14"/>
      <c r="W18" s="14"/>
      <c r="X18" s="14"/>
      <c r="Y18" s="14"/>
      <c r="Z18" s="14"/>
      <c r="AA18" s="14"/>
      <c r="AB18" s="14"/>
      <c r="AC18" s="14"/>
      <c r="AD18" s="14"/>
      <c r="AE18" s="14"/>
      <c r="AF18" s="14"/>
      <c r="AG18" s="14"/>
      <c r="AH18" s="14"/>
      <c r="AI18" s="14"/>
      <c r="AJ18" s="14"/>
      <c r="AK18" s="14"/>
      <c r="AL18" s="14"/>
      <c r="AM18" s="52"/>
    </row>
    <row r="19">
      <c r="A19" s="11">
        <v>44365</v>
      </c>
      <c r="B19" s="5"/>
      <c r="C19" s="5"/>
      <c r="D19" s="5">
        <f>145+58</f>
        <v>203</v>
      </c>
      <c r="E19" s="5">
        <v>520</v>
      </c>
      <c r="F19" s="5"/>
      <c r="G19" s="5"/>
      <c r="H19" s="5"/>
      <c r="I19" s="5"/>
      <c r="J19" s="5"/>
      <c r="K19" s="5"/>
      <c r="L19" s="5"/>
      <c r="M19" s="5"/>
      <c r="N19" s="5"/>
      <c r="O19" s="5"/>
      <c r="P19" s="5"/>
      <c r="Q19" s="5"/>
      <c r="R19" s="5"/>
      <c r="S19" s="41"/>
      <c r="T19" s="8"/>
      <c r="U19" s="5"/>
      <c r="V19" s="5"/>
      <c r="W19" s="5"/>
      <c r="X19" s="5"/>
      <c r="Y19" s="5"/>
      <c r="Z19" s="5"/>
      <c r="AA19" s="5"/>
      <c r="AB19" s="5"/>
      <c r="AC19" s="5"/>
      <c r="AD19" s="5"/>
      <c r="AE19" s="5"/>
      <c r="AF19" s="5"/>
      <c r="AG19" s="5"/>
      <c r="AH19" s="5"/>
      <c r="AI19" s="5"/>
      <c r="AJ19" s="5"/>
      <c r="AK19" s="5"/>
      <c r="AL19" s="5"/>
      <c r="AM19" s="52"/>
    </row>
    <row r="20">
      <c r="A20" s="11">
        <v>44366</v>
      </c>
      <c r="B20" s="14">
        <f>244+20</f>
        <v>264</v>
      </c>
      <c r="C20" s="14"/>
      <c r="D20" s="14"/>
      <c r="E20" s="14"/>
      <c r="F20" s="14"/>
      <c r="G20" s="14"/>
      <c r="H20" s="14"/>
      <c r="I20" s="14"/>
      <c r="J20" s="14"/>
      <c r="K20" s="14"/>
      <c r="L20" s="14"/>
      <c r="M20" s="14"/>
      <c r="N20" s="14"/>
      <c r="O20" s="14"/>
      <c r="P20" s="34"/>
      <c r="Q20" s="14"/>
      <c r="R20" s="14"/>
      <c r="S20" s="46"/>
      <c r="T20" s="8"/>
      <c r="U20" s="14"/>
      <c r="V20" s="14"/>
      <c r="W20" s="14"/>
      <c r="X20" s="14"/>
      <c r="Y20" s="14"/>
      <c r="Z20" s="14"/>
      <c r="AA20" s="14"/>
      <c r="AB20" s="14"/>
      <c r="AC20" s="14"/>
      <c r="AD20" s="14"/>
      <c r="AE20" s="14"/>
      <c r="AF20" s="14"/>
      <c r="AG20" s="14"/>
      <c r="AH20" s="14"/>
      <c r="AI20" s="34"/>
      <c r="AJ20" s="14"/>
      <c r="AK20" s="14"/>
      <c r="AL20" s="14"/>
      <c r="AM20" s="52"/>
    </row>
    <row r="21">
      <c r="A21" s="11">
        <v>44367</v>
      </c>
      <c r="B21" s="35"/>
      <c r="C21" s="5"/>
      <c r="D21" s="5"/>
      <c r="E21" s="5"/>
      <c r="F21" s="5"/>
      <c r="G21" s="5"/>
      <c r="H21" s="5"/>
      <c r="I21" s="5"/>
      <c r="J21" s="5"/>
      <c r="K21" s="5"/>
      <c r="L21" s="5"/>
      <c r="M21" s="5"/>
      <c r="N21" s="5"/>
      <c r="O21" s="5"/>
      <c r="P21" s="5"/>
      <c r="Q21" s="5"/>
      <c r="R21" s="5"/>
      <c r="S21" s="41"/>
      <c r="T21" s="8"/>
      <c r="U21" s="35"/>
      <c r="V21" s="5"/>
      <c r="W21" s="5"/>
      <c r="X21" s="5"/>
      <c r="Y21" s="5"/>
      <c r="Z21" s="5"/>
      <c r="AA21" s="5"/>
      <c r="AB21" s="5"/>
      <c r="AC21" s="5"/>
      <c r="AD21" s="5"/>
      <c r="AE21" s="5"/>
      <c r="AF21" s="5"/>
      <c r="AG21" s="5"/>
      <c r="AH21" s="5"/>
      <c r="AI21" s="5"/>
      <c r="AJ21" s="5"/>
      <c r="AK21" s="5"/>
      <c r="AL21" s="5"/>
      <c r="AM21" s="52"/>
    </row>
    <row r="22">
      <c r="A22" s="11">
        <v>44368</v>
      </c>
      <c r="B22" s="53"/>
      <c r="C22" s="63"/>
      <c r="D22" s="64">
        <f>176+58</f>
        <v>234</v>
      </c>
      <c r="E22" s="14"/>
      <c r="F22" s="14"/>
      <c r="G22" s="14"/>
      <c r="H22" s="14"/>
      <c r="I22" s="14"/>
      <c r="J22" s="14"/>
      <c r="K22" s="14"/>
      <c r="L22" s="14"/>
      <c r="M22" s="14"/>
      <c r="N22" s="14"/>
      <c r="O22" s="14"/>
      <c r="P22" s="14"/>
      <c r="Q22" s="14"/>
      <c r="R22" s="14"/>
      <c r="S22" s="46"/>
      <c r="T22" s="8"/>
      <c r="U22" s="14"/>
      <c r="V22" s="36"/>
      <c r="W22" s="36"/>
      <c r="X22" s="14"/>
      <c r="Y22" s="14"/>
      <c r="Z22" s="14"/>
      <c r="AA22" s="14"/>
      <c r="AB22" s="14"/>
      <c r="AC22" s="14"/>
      <c r="AD22" s="14"/>
      <c r="AE22" s="14"/>
      <c r="AF22" s="14"/>
      <c r="AG22" s="14"/>
      <c r="AH22" s="14"/>
      <c r="AI22" s="14"/>
      <c r="AJ22" s="14"/>
      <c r="AK22" s="14"/>
      <c r="AL22" s="14"/>
      <c r="AM22" s="52"/>
    </row>
    <row r="23">
      <c r="A23" s="11">
        <v>44369</v>
      </c>
      <c r="B23" s="41"/>
      <c r="C23" s="5">
        <f>209.89+102.98</f>
        <v>312.87</v>
      </c>
      <c r="D23" s="5">
        <v>146</v>
      </c>
      <c r="E23" s="42"/>
      <c r="F23" s="5"/>
      <c r="G23" s="5"/>
      <c r="H23" s="5"/>
      <c r="I23" s="5"/>
      <c r="J23" s="5"/>
      <c r="K23" s="5"/>
      <c r="L23" s="5"/>
      <c r="M23" s="5"/>
      <c r="N23" s="5"/>
      <c r="O23" s="5"/>
      <c r="P23" s="5"/>
      <c r="Q23" s="5"/>
      <c r="R23" s="5"/>
      <c r="S23" s="41"/>
      <c r="T23" s="8"/>
      <c r="U23" s="5"/>
      <c r="X23" s="5"/>
      <c r="Y23" s="5"/>
      <c r="Z23" s="5"/>
      <c r="AA23" s="5"/>
      <c r="AB23" s="5"/>
      <c r="AC23" s="5"/>
      <c r="AD23" s="5"/>
      <c r="AE23" s="5"/>
      <c r="AF23" s="5"/>
      <c r="AG23" s="5"/>
      <c r="AH23" s="5"/>
      <c r="AI23" s="5"/>
      <c r="AJ23" s="5"/>
      <c r="AK23" s="5"/>
      <c r="AL23" s="5"/>
      <c r="AM23" s="52"/>
    </row>
    <row r="24">
      <c r="A24" s="11">
        <v>44370</v>
      </c>
      <c r="B24" s="14"/>
      <c r="C24" s="18"/>
      <c r="D24" s="18">
        <v>196</v>
      </c>
      <c r="E24" s="14">
        <v>410</v>
      </c>
      <c r="F24" s="14"/>
      <c r="G24" s="14"/>
      <c r="H24" s="14"/>
      <c r="I24" s="14"/>
      <c r="J24" s="14"/>
      <c r="K24" s="14"/>
      <c r="L24" s="14"/>
      <c r="M24" s="14"/>
      <c r="N24" s="14"/>
      <c r="O24" s="14"/>
      <c r="P24" s="14"/>
      <c r="Q24" s="14"/>
      <c r="R24" s="14"/>
      <c r="S24" s="46"/>
      <c r="T24" s="8"/>
      <c r="U24" s="14"/>
      <c r="V24" s="14"/>
      <c r="W24" s="14"/>
      <c r="X24" s="14"/>
      <c r="Y24" s="14"/>
      <c r="Z24" s="14"/>
      <c r="AA24" s="14"/>
      <c r="AB24" s="14"/>
      <c r="AC24" s="14"/>
      <c r="AD24" s="14"/>
      <c r="AE24" s="14"/>
      <c r="AF24" s="14"/>
      <c r="AG24" s="14"/>
      <c r="AH24" s="14"/>
      <c r="AI24" s="14"/>
      <c r="AJ24" s="14"/>
      <c r="AK24" s="14"/>
      <c r="AL24" s="14"/>
      <c r="AM24" s="52"/>
    </row>
    <row r="25">
      <c r="A25" s="11">
        <v>44371</v>
      </c>
      <c r="B25" s="54"/>
      <c r="C25" s="5"/>
      <c r="D25" s="5">
        <f>28+148</f>
        <v>176</v>
      </c>
      <c r="E25" s="5"/>
      <c r="F25" s="5"/>
      <c r="G25" s="5"/>
      <c r="H25" s="5"/>
      <c r="I25" s="5"/>
      <c r="J25" s="5"/>
      <c r="K25" s="5"/>
      <c r="L25" s="5">
        <v>2401.6700000000001</v>
      </c>
      <c r="M25" s="5"/>
      <c r="N25" s="5"/>
      <c r="O25" s="5"/>
      <c r="P25" s="5"/>
      <c r="Q25" s="5"/>
      <c r="R25" s="5"/>
      <c r="S25" s="41"/>
      <c r="T25" s="8"/>
      <c r="V25" s="5"/>
      <c r="W25" s="5"/>
      <c r="X25" s="5"/>
      <c r="Y25" s="5"/>
      <c r="Z25" s="5"/>
      <c r="AA25" s="5"/>
      <c r="AB25" s="5"/>
      <c r="AC25" s="5"/>
      <c r="AD25" s="5"/>
      <c r="AE25" s="5"/>
      <c r="AF25" s="5"/>
      <c r="AG25" s="5"/>
      <c r="AH25" s="5"/>
      <c r="AI25" s="5"/>
      <c r="AJ25" s="5"/>
      <c r="AK25" s="5"/>
      <c r="AL25" s="5"/>
      <c r="AM25" s="52"/>
    </row>
    <row r="26">
      <c r="A26" s="11">
        <v>44372</v>
      </c>
      <c r="B26" s="14"/>
      <c r="C26" s="14"/>
      <c r="D26" s="14">
        <v>153</v>
      </c>
      <c r="E26" s="14">
        <v>325</v>
      </c>
      <c r="F26" s="14"/>
      <c r="G26" s="14"/>
      <c r="H26" s="14"/>
      <c r="I26" s="14"/>
      <c r="J26" s="14"/>
      <c r="K26" s="14"/>
      <c r="L26" s="14"/>
      <c r="M26" s="14"/>
      <c r="N26" s="14"/>
      <c r="O26" s="14"/>
      <c r="P26" s="14"/>
      <c r="Q26" s="14"/>
      <c r="R26" s="14"/>
      <c r="S26" s="46"/>
      <c r="T26" s="8"/>
      <c r="U26" s="14"/>
      <c r="V26" s="14"/>
      <c r="W26" s="14"/>
      <c r="X26" s="14"/>
      <c r="Y26" s="14"/>
      <c r="Z26" s="14"/>
      <c r="AA26" s="14"/>
      <c r="AB26" s="14"/>
      <c r="AC26" s="14"/>
      <c r="AD26" s="14"/>
      <c r="AE26" s="14"/>
      <c r="AF26" s="14"/>
      <c r="AG26" s="14"/>
      <c r="AH26" s="14"/>
      <c r="AI26" s="14"/>
      <c r="AJ26" s="14"/>
      <c r="AK26" s="14"/>
      <c r="AL26" s="14"/>
      <c r="AM26" s="52"/>
    </row>
    <row r="27">
      <c r="A27" s="11">
        <v>44373</v>
      </c>
      <c r="B27" s="5"/>
      <c r="C27" s="5">
        <v>76.480000000000004</v>
      </c>
      <c r="D27" s="5"/>
      <c r="E27" s="5"/>
      <c r="F27" s="5"/>
      <c r="G27" s="5"/>
      <c r="H27" s="5"/>
      <c r="I27" s="5">
        <v>799</v>
      </c>
      <c r="J27" s="5"/>
      <c r="K27" s="5"/>
      <c r="L27" s="5"/>
      <c r="M27" s="5">
        <v>1398</v>
      </c>
      <c r="N27" s="5"/>
      <c r="O27" s="5"/>
      <c r="P27" s="5"/>
      <c r="Q27" s="5">
        <v>199</v>
      </c>
      <c r="R27" s="5"/>
      <c r="S27" s="41"/>
      <c r="T27" s="8"/>
      <c r="U27" s="5"/>
      <c r="V27" s="5"/>
      <c r="W27" s="5"/>
      <c r="X27" s="5"/>
      <c r="Y27" s="5"/>
      <c r="Z27" s="5"/>
      <c r="AA27" s="5"/>
      <c r="AB27" s="5"/>
      <c r="AC27" s="5"/>
      <c r="AD27" s="5"/>
      <c r="AE27" s="5"/>
      <c r="AF27" s="5"/>
      <c r="AG27" s="5"/>
      <c r="AH27" s="5"/>
      <c r="AI27" s="5"/>
      <c r="AJ27" s="5"/>
      <c r="AK27" s="5"/>
      <c r="AL27" s="5"/>
      <c r="AM27" s="52"/>
    </row>
    <row r="28">
      <c r="A28" s="11">
        <v>44374</v>
      </c>
      <c r="B28" s="14"/>
      <c r="C28" s="14"/>
      <c r="D28" s="14"/>
      <c r="E28" s="14"/>
      <c r="F28" s="14"/>
      <c r="G28" s="14"/>
      <c r="H28" s="14"/>
      <c r="I28" s="14"/>
      <c r="J28" s="14"/>
      <c r="K28" s="14"/>
      <c r="L28" s="14"/>
      <c r="M28" s="14"/>
      <c r="N28" s="14"/>
      <c r="O28" s="14"/>
      <c r="P28" s="14"/>
      <c r="Q28" s="14"/>
      <c r="R28" s="14"/>
      <c r="S28" s="46"/>
      <c r="T28" s="8"/>
      <c r="U28" s="14"/>
      <c r="V28" s="14"/>
      <c r="W28" s="14"/>
      <c r="X28" s="14"/>
      <c r="Y28" s="14"/>
      <c r="Z28" s="14"/>
      <c r="AA28" s="14"/>
      <c r="AB28" s="14"/>
      <c r="AC28" s="14"/>
      <c r="AD28" s="14"/>
      <c r="AE28" s="14"/>
      <c r="AF28" s="14"/>
      <c r="AG28" s="14"/>
      <c r="AH28" s="14"/>
      <c r="AI28" s="14"/>
      <c r="AJ28" s="14"/>
      <c r="AK28" s="14"/>
      <c r="AL28" s="14"/>
      <c r="AM28" s="52"/>
    </row>
    <row r="29">
      <c r="A29" s="11">
        <v>44375</v>
      </c>
      <c r="B29" s="5"/>
      <c r="C29" s="5">
        <v>22.899999999999999</v>
      </c>
      <c r="D29" s="5">
        <v>163</v>
      </c>
      <c r="E29" s="5"/>
      <c r="F29" s="5"/>
      <c r="G29" s="5">
        <v>199</v>
      </c>
      <c r="H29" s="5"/>
      <c r="I29" s="5"/>
      <c r="J29" s="5"/>
      <c r="K29" s="5"/>
      <c r="L29" s="5"/>
      <c r="M29" s="5"/>
      <c r="N29" s="5"/>
      <c r="O29" s="5"/>
      <c r="P29" s="5"/>
      <c r="Q29" s="5"/>
      <c r="R29" s="5"/>
      <c r="S29" s="41"/>
      <c r="T29" s="8"/>
      <c r="U29" s="5"/>
      <c r="V29" s="5"/>
      <c r="W29" s="5"/>
      <c r="X29" s="5"/>
      <c r="Y29" s="5"/>
      <c r="Z29" s="5"/>
      <c r="AA29" s="5"/>
      <c r="AB29" s="5"/>
      <c r="AC29" s="5"/>
      <c r="AD29" s="5"/>
      <c r="AE29" s="5"/>
      <c r="AF29" s="5"/>
      <c r="AG29" s="5"/>
      <c r="AH29" s="5"/>
      <c r="AI29" s="5"/>
      <c r="AJ29" s="5"/>
      <c r="AK29" s="5"/>
      <c r="AL29" s="5"/>
      <c r="AM29" s="52"/>
    </row>
    <row r="30">
      <c r="A30" s="11">
        <v>44376</v>
      </c>
      <c r="B30" s="22"/>
      <c r="C30" s="22"/>
      <c r="D30" s="22">
        <v>154</v>
      </c>
      <c r="E30" s="22"/>
      <c r="F30" s="22"/>
      <c r="G30" s="22"/>
      <c r="H30" s="22"/>
      <c r="I30" s="22"/>
      <c r="J30" s="22"/>
      <c r="K30" s="22"/>
      <c r="L30" s="22">
        <v>643.11000000000001</v>
      </c>
      <c r="M30" s="22"/>
      <c r="N30" s="22"/>
      <c r="O30" s="22"/>
      <c r="P30" s="22"/>
      <c r="Q30" s="22"/>
      <c r="R30" s="22"/>
      <c r="S30" s="55"/>
      <c r="T30" s="8"/>
      <c r="U30" s="22"/>
      <c r="V30" s="22"/>
      <c r="W30" s="22"/>
      <c r="X30" s="22"/>
      <c r="Y30" s="22"/>
      <c r="Z30" s="22"/>
      <c r="AA30" s="22"/>
      <c r="AB30" s="22"/>
      <c r="AC30" s="22"/>
      <c r="AD30" s="22"/>
      <c r="AE30" s="22"/>
      <c r="AF30" s="22"/>
      <c r="AG30" s="22"/>
      <c r="AH30" s="22"/>
      <c r="AI30" s="22"/>
      <c r="AJ30" s="22"/>
      <c r="AK30" s="22"/>
      <c r="AL30" s="55"/>
      <c r="AM30" s="52"/>
    </row>
    <row r="31">
      <c r="A31" s="11">
        <v>44377</v>
      </c>
      <c r="B31" s="5"/>
      <c r="C31" s="5"/>
      <c r="D31" s="5">
        <v>139</v>
      </c>
      <c r="E31" s="5"/>
      <c r="F31" s="5"/>
      <c r="G31" s="5"/>
      <c r="H31" s="5"/>
      <c r="I31" s="5"/>
      <c r="J31" s="5"/>
      <c r="K31" s="5"/>
      <c r="L31" s="5"/>
      <c r="M31" s="5"/>
      <c r="N31" s="5"/>
      <c r="O31" s="5"/>
      <c r="P31" s="5"/>
      <c r="Q31" s="5"/>
      <c r="R31" s="5"/>
      <c r="S31" s="41"/>
      <c r="T31" s="8"/>
      <c r="U31" s="5"/>
      <c r="V31" s="5"/>
      <c r="W31" s="5"/>
      <c r="X31" s="5"/>
      <c r="Y31" s="5"/>
      <c r="Z31" s="5"/>
      <c r="AA31" s="5"/>
      <c r="AB31" s="5"/>
      <c r="AC31" s="5"/>
      <c r="AD31" s="5"/>
      <c r="AE31" s="5"/>
      <c r="AF31" s="5"/>
      <c r="AG31" s="5"/>
      <c r="AH31" s="5"/>
      <c r="AI31" s="5"/>
      <c r="AJ31" s="5"/>
      <c r="AK31" s="5"/>
      <c r="AL31" s="41"/>
      <c r="AM31" s="52"/>
    </row>
    <row r="32">
      <c r="A32" s="11"/>
      <c r="B32" s="22"/>
      <c r="C32" s="22"/>
      <c r="D32" s="22"/>
      <c r="E32" s="22"/>
      <c r="F32" s="22"/>
      <c r="G32" s="22"/>
      <c r="H32" s="22"/>
      <c r="I32" s="22"/>
      <c r="J32" s="22"/>
      <c r="K32" s="22">
        <v>625</v>
      </c>
      <c r="L32" s="22"/>
      <c r="M32" s="22"/>
      <c r="N32" s="22"/>
      <c r="O32" s="22"/>
      <c r="P32" s="22"/>
      <c r="Q32" s="22"/>
      <c r="R32" s="22"/>
      <c r="S32" s="55"/>
      <c r="T32" s="8"/>
      <c r="U32" s="22"/>
      <c r="V32" s="22"/>
      <c r="W32" s="22"/>
      <c r="X32" s="22"/>
      <c r="Y32" s="22"/>
      <c r="Z32" s="22"/>
      <c r="AA32" s="22"/>
      <c r="AB32" s="22"/>
      <c r="AC32" s="22"/>
      <c r="AD32" s="22"/>
      <c r="AE32" s="22"/>
      <c r="AF32" s="22"/>
      <c r="AG32" s="22"/>
      <c r="AH32" s="22"/>
      <c r="AI32" s="22"/>
      <c r="AJ32" s="22"/>
      <c r="AK32" s="22"/>
      <c r="AL32" s="55"/>
      <c r="AM32" s="52"/>
    </row>
    <row r="33">
      <c r="A33" s="7"/>
      <c r="B33" s="7">
        <f>SUM(B2:B32)</f>
        <v>264</v>
      </c>
      <c r="C33" s="7">
        <f t="shared" ref="C33:R33" si="64">SUM(C2:C32)</f>
        <v>3271.4100000000003</v>
      </c>
      <c r="D33" s="7">
        <f t="shared" si="64"/>
        <v>3111</v>
      </c>
      <c r="E33" s="7">
        <f t="shared" si="64"/>
        <v>3848</v>
      </c>
      <c r="F33" s="7">
        <f t="shared" si="64"/>
        <v>0</v>
      </c>
      <c r="G33" s="7">
        <f t="shared" si="64"/>
        <v>199</v>
      </c>
      <c r="H33" s="7">
        <f t="shared" si="64"/>
        <v>0</v>
      </c>
      <c r="I33" s="7">
        <f t="shared" si="64"/>
        <v>799</v>
      </c>
      <c r="J33" s="7">
        <f t="shared" si="64"/>
        <v>844.99000000000001</v>
      </c>
      <c r="K33" s="7">
        <f t="shared" si="64"/>
        <v>625</v>
      </c>
      <c r="L33" s="7">
        <f t="shared" si="64"/>
        <v>3044.7800000000002</v>
      </c>
      <c r="M33" s="7">
        <f t="shared" si="64"/>
        <v>1898</v>
      </c>
      <c r="N33" s="7">
        <f t="shared" si="64"/>
        <v>500</v>
      </c>
      <c r="O33" s="7">
        <f t="shared" si="64"/>
        <v>0</v>
      </c>
      <c r="P33" s="7">
        <f t="shared" si="64"/>
        <v>700</v>
      </c>
      <c r="Q33" s="7">
        <f t="shared" si="64"/>
        <v>199</v>
      </c>
      <c r="R33" s="7">
        <f t="shared" si="64"/>
        <v>0</v>
      </c>
      <c r="S33" s="47">
        <f>SUM(B33:R33)</f>
        <v>19304.18</v>
      </c>
      <c r="T33" s="8"/>
      <c r="U33" s="7">
        <f t="shared" ref="U33:AJ33" si="65">SUM(U2:U29)</f>
        <v>0</v>
      </c>
      <c r="V33" s="7">
        <f t="shared" si="65"/>
        <v>0</v>
      </c>
      <c r="W33" s="7">
        <f t="shared" si="65"/>
        <v>0</v>
      </c>
      <c r="X33" s="7">
        <f t="shared" si="65"/>
        <v>0</v>
      </c>
      <c r="Y33" s="7">
        <f t="shared" si="65"/>
        <v>0</v>
      </c>
      <c r="Z33" s="7">
        <f t="shared" si="65"/>
        <v>0</v>
      </c>
      <c r="AA33" s="7">
        <f t="shared" si="65"/>
        <v>0</v>
      </c>
      <c r="AB33" s="7">
        <f t="shared" si="65"/>
        <v>0</v>
      </c>
      <c r="AC33" s="7">
        <f t="shared" si="65"/>
        <v>0</v>
      </c>
      <c r="AD33" s="7">
        <f t="shared" si="65"/>
        <v>0</v>
      </c>
      <c r="AE33" s="7">
        <f t="shared" si="65"/>
        <v>0</v>
      </c>
      <c r="AF33" s="7">
        <f t="shared" si="65"/>
        <v>0</v>
      </c>
      <c r="AG33" s="7">
        <f t="shared" si="65"/>
        <v>0</v>
      </c>
      <c r="AH33" s="7">
        <f t="shared" si="65"/>
        <v>0</v>
      </c>
      <c r="AI33" s="7">
        <f t="shared" si="65"/>
        <v>0</v>
      </c>
      <c r="AJ33" s="7">
        <f t="shared" si="65"/>
        <v>0</v>
      </c>
      <c r="AK33" s="7" t="s">
        <v>14</v>
      </c>
      <c r="AL33" s="47">
        <f>SUM(U33:AJ33)</f>
        <v>0</v>
      </c>
      <c r="AM33" s="52"/>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56"/>
      <c r="AE34" s="56"/>
      <c r="AF34" s="56"/>
      <c r="AG34" s="56"/>
      <c r="AH34" s="56"/>
      <c r="AI34" s="56"/>
      <c r="AJ34" s="56"/>
      <c r="AK34" s="56"/>
      <c r="AL34" s="56"/>
      <c r="AM34" s="52"/>
    </row>
    <row r="35">
      <c r="A35" s="10" t="s">
        <v>0</v>
      </c>
      <c r="B35" s="10" t="s">
        <v>50</v>
      </c>
      <c r="C35" s="10" t="s">
        <v>13</v>
      </c>
      <c r="D35" s="10" t="s">
        <v>11</v>
      </c>
      <c r="E35" s="10" t="s">
        <v>51</v>
      </c>
      <c r="F35" s="10" t="s">
        <v>52</v>
      </c>
      <c r="G35" s="10" t="s">
        <v>53</v>
      </c>
      <c r="H35" s="10" t="s">
        <v>54</v>
      </c>
      <c r="I35" s="10" t="s">
        <v>55</v>
      </c>
      <c r="J35" s="65" t="s">
        <v>61</v>
      </c>
      <c r="K35" s="65" t="s">
        <v>74</v>
      </c>
      <c r="L35" s="57"/>
      <c r="M35" s="57"/>
      <c r="N35" s="57"/>
      <c r="O35" s="57"/>
      <c r="P35" s="57"/>
      <c r="Q35" s="57"/>
      <c r="R35" s="57"/>
      <c r="S35" s="57"/>
      <c r="T35" s="8"/>
      <c r="U35" s="10" t="s">
        <v>0</v>
      </c>
      <c r="V35" s="10" t="s">
        <v>15</v>
      </c>
      <c r="W35" s="10" t="s">
        <v>64</v>
      </c>
      <c r="X35" s="10" t="s">
        <v>17</v>
      </c>
      <c r="Y35" s="10" t="s">
        <v>18</v>
      </c>
      <c r="Z35" s="10" t="s">
        <v>21</v>
      </c>
      <c r="AA35" s="10" t="s">
        <v>26</v>
      </c>
      <c r="AB35" s="10" t="s">
        <v>27</v>
      </c>
      <c r="AC35" s="1"/>
      <c r="AD35" s="5"/>
      <c r="AE35" s="5"/>
      <c r="AF35" s="5"/>
      <c r="AG35" s="5"/>
      <c r="AH35" s="5"/>
      <c r="AI35" s="5"/>
      <c r="AJ35" s="5"/>
      <c r="AK35" s="5"/>
      <c r="AL35" s="5"/>
      <c r="AM35" s="52"/>
    </row>
    <row r="36">
      <c r="A36" s="11">
        <v>44348</v>
      </c>
      <c r="B36" s="14"/>
      <c r="C36" s="14"/>
      <c r="D36" s="14"/>
      <c r="E36" s="14"/>
      <c r="F36" s="14"/>
      <c r="G36" s="14"/>
      <c r="H36" s="14"/>
      <c r="I36" s="14"/>
      <c r="J36" s="22"/>
      <c r="K36" s="22"/>
      <c r="L36" s="22"/>
      <c r="M36" s="22"/>
      <c r="N36" s="22"/>
      <c r="O36" s="22"/>
      <c r="P36" s="22"/>
      <c r="Q36" s="22"/>
      <c r="R36" s="22"/>
      <c r="S36" s="22"/>
      <c r="T36" s="8"/>
      <c r="U36" s="11">
        <v>44348</v>
      </c>
      <c r="V36" s="14"/>
      <c r="W36" s="14"/>
      <c r="X36" s="14"/>
      <c r="Y36" s="14"/>
      <c r="Z36" s="14"/>
      <c r="AA36" s="14"/>
      <c r="AB36" s="14"/>
      <c r="AC36" s="14"/>
      <c r="AD36" s="5"/>
      <c r="AE36" s="5"/>
      <c r="AF36" s="5"/>
      <c r="AG36" s="5"/>
      <c r="AH36" s="5"/>
      <c r="AI36" s="5"/>
      <c r="AJ36" s="5"/>
      <c r="AK36" s="5"/>
      <c r="AL36" s="5"/>
      <c r="AM36" s="52"/>
    </row>
    <row r="37">
      <c r="A37" s="11">
        <v>44349</v>
      </c>
      <c r="B37" s="5"/>
      <c r="C37" s="5"/>
      <c r="D37" s="5"/>
      <c r="E37" s="5"/>
      <c r="F37" s="5">
        <f>(-50500*3)+180000</f>
        <v>28500</v>
      </c>
      <c r="G37" s="5"/>
      <c r="H37" s="5"/>
      <c r="I37" s="5"/>
      <c r="J37" s="5"/>
      <c r="K37" s="5"/>
      <c r="L37" s="5"/>
      <c r="M37" s="5"/>
      <c r="N37" s="5"/>
      <c r="O37" s="5"/>
      <c r="P37" s="5"/>
      <c r="Q37" s="5"/>
      <c r="R37" s="5"/>
      <c r="S37" s="5"/>
      <c r="T37" s="8"/>
      <c r="U37" s="11">
        <v>44349</v>
      </c>
      <c r="V37" s="5"/>
      <c r="W37" s="5"/>
      <c r="X37" s="5"/>
      <c r="Y37" s="5"/>
      <c r="Z37" s="5"/>
      <c r="AA37" s="5"/>
      <c r="AB37" s="5"/>
      <c r="AC37" s="5"/>
      <c r="AD37" s="5"/>
      <c r="AE37" s="5"/>
      <c r="AF37" s="5"/>
      <c r="AG37" s="5"/>
      <c r="AH37" s="5"/>
      <c r="AI37" s="5"/>
      <c r="AJ37" s="5"/>
      <c r="AK37" s="5"/>
      <c r="AL37" s="5"/>
      <c r="AM37" s="52"/>
    </row>
    <row r="38">
      <c r="A38" s="11">
        <v>44350</v>
      </c>
      <c r="B38" s="14"/>
      <c r="C38" s="14"/>
      <c r="D38" s="14"/>
      <c r="E38" s="14"/>
      <c r="F38" s="14"/>
      <c r="G38" s="14"/>
      <c r="H38" s="14"/>
      <c r="I38" s="14"/>
      <c r="J38" s="22"/>
      <c r="K38" s="22"/>
      <c r="L38" s="22"/>
      <c r="M38" s="22"/>
      <c r="N38" s="22"/>
      <c r="O38" s="22"/>
      <c r="P38" s="22"/>
      <c r="Q38" s="22"/>
      <c r="R38" s="22"/>
      <c r="S38" s="22"/>
      <c r="T38" s="8"/>
      <c r="U38" s="11">
        <v>44350</v>
      </c>
      <c r="V38" s="14"/>
      <c r="W38" s="14"/>
      <c r="X38" s="14"/>
      <c r="Y38" s="14"/>
      <c r="Z38" s="14"/>
      <c r="AA38" s="14"/>
      <c r="AB38" s="14"/>
      <c r="AC38" s="14"/>
      <c r="AD38" s="5"/>
      <c r="AE38" s="5"/>
      <c r="AF38" s="5"/>
      <c r="AG38" s="5"/>
      <c r="AH38" s="5"/>
      <c r="AI38" s="5"/>
      <c r="AJ38" s="5"/>
      <c r="AK38" s="5"/>
      <c r="AL38" s="5"/>
      <c r="AM38" s="52"/>
    </row>
    <row r="39">
      <c r="A39" s="11">
        <v>44351</v>
      </c>
      <c r="B39" s="5"/>
      <c r="C39" s="5"/>
      <c r="D39" s="5"/>
      <c r="E39" s="58">
        <v>42.969999999999999</v>
      </c>
      <c r="F39" s="5"/>
      <c r="G39" s="5"/>
      <c r="H39" s="5"/>
      <c r="I39" s="5">
        <f>1571+51.18</f>
        <v>1622.1800000000001</v>
      </c>
      <c r="J39" s="5"/>
      <c r="K39" s="5"/>
      <c r="L39" s="5"/>
      <c r="M39" s="5"/>
      <c r="N39" s="5"/>
      <c r="O39" s="5"/>
      <c r="P39" s="5"/>
      <c r="Q39" s="5"/>
      <c r="R39" s="5"/>
      <c r="S39" s="5"/>
      <c r="T39" s="8"/>
      <c r="U39" s="11">
        <v>44351</v>
      </c>
      <c r="V39" s="5"/>
      <c r="W39" s="5"/>
      <c r="X39" s="5"/>
      <c r="Y39" s="5"/>
      <c r="Z39" s="5"/>
      <c r="AA39" s="5"/>
      <c r="AB39" s="5"/>
      <c r="AC39" s="5"/>
      <c r="AD39" s="5"/>
      <c r="AE39" s="5"/>
      <c r="AF39" s="5"/>
      <c r="AG39" s="5"/>
      <c r="AH39" s="5"/>
      <c r="AI39" s="5"/>
      <c r="AJ39" s="5"/>
      <c r="AK39" s="5"/>
      <c r="AL39" s="5"/>
      <c r="AM39" s="52"/>
    </row>
    <row r="40">
      <c r="A40" s="11">
        <v>44352</v>
      </c>
      <c r="B40" s="14"/>
      <c r="C40" s="14"/>
      <c r="D40" s="14"/>
      <c r="E40" s="14"/>
      <c r="F40" s="14"/>
      <c r="G40" s="14"/>
      <c r="H40" s="14"/>
      <c r="I40" s="14"/>
      <c r="J40" s="22"/>
      <c r="K40" s="22"/>
      <c r="L40" s="22"/>
      <c r="M40" s="22"/>
      <c r="N40" s="22"/>
      <c r="O40" s="22"/>
      <c r="P40" s="22"/>
      <c r="Q40" s="22"/>
      <c r="R40" s="22"/>
      <c r="S40" s="22"/>
      <c r="T40" s="8"/>
      <c r="U40" s="11">
        <v>44352</v>
      </c>
      <c r="V40" s="14"/>
      <c r="W40" s="14"/>
      <c r="X40" s="14"/>
      <c r="Y40" s="14"/>
      <c r="Z40" s="14"/>
      <c r="AA40" s="14"/>
      <c r="AB40" s="14"/>
      <c r="AC40" s="14"/>
      <c r="AD40" s="5"/>
      <c r="AE40" s="5"/>
      <c r="AF40" s="5"/>
      <c r="AG40" s="5"/>
      <c r="AH40" s="5"/>
      <c r="AI40" s="5"/>
      <c r="AJ40" s="5"/>
      <c r="AK40" s="5"/>
      <c r="AL40" s="5"/>
      <c r="AM40" s="52"/>
    </row>
    <row r="41">
      <c r="A41" s="11">
        <v>44353</v>
      </c>
      <c r="B41" s="5"/>
      <c r="C41" s="5"/>
      <c r="D41" s="5"/>
      <c r="E41" s="5"/>
      <c r="F41" s="5"/>
      <c r="G41" s="5"/>
      <c r="H41" s="5"/>
      <c r="I41" s="5"/>
      <c r="J41" s="5"/>
      <c r="K41" s="5"/>
      <c r="L41" s="5"/>
      <c r="M41" s="5"/>
      <c r="N41" s="5"/>
      <c r="O41" s="5"/>
      <c r="P41" s="5"/>
      <c r="Q41" s="5"/>
      <c r="R41" s="5"/>
      <c r="S41" s="5"/>
      <c r="T41" s="8"/>
      <c r="U41" s="11">
        <v>44353</v>
      </c>
      <c r="V41" s="5"/>
      <c r="W41" s="5"/>
      <c r="X41" s="5"/>
      <c r="Y41" s="5"/>
      <c r="Z41" s="5"/>
      <c r="AA41" s="5"/>
      <c r="AB41" s="5"/>
      <c r="AC41" s="5"/>
      <c r="AD41" s="5"/>
      <c r="AE41" s="5"/>
      <c r="AF41" s="5"/>
      <c r="AG41" s="5"/>
      <c r="AH41" s="5"/>
      <c r="AI41" s="5"/>
      <c r="AJ41" s="5"/>
      <c r="AK41" s="5"/>
      <c r="AL41" s="5"/>
      <c r="AM41" s="52"/>
    </row>
    <row r="42">
      <c r="A42" s="11">
        <v>44354</v>
      </c>
      <c r="B42" s="14"/>
      <c r="C42" s="14"/>
      <c r="D42" s="14"/>
      <c r="E42" s="14"/>
      <c r="F42" s="14"/>
      <c r="G42" s="14"/>
      <c r="H42" s="14"/>
      <c r="I42" s="14"/>
      <c r="J42" s="22"/>
      <c r="K42" s="22"/>
      <c r="L42" s="22"/>
      <c r="M42" s="22"/>
      <c r="N42" s="22"/>
      <c r="O42" s="22"/>
      <c r="P42" s="22"/>
      <c r="Q42" s="22"/>
      <c r="R42" s="22"/>
      <c r="S42" s="22"/>
      <c r="T42" s="8"/>
      <c r="U42" s="11">
        <v>44354</v>
      </c>
      <c r="V42" s="14"/>
      <c r="W42" s="14"/>
      <c r="X42" s="14"/>
      <c r="Y42" s="14"/>
      <c r="Z42" s="14"/>
      <c r="AA42" s="14"/>
      <c r="AB42" s="14"/>
      <c r="AC42" s="14"/>
      <c r="AD42" s="5"/>
      <c r="AE42" s="5"/>
      <c r="AF42" s="5"/>
      <c r="AG42" s="5"/>
      <c r="AH42" s="5"/>
      <c r="AI42" s="5"/>
      <c r="AJ42" s="5"/>
      <c r="AK42" s="5"/>
      <c r="AL42" s="5"/>
      <c r="AM42" s="52"/>
    </row>
    <row r="43">
      <c r="A43" s="11">
        <v>44355</v>
      </c>
      <c r="B43" s="5"/>
      <c r="C43" s="5"/>
      <c r="D43" s="5"/>
      <c r="E43" s="5"/>
      <c r="F43" s="5"/>
      <c r="G43" s="5"/>
      <c r="H43" s="5"/>
      <c r="I43" s="5"/>
      <c r="J43" s="5"/>
      <c r="K43" s="5"/>
      <c r="L43" s="5"/>
      <c r="M43" s="5"/>
      <c r="N43" s="5"/>
      <c r="O43" s="5"/>
      <c r="P43" s="5"/>
      <c r="Q43" s="5"/>
      <c r="R43" s="5"/>
      <c r="S43" s="5"/>
      <c r="T43" s="8"/>
      <c r="U43" s="11">
        <v>44355</v>
      </c>
      <c r="V43" s="5"/>
      <c r="W43" s="5"/>
      <c r="X43" s="5"/>
      <c r="Y43" s="5"/>
      <c r="Z43" s="5"/>
      <c r="AA43" s="5"/>
      <c r="AB43" s="5"/>
      <c r="AC43" s="5"/>
      <c r="AD43" s="5"/>
      <c r="AE43" s="5"/>
      <c r="AF43" s="5"/>
      <c r="AG43" s="5"/>
      <c r="AH43" s="5"/>
      <c r="AI43" s="5"/>
      <c r="AJ43" s="5"/>
      <c r="AK43" s="5"/>
      <c r="AL43" s="5"/>
      <c r="AM43" s="52"/>
    </row>
    <row r="44">
      <c r="A44" s="11">
        <v>44356</v>
      </c>
      <c r="B44" s="59"/>
      <c r="C44" s="14"/>
      <c r="D44" s="14"/>
      <c r="E44" s="14"/>
      <c r="F44" s="14"/>
      <c r="G44" s="14"/>
      <c r="H44" s="14"/>
      <c r="I44" s="14"/>
      <c r="J44" s="22"/>
      <c r="K44" s="22"/>
      <c r="L44" s="22"/>
      <c r="M44" s="22"/>
      <c r="N44" s="22"/>
      <c r="O44" s="22"/>
      <c r="P44" s="22"/>
      <c r="Q44" s="22"/>
      <c r="R44" s="22"/>
      <c r="S44" s="22"/>
      <c r="T44" s="8"/>
      <c r="U44" s="11">
        <v>44356</v>
      </c>
      <c r="V44" s="38"/>
      <c r="W44" s="14"/>
      <c r="X44" s="14"/>
      <c r="Y44" s="14"/>
      <c r="Z44" s="14"/>
      <c r="AA44" s="14"/>
      <c r="AB44" s="14"/>
      <c r="AC44" s="14"/>
      <c r="AD44" s="5"/>
      <c r="AE44" s="5"/>
      <c r="AF44" s="5"/>
      <c r="AG44" s="5"/>
      <c r="AH44" s="5"/>
      <c r="AI44" s="5"/>
      <c r="AJ44" s="5"/>
      <c r="AK44" s="5"/>
      <c r="AL44" s="5"/>
      <c r="AM44" s="52"/>
    </row>
    <row r="45">
      <c r="A45" s="11">
        <v>44357</v>
      </c>
      <c r="B45" s="5">
        <v>27736.549999999999</v>
      </c>
      <c r="C45" s="5"/>
      <c r="D45" s="5"/>
      <c r="E45" s="5"/>
      <c r="F45" s="5">
        <f>-57999+90000</f>
        <v>32001</v>
      </c>
      <c r="G45" s="5"/>
      <c r="H45" s="5"/>
      <c r="I45" s="5"/>
      <c r="J45" s="5"/>
      <c r="K45" s="5"/>
      <c r="L45" s="5"/>
      <c r="M45" s="5"/>
      <c r="N45" s="5"/>
      <c r="O45" s="5"/>
      <c r="P45" s="5"/>
      <c r="Q45" s="5"/>
      <c r="R45" s="5"/>
      <c r="S45" s="5"/>
      <c r="T45" s="8"/>
      <c r="U45" s="11">
        <v>44357</v>
      </c>
      <c r="V45" s="5">
        <v>22177.029999999999</v>
      </c>
      <c r="W45" s="5"/>
      <c r="X45" s="5"/>
      <c r="Y45" s="5"/>
      <c r="Z45" s="5"/>
      <c r="AA45" s="5"/>
      <c r="AB45" s="5"/>
      <c r="AC45" s="5"/>
      <c r="AD45" s="5"/>
      <c r="AE45" s="5"/>
      <c r="AF45" s="5"/>
      <c r="AG45" s="5"/>
      <c r="AH45" s="5"/>
      <c r="AI45" s="5"/>
      <c r="AJ45" s="5"/>
      <c r="AK45" s="5"/>
      <c r="AL45" s="5"/>
      <c r="AM45" s="52"/>
    </row>
    <row r="46">
      <c r="A46" s="11">
        <v>44358</v>
      </c>
      <c r="B46" s="14"/>
      <c r="C46" s="14"/>
      <c r="D46" s="14"/>
      <c r="E46" s="14"/>
      <c r="F46" s="14"/>
      <c r="G46" s="14"/>
      <c r="H46" s="14"/>
      <c r="I46" s="14"/>
      <c r="J46" s="22"/>
      <c r="K46" s="22"/>
      <c r="L46" s="22"/>
      <c r="M46" s="22"/>
      <c r="N46" s="22"/>
      <c r="O46" s="22"/>
      <c r="P46" s="22"/>
      <c r="Q46" s="22"/>
      <c r="R46" s="22"/>
      <c r="S46" s="22"/>
      <c r="T46" s="8"/>
      <c r="U46" s="11">
        <v>44358</v>
      </c>
      <c r="V46" s="14"/>
      <c r="W46" s="14"/>
      <c r="X46" s="14"/>
      <c r="Y46" s="14"/>
      <c r="Z46" s="14"/>
      <c r="AA46" s="14"/>
      <c r="AB46" s="14"/>
      <c r="AC46" s="14"/>
      <c r="AD46" s="5"/>
      <c r="AE46" s="5"/>
      <c r="AF46" s="5"/>
      <c r="AG46" s="5"/>
      <c r="AH46" s="5"/>
      <c r="AI46" s="5"/>
      <c r="AJ46" s="5"/>
      <c r="AK46" s="5"/>
      <c r="AL46" s="5"/>
      <c r="AM46" s="52"/>
    </row>
    <row r="47">
      <c r="A47" s="11">
        <v>44359</v>
      </c>
      <c r="B47" s="5"/>
      <c r="C47" s="5"/>
      <c r="D47" s="5"/>
      <c r="E47" s="5"/>
      <c r="F47" s="5"/>
      <c r="G47" s="5"/>
      <c r="H47" s="5"/>
      <c r="I47" s="5"/>
      <c r="J47" s="5"/>
      <c r="K47" s="5"/>
      <c r="L47" s="5"/>
      <c r="M47" s="5"/>
      <c r="N47" s="5"/>
      <c r="O47" s="5"/>
      <c r="P47" s="5"/>
      <c r="Q47" s="5"/>
      <c r="R47" s="5"/>
      <c r="S47" s="5"/>
      <c r="T47" s="8"/>
      <c r="U47" s="11">
        <v>44359</v>
      </c>
      <c r="V47" s="5"/>
      <c r="W47" s="5"/>
      <c r="X47" s="5"/>
      <c r="Y47" s="5"/>
      <c r="Z47" s="5"/>
      <c r="AA47" s="5"/>
      <c r="AB47" s="5"/>
      <c r="AC47" s="5"/>
      <c r="AD47" s="5"/>
      <c r="AE47" s="5"/>
      <c r="AF47" s="5"/>
      <c r="AG47" s="5"/>
      <c r="AH47" s="5"/>
      <c r="AI47" s="5"/>
      <c r="AJ47" s="5"/>
      <c r="AK47" s="5"/>
      <c r="AL47" s="5"/>
      <c r="AM47" s="52"/>
    </row>
    <row r="48">
      <c r="A48" s="11">
        <v>44360</v>
      </c>
      <c r="B48" s="14"/>
      <c r="C48" s="14"/>
      <c r="D48" s="14"/>
      <c r="E48" s="14"/>
      <c r="F48" s="14"/>
      <c r="G48" s="14"/>
      <c r="H48" s="14"/>
      <c r="I48" s="14"/>
      <c r="J48" s="22"/>
      <c r="K48" s="22"/>
      <c r="L48" s="22"/>
      <c r="M48" s="22"/>
      <c r="N48" s="22"/>
      <c r="O48" s="22"/>
      <c r="P48" s="22"/>
      <c r="Q48" s="22"/>
      <c r="R48" s="22"/>
      <c r="S48" s="22"/>
      <c r="T48" s="8"/>
      <c r="U48" s="11">
        <v>44360</v>
      </c>
      <c r="V48" s="14"/>
      <c r="W48" s="14"/>
      <c r="X48" s="14"/>
      <c r="Y48" s="14"/>
      <c r="Z48" s="14"/>
      <c r="AA48" s="14"/>
      <c r="AB48" s="14"/>
      <c r="AC48" s="14"/>
      <c r="AD48" s="5"/>
      <c r="AE48" s="5"/>
      <c r="AF48" s="5"/>
      <c r="AG48" s="5"/>
      <c r="AH48" s="5"/>
      <c r="AI48" s="5"/>
      <c r="AJ48" s="5"/>
      <c r="AK48" s="5"/>
      <c r="AL48" s="5"/>
      <c r="AM48" s="52"/>
    </row>
    <row r="49">
      <c r="A49" s="11">
        <v>44361</v>
      </c>
      <c r="B49" s="5"/>
      <c r="C49" s="5"/>
      <c r="D49" s="5"/>
      <c r="E49" s="5"/>
      <c r="F49" s="5"/>
      <c r="G49" s="5"/>
      <c r="H49" s="5"/>
      <c r="I49" s="5"/>
      <c r="J49" s="5"/>
      <c r="K49" s="5"/>
      <c r="L49" s="5"/>
      <c r="M49" s="5"/>
      <c r="N49" s="5"/>
      <c r="O49" s="5"/>
      <c r="P49" s="5"/>
      <c r="Q49" s="5"/>
      <c r="R49" s="5"/>
      <c r="S49" s="5"/>
      <c r="T49" s="8"/>
      <c r="U49" s="11">
        <v>44361</v>
      </c>
      <c r="V49" s="5"/>
      <c r="W49" s="5"/>
      <c r="X49" s="5"/>
      <c r="Y49" s="5"/>
      <c r="Z49" s="5"/>
      <c r="AA49" s="5"/>
      <c r="AB49" s="5"/>
      <c r="AC49" s="5"/>
      <c r="AD49" s="5"/>
      <c r="AE49" s="5"/>
      <c r="AF49" s="5"/>
      <c r="AG49" s="5"/>
      <c r="AH49" s="5"/>
      <c r="AI49" s="5"/>
      <c r="AJ49" s="5"/>
      <c r="AK49" s="5"/>
      <c r="AL49" s="5"/>
      <c r="AM49" s="52"/>
    </row>
    <row r="50">
      <c r="A50" s="11">
        <v>44362</v>
      </c>
      <c r="B50" s="14"/>
      <c r="C50" s="14"/>
      <c r="D50" s="14"/>
      <c r="E50" s="14"/>
      <c r="F50" s="14"/>
      <c r="G50" s="14"/>
      <c r="H50" s="14"/>
      <c r="I50" s="14"/>
      <c r="J50" s="22"/>
      <c r="K50" s="22"/>
      <c r="L50" s="22"/>
      <c r="M50" s="22"/>
      <c r="N50" s="22"/>
      <c r="O50" s="22"/>
      <c r="P50" s="22"/>
      <c r="Q50" s="22"/>
      <c r="R50" s="22"/>
      <c r="S50" s="22"/>
      <c r="T50" s="8"/>
      <c r="U50" s="11">
        <v>44362</v>
      </c>
      <c r="V50" s="14"/>
      <c r="W50" s="14"/>
      <c r="X50" s="14"/>
      <c r="Y50" s="14"/>
      <c r="Z50" s="14"/>
      <c r="AA50" s="14"/>
      <c r="AB50" s="14"/>
      <c r="AC50" s="14"/>
      <c r="AD50" s="5"/>
      <c r="AE50" s="5"/>
      <c r="AF50" s="5"/>
      <c r="AG50" s="5"/>
      <c r="AH50" s="5"/>
      <c r="AI50" s="5"/>
      <c r="AJ50" s="5"/>
      <c r="AK50" s="5"/>
      <c r="AL50" s="5"/>
      <c r="AM50" s="52"/>
    </row>
    <row r="51">
      <c r="A51" s="11">
        <v>44363</v>
      </c>
      <c r="B51" s="5"/>
      <c r="C51" s="5"/>
      <c r="D51" s="5"/>
      <c r="E51" s="5"/>
      <c r="F51" s="5"/>
      <c r="G51" s="5"/>
      <c r="H51" s="5"/>
      <c r="I51" s="5"/>
      <c r="J51" s="5"/>
      <c r="K51" s="5"/>
      <c r="L51" s="5"/>
      <c r="M51" s="5"/>
      <c r="N51" s="5"/>
      <c r="O51" s="5"/>
      <c r="P51" s="5"/>
      <c r="Q51" s="5"/>
      <c r="R51" s="5"/>
      <c r="S51" s="5"/>
      <c r="T51" s="8"/>
      <c r="U51" s="11">
        <v>44363</v>
      </c>
      <c r="V51" s="5"/>
      <c r="W51" s="5"/>
      <c r="X51" s="5"/>
      <c r="Y51" s="5"/>
      <c r="Z51" s="5"/>
      <c r="AA51" s="5"/>
      <c r="AB51" s="5"/>
      <c r="AC51" s="5"/>
      <c r="AD51" s="5"/>
      <c r="AE51" s="5"/>
      <c r="AF51" s="5"/>
      <c r="AG51" s="5"/>
      <c r="AH51" s="5"/>
      <c r="AI51" s="5"/>
      <c r="AJ51" s="5"/>
      <c r="AK51" s="5"/>
      <c r="AL51" s="5"/>
      <c r="AM51" s="52"/>
    </row>
    <row r="52">
      <c r="A52" s="11">
        <v>44364</v>
      </c>
      <c r="B52" s="14"/>
      <c r="C52" s="14"/>
      <c r="D52" s="14"/>
      <c r="E52" s="14"/>
      <c r="F52" s="14"/>
      <c r="G52" s="14"/>
      <c r="H52" s="14"/>
      <c r="I52" s="14"/>
      <c r="J52" s="22"/>
      <c r="K52" s="22"/>
      <c r="L52" s="22"/>
      <c r="M52" s="22"/>
      <c r="N52" s="22"/>
      <c r="O52" s="22"/>
      <c r="P52" s="22"/>
      <c r="Q52" s="22"/>
      <c r="R52" s="22"/>
      <c r="S52" s="22"/>
      <c r="T52" s="8"/>
      <c r="U52" s="11">
        <v>44364</v>
      </c>
      <c r="V52" s="14"/>
      <c r="W52" s="14"/>
      <c r="X52" s="14"/>
      <c r="Y52" s="14"/>
      <c r="Z52" s="14"/>
      <c r="AA52" s="14"/>
      <c r="AB52" s="14"/>
      <c r="AC52" s="14"/>
      <c r="AD52" s="5"/>
      <c r="AE52" s="5"/>
      <c r="AF52" s="5"/>
      <c r="AG52" s="5"/>
      <c r="AH52" s="5"/>
      <c r="AI52" s="5"/>
      <c r="AJ52" s="5"/>
      <c r="AK52" s="5"/>
      <c r="AL52" s="5"/>
      <c r="AM52" s="52"/>
    </row>
    <row r="53">
      <c r="A53" s="11">
        <v>44365</v>
      </c>
      <c r="B53" s="5"/>
      <c r="C53" s="5"/>
      <c r="D53" s="5"/>
      <c r="E53" s="5"/>
      <c r="F53" s="5"/>
      <c r="G53" s="5"/>
      <c r="H53" s="5"/>
      <c r="I53" s="5"/>
      <c r="J53" s="5"/>
      <c r="K53" s="5"/>
      <c r="L53" s="5"/>
      <c r="M53" s="5"/>
      <c r="N53" s="5"/>
      <c r="O53" s="5"/>
      <c r="P53" s="5"/>
      <c r="Q53" s="5"/>
      <c r="R53" s="5"/>
      <c r="S53" s="5"/>
      <c r="T53" s="8"/>
      <c r="U53" s="11">
        <v>44365</v>
      </c>
      <c r="V53" s="5">
        <v>1435</v>
      </c>
      <c r="W53" s="5"/>
      <c r="X53" s="5"/>
      <c r="Y53" s="5"/>
      <c r="Z53" s="5"/>
      <c r="AA53" s="5"/>
      <c r="AB53" s="5"/>
      <c r="AC53" s="5"/>
      <c r="AD53" s="5"/>
      <c r="AE53" s="5"/>
      <c r="AF53" s="5"/>
      <c r="AG53" s="5"/>
      <c r="AH53" s="5"/>
      <c r="AI53" s="5"/>
      <c r="AJ53" s="5"/>
      <c r="AK53" s="5"/>
      <c r="AL53" s="5"/>
      <c r="AM53" s="52"/>
    </row>
    <row r="54">
      <c r="A54" s="11">
        <v>44366</v>
      </c>
      <c r="B54" s="14"/>
      <c r="C54" s="14"/>
      <c r="D54" s="14"/>
      <c r="E54" s="14"/>
      <c r="F54" s="14"/>
      <c r="G54" s="14"/>
      <c r="H54" s="14"/>
      <c r="I54" s="14"/>
      <c r="J54" s="22"/>
      <c r="K54" s="22"/>
      <c r="L54" s="22"/>
      <c r="M54" s="22"/>
      <c r="N54" s="22"/>
      <c r="O54" s="22"/>
      <c r="P54" s="22"/>
      <c r="Q54" s="22"/>
      <c r="R54" s="22"/>
      <c r="S54" s="22"/>
      <c r="T54" s="8"/>
      <c r="U54" s="11">
        <v>44366</v>
      </c>
      <c r="V54" s="14"/>
      <c r="W54" s="14"/>
      <c r="X54" s="14"/>
      <c r="Y54" s="14"/>
      <c r="Z54" s="14"/>
      <c r="AA54" s="14"/>
      <c r="AB54" s="14"/>
      <c r="AC54" s="14"/>
      <c r="AD54" s="5"/>
      <c r="AE54" s="5"/>
      <c r="AF54" s="5"/>
      <c r="AG54" s="5"/>
      <c r="AH54" s="5"/>
      <c r="AI54" s="5"/>
      <c r="AJ54" s="5"/>
      <c r="AK54" s="5"/>
      <c r="AL54" s="5"/>
      <c r="AM54" s="52"/>
    </row>
    <row r="55">
      <c r="A55" s="11">
        <v>44367</v>
      </c>
      <c r="B55" s="5"/>
      <c r="C55" s="5"/>
      <c r="D55" s="5"/>
      <c r="E55" s="5"/>
      <c r="F55" s="5">
        <f>-49999+60000</f>
        <v>10001</v>
      </c>
      <c r="G55" s="5"/>
      <c r="H55" s="5"/>
      <c r="I55" s="5"/>
      <c r="J55" s="5"/>
      <c r="K55" s="5"/>
      <c r="L55" s="5"/>
      <c r="M55" s="5"/>
      <c r="N55" s="5"/>
      <c r="O55" s="5"/>
      <c r="P55" s="5"/>
      <c r="Q55" s="5"/>
      <c r="R55" s="5"/>
      <c r="S55" s="5"/>
      <c r="T55" s="8"/>
      <c r="U55" s="11">
        <v>44367</v>
      </c>
      <c r="V55" s="5"/>
      <c r="W55" s="5"/>
      <c r="X55" s="5"/>
      <c r="Y55" s="5"/>
      <c r="Z55" s="5"/>
      <c r="AA55" s="5"/>
      <c r="AB55" s="5"/>
      <c r="AC55" s="5"/>
      <c r="AD55" s="5"/>
      <c r="AE55" s="5"/>
      <c r="AF55" s="5"/>
      <c r="AG55" s="5"/>
      <c r="AH55" s="5"/>
      <c r="AI55" s="5"/>
      <c r="AJ55" s="5"/>
      <c r="AK55" s="5"/>
      <c r="AL55" s="5"/>
      <c r="AM55" s="52"/>
    </row>
    <row r="56">
      <c r="A56" s="11">
        <v>44368</v>
      </c>
      <c r="B56" s="14"/>
      <c r="C56" s="14"/>
      <c r="D56" s="14"/>
      <c r="E56" s="14"/>
      <c r="F56" s="14"/>
      <c r="G56" s="14"/>
      <c r="H56" s="14"/>
      <c r="I56" s="14"/>
      <c r="J56" s="22"/>
      <c r="K56" s="22"/>
      <c r="L56" s="22"/>
      <c r="M56" s="22"/>
      <c r="N56" s="22"/>
      <c r="O56" s="22"/>
      <c r="P56" s="22"/>
      <c r="Q56" s="22"/>
      <c r="R56" s="22"/>
      <c r="S56" s="22"/>
      <c r="T56" s="8"/>
      <c r="U56" s="11">
        <v>44368</v>
      </c>
      <c r="V56" s="14"/>
      <c r="W56" s="14"/>
      <c r="X56" s="14"/>
      <c r="Y56" s="14"/>
      <c r="Z56" s="14"/>
      <c r="AA56" s="14"/>
      <c r="AB56" s="14"/>
      <c r="AC56" s="14"/>
      <c r="AD56" s="5"/>
      <c r="AE56" s="5"/>
      <c r="AF56" s="5"/>
      <c r="AG56" s="5"/>
      <c r="AH56" s="5"/>
      <c r="AI56" s="5"/>
      <c r="AJ56" s="5"/>
      <c r="AK56" s="5"/>
      <c r="AL56" s="5"/>
      <c r="AM56" s="52"/>
    </row>
    <row r="57">
      <c r="A57" s="11">
        <v>44369</v>
      </c>
      <c r="B57" s="5"/>
      <c r="C57" s="5"/>
      <c r="D57" s="5"/>
      <c r="E57" s="5"/>
      <c r="F57" s="5"/>
      <c r="G57" s="5"/>
      <c r="H57" s="5"/>
      <c r="I57" s="5"/>
      <c r="J57" s="5"/>
      <c r="K57" s="5"/>
      <c r="L57" s="5"/>
      <c r="M57" s="5"/>
      <c r="N57" s="5"/>
      <c r="O57" s="5"/>
      <c r="P57" s="5"/>
      <c r="Q57" s="5"/>
      <c r="R57" s="5"/>
      <c r="S57" s="5"/>
      <c r="T57" s="8"/>
      <c r="U57" s="11">
        <v>44369</v>
      </c>
      <c r="V57" s="5"/>
      <c r="W57" s="5"/>
      <c r="X57" s="5"/>
      <c r="Y57" s="5"/>
      <c r="Z57" s="5"/>
      <c r="AA57" s="5"/>
      <c r="AB57" s="5"/>
      <c r="AC57" s="5"/>
      <c r="AD57" s="5"/>
      <c r="AE57" s="5"/>
      <c r="AF57" s="5"/>
      <c r="AG57" s="5"/>
      <c r="AH57" s="5"/>
      <c r="AI57" s="5"/>
      <c r="AJ57" s="5"/>
      <c r="AK57" s="5"/>
      <c r="AL57" s="5"/>
      <c r="AM57" s="52"/>
    </row>
    <row r="58">
      <c r="A58" s="11">
        <v>44370</v>
      </c>
      <c r="B58" s="14"/>
      <c r="C58" s="14"/>
      <c r="D58" s="14"/>
      <c r="E58" s="14"/>
      <c r="F58" s="14"/>
      <c r="G58" s="14"/>
      <c r="H58" s="14"/>
      <c r="I58" s="14"/>
      <c r="J58" s="53"/>
      <c r="K58" s="53"/>
      <c r="L58" s="53"/>
      <c r="M58" s="53"/>
      <c r="N58" s="22"/>
      <c r="O58" s="22"/>
      <c r="P58" s="22"/>
      <c r="Q58" s="22"/>
      <c r="R58" s="22"/>
      <c r="S58" s="22"/>
      <c r="T58" s="8"/>
      <c r="U58" s="11">
        <v>44370</v>
      </c>
      <c r="V58" s="14"/>
      <c r="W58" s="14"/>
      <c r="X58" s="14"/>
      <c r="Y58" s="14"/>
      <c r="Z58" s="14"/>
      <c r="AA58" s="14"/>
      <c r="AB58" s="14"/>
      <c r="AC58" s="14"/>
      <c r="AD58" s="5"/>
      <c r="AE58" s="5"/>
      <c r="AF58" s="5"/>
      <c r="AG58" s="5"/>
      <c r="AH58" s="5"/>
      <c r="AI58" s="5"/>
      <c r="AJ58" s="5"/>
      <c r="AK58" s="5"/>
      <c r="AL58" s="5"/>
      <c r="AM58" s="52"/>
    </row>
    <row r="59">
      <c r="A59" s="11">
        <v>44371</v>
      </c>
      <c r="B59" s="5"/>
      <c r="C59" s="5"/>
      <c r="D59" s="5"/>
      <c r="E59" s="5"/>
      <c r="F59" s="5"/>
      <c r="G59" s="5"/>
      <c r="H59" s="5"/>
      <c r="I59" s="5"/>
      <c r="J59" s="5"/>
      <c r="K59" s="5"/>
      <c r="L59" s="5"/>
      <c r="M59" s="5"/>
      <c r="N59" s="5"/>
      <c r="O59" s="5"/>
      <c r="P59" s="5"/>
      <c r="Q59" s="5"/>
      <c r="R59" s="5"/>
      <c r="S59" s="5"/>
      <c r="T59" s="8"/>
      <c r="U59" s="11">
        <v>44371</v>
      </c>
      <c r="V59" s="5"/>
      <c r="W59" s="5"/>
      <c r="X59" s="5"/>
      <c r="Y59" s="5"/>
      <c r="Z59" s="5"/>
      <c r="AA59" s="5"/>
      <c r="AB59" s="5"/>
      <c r="AC59" s="5"/>
      <c r="AD59" s="5"/>
      <c r="AE59" s="5"/>
      <c r="AF59" s="5"/>
      <c r="AG59" s="5"/>
      <c r="AH59" s="5"/>
      <c r="AI59" s="5"/>
      <c r="AJ59" s="5"/>
      <c r="AK59" s="5"/>
      <c r="AL59" s="5"/>
      <c r="AM59" s="52"/>
    </row>
    <row r="60">
      <c r="A60" s="11">
        <v>44372</v>
      </c>
      <c r="B60" s="14">
        <v>9800.3099999999995</v>
      </c>
      <c r="C60" s="14"/>
      <c r="D60" s="14"/>
      <c r="E60" s="14"/>
      <c r="F60" s="14"/>
      <c r="G60" s="14"/>
      <c r="H60" s="14"/>
      <c r="I60" s="14"/>
      <c r="J60" s="22"/>
      <c r="K60" s="22"/>
      <c r="L60" s="22"/>
      <c r="M60" s="22"/>
      <c r="N60" s="22"/>
      <c r="O60" s="22"/>
      <c r="P60" s="22"/>
      <c r="Q60" s="22"/>
      <c r="R60" s="22"/>
      <c r="S60" s="22"/>
      <c r="T60" s="8"/>
      <c r="U60" s="11">
        <v>44372</v>
      </c>
      <c r="V60" s="14"/>
      <c r="W60" s="14"/>
      <c r="X60" s="14"/>
      <c r="Y60" s="14"/>
      <c r="Z60" s="14"/>
      <c r="AA60" s="14"/>
      <c r="AB60" s="14"/>
      <c r="AC60" s="14"/>
      <c r="AD60" s="5"/>
      <c r="AE60" s="5"/>
      <c r="AF60" s="5"/>
      <c r="AG60" s="5"/>
      <c r="AH60" s="5"/>
      <c r="AI60" s="5"/>
      <c r="AJ60" s="5"/>
      <c r="AK60" s="5"/>
      <c r="AL60" s="5"/>
      <c r="AM60" s="52"/>
    </row>
    <row r="61">
      <c r="A61" s="11">
        <v>44373</v>
      </c>
      <c r="B61" s="5"/>
      <c r="C61" s="5"/>
      <c r="D61" s="5"/>
      <c r="E61" s="5"/>
      <c r="F61" s="5"/>
      <c r="G61" s="5"/>
      <c r="H61" s="5"/>
      <c r="I61" s="5"/>
      <c r="J61" s="5"/>
      <c r="K61" s="5"/>
      <c r="L61" s="5"/>
      <c r="M61" s="5"/>
      <c r="N61" s="5"/>
      <c r="O61" s="5"/>
      <c r="P61" s="5"/>
      <c r="Q61" s="5"/>
      <c r="R61" s="5"/>
      <c r="S61" s="5"/>
      <c r="T61" s="8"/>
      <c r="U61" s="11">
        <v>44373</v>
      </c>
      <c r="V61" s="5"/>
      <c r="W61" s="5"/>
      <c r="X61" s="5"/>
      <c r="Y61" s="5"/>
      <c r="Z61" s="5"/>
      <c r="AA61" s="5"/>
      <c r="AB61" s="5"/>
      <c r="AC61" s="5"/>
      <c r="AD61" s="5"/>
      <c r="AE61" s="5"/>
      <c r="AF61" s="5"/>
      <c r="AG61" s="5"/>
      <c r="AH61" s="5"/>
      <c r="AI61" s="5"/>
      <c r="AJ61" s="5"/>
      <c r="AK61" s="5"/>
      <c r="AL61" s="5"/>
      <c r="AM61" s="52"/>
    </row>
    <row r="62">
      <c r="A62" s="11">
        <v>44374</v>
      </c>
      <c r="B62" s="14"/>
      <c r="C62" s="14"/>
      <c r="D62" s="14"/>
      <c r="E62" s="14"/>
      <c r="F62" s="14"/>
      <c r="G62" s="14"/>
      <c r="H62" s="14"/>
      <c r="I62" s="14"/>
      <c r="J62" s="22"/>
      <c r="K62" s="22"/>
      <c r="L62" s="22"/>
      <c r="M62" s="22"/>
      <c r="N62" s="22"/>
      <c r="O62" s="22"/>
      <c r="P62" s="22"/>
      <c r="Q62" s="22"/>
      <c r="R62" s="22"/>
      <c r="S62" s="22"/>
      <c r="T62" s="8"/>
      <c r="U62" s="11">
        <v>44374</v>
      </c>
      <c r="V62" s="14"/>
      <c r="W62" s="14"/>
      <c r="X62" s="14"/>
      <c r="Y62" s="14"/>
      <c r="Z62" s="14"/>
      <c r="AA62" s="14"/>
      <c r="AB62" s="14"/>
      <c r="AC62" s="14"/>
      <c r="AD62" s="5"/>
      <c r="AE62" s="5"/>
      <c r="AF62" s="5"/>
      <c r="AG62" s="5"/>
      <c r="AH62" s="5"/>
      <c r="AI62" s="5"/>
      <c r="AJ62" s="5"/>
      <c r="AK62" s="5"/>
      <c r="AL62" s="5"/>
      <c r="AM62" s="52"/>
    </row>
    <row r="63">
      <c r="A63" s="11">
        <v>44375</v>
      </c>
      <c r="B63" s="5"/>
      <c r="C63" s="5"/>
      <c r="D63" s="5"/>
      <c r="E63" s="5"/>
      <c r="F63" s="5"/>
      <c r="G63" s="5"/>
      <c r="I63" s="5"/>
      <c r="J63" s="5"/>
      <c r="K63" s="5">
        <f>-300-400-550</f>
        <v>-1250</v>
      </c>
      <c r="L63" s="5"/>
      <c r="M63" s="5"/>
      <c r="N63" s="5"/>
      <c r="O63" s="5"/>
      <c r="P63" s="5"/>
      <c r="Q63" s="5"/>
      <c r="R63" s="48"/>
      <c r="S63" s="5"/>
      <c r="T63" s="8"/>
      <c r="U63" s="11">
        <v>44375</v>
      </c>
      <c r="V63" s="5"/>
      <c r="W63" s="5"/>
      <c r="X63" s="5"/>
      <c r="Y63" s="5"/>
      <c r="Z63" s="5"/>
      <c r="AA63" s="5"/>
      <c r="AB63" s="5"/>
      <c r="AC63" s="5"/>
      <c r="AD63" s="5"/>
      <c r="AE63" s="5"/>
      <c r="AF63" s="5"/>
      <c r="AG63" s="5"/>
      <c r="AH63" s="5"/>
      <c r="AI63" s="5"/>
      <c r="AJ63" s="5"/>
      <c r="AK63" s="5"/>
      <c r="AL63" s="5"/>
      <c r="AM63" s="52"/>
    </row>
    <row r="64">
      <c r="A64" s="11">
        <v>44376</v>
      </c>
      <c r="B64" s="22"/>
      <c r="C64" s="22"/>
      <c r="D64" s="22"/>
      <c r="E64" s="22"/>
      <c r="F64" s="22"/>
      <c r="G64" s="22"/>
      <c r="H64" s="22">
        <v>500</v>
      </c>
      <c r="I64" s="22"/>
      <c r="J64" s="22"/>
      <c r="K64" s="22">
        <v>500</v>
      </c>
      <c r="L64" s="22"/>
      <c r="M64" s="22"/>
      <c r="N64" s="22"/>
      <c r="O64" s="22"/>
      <c r="P64" s="22"/>
      <c r="Q64" s="22"/>
      <c r="R64" s="66"/>
      <c r="S64" s="22"/>
      <c r="T64" s="8"/>
      <c r="U64" s="11">
        <v>44376</v>
      </c>
      <c r="V64" s="5"/>
      <c r="W64" s="5"/>
      <c r="X64" s="5"/>
      <c r="Y64" s="5"/>
      <c r="Z64" s="5"/>
      <c r="AA64" s="5"/>
      <c r="AB64" s="5"/>
      <c r="AC64" s="5"/>
      <c r="AD64" s="5"/>
      <c r="AE64" s="5"/>
      <c r="AF64" s="5"/>
      <c r="AG64" s="5"/>
      <c r="AH64" s="5"/>
      <c r="AI64" s="5"/>
      <c r="AJ64" s="5"/>
      <c r="AK64" s="5"/>
      <c r="AL64" s="5"/>
      <c r="AM64" s="52"/>
    </row>
    <row r="65">
      <c r="A65" s="11">
        <v>44377</v>
      </c>
      <c r="B65" s="5"/>
      <c r="C65" s="5"/>
      <c r="D65" s="5"/>
      <c r="E65" s="5"/>
      <c r="F65" s="5"/>
      <c r="G65" s="5"/>
      <c r="H65" s="5"/>
      <c r="I65" s="5"/>
      <c r="J65" s="5"/>
      <c r="K65" s="5"/>
      <c r="L65" s="5"/>
      <c r="M65" s="5"/>
      <c r="N65" s="5"/>
      <c r="O65" s="5"/>
      <c r="P65" s="5"/>
      <c r="Q65" s="5"/>
      <c r="R65" s="48"/>
      <c r="S65" s="5"/>
      <c r="T65" s="8"/>
      <c r="U65" s="11">
        <v>44377</v>
      </c>
      <c r="V65" s="5"/>
      <c r="W65" s="5"/>
      <c r="X65" s="5"/>
      <c r="Y65" s="5"/>
      <c r="Z65" s="5"/>
      <c r="AA65" s="5"/>
      <c r="AB65" s="5"/>
      <c r="AC65" s="5"/>
      <c r="AD65" s="5"/>
      <c r="AE65" s="5"/>
      <c r="AF65" s="5"/>
      <c r="AG65" s="5"/>
      <c r="AH65" s="5"/>
      <c r="AI65" s="5"/>
      <c r="AJ65" s="5"/>
      <c r="AK65" s="5"/>
      <c r="AL65" s="5"/>
      <c r="AM65" s="52"/>
    </row>
    <row r="66">
      <c r="A66" s="11"/>
      <c r="B66" s="22"/>
      <c r="C66" s="22"/>
      <c r="D66" s="22"/>
      <c r="E66" s="22"/>
      <c r="F66" s="22"/>
      <c r="G66" s="22"/>
      <c r="H66" s="22"/>
      <c r="I66" s="22"/>
      <c r="J66" s="22"/>
      <c r="K66" s="22"/>
      <c r="L66" s="22"/>
      <c r="M66" s="22"/>
      <c r="N66" s="22"/>
      <c r="O66" s="22"/>
      <c r="P66" s="22"/>
      <c r="Q66" s="22"/>
      <c r="R66" s="66"/>
      <c r="S66" s="22"/>
      <c r="T66" s="8"/>
      <c r="U66" s="11"/>
      <c r="V66" s="5"/>
      <c r="W66" s="5"/>
      <c r="X66" s="5"/>
      <c r="Y66" s="5"/>
      <c r="Z66" s="5"/>
      <c r="AA66" s="5"/>
      <c r="AB66" s="5"/>
      <c r="AC66" s="5"/>
      <c r="AD66" s="5"/>
      <c r="AE66" s="5"/>
      <c r="AF66" s="5"/>
      <c r="AG66" s="5"/>
      <c r="AH66" s="5"/>
      <c r="AI66" s="5"/>
      <c r="AJ66" s="5"/>
      <c r="AK66" s="5"/>
      <c r="AL66" s="5"/>
      <c r="AM66" s="52"/>
    </row>
    <row r="67">
      <c r="A67" s="7"/>
      <c r="B67" s="7">
        <f t="shared" ref="B67:E67" si="66">SUM(B36:B66)</f>
        <v>37536.860000000001</v>
      </c>
      <c r="C67" s="7">
        <f>SUM(C36:C66)</f>
        <v>0</v>
      </c>
      <c r="D67" s="7">
        <f t="shared" si="66"/>
        <v>0</v>
      </c>
      <c r="E67" s="7">
        <f t="shared" si="66"/>
        <v>42.969999999999999</v>
      </c>
      <c r="F67" s="7">
        <f>SUM(F36:F66)</f>
        <v>70502</v>
      </c>
      <c r="G67" s="7">
        <f t="shared" ref="G67:R67" si="67">SUM(G36:G66)</f>
        <v>0</v>
      </c>
      <c r="H67" s="7">
        <f t="shared" si="67"/>
        <v>500</v>
      </c>
      <c r="I67" s="7">
        <f t="shared" si="67"/>
        <v>1622.1800000000001</v>
      </c>
      <c r="J67" s="7">
        <f t="shared" si="67"/>
        <v>0</v>
      </c>
      <c r="K67" s="7">
        <f t="shared" si="67"/>
        <v>-750</v>
      </c>
      <c r="L67" s="7">
        <f t="shared" si="67"/>
        <v>0</v>
      </c>
      <c r="M67" s="7">
        <f t="shared" si="67"/>
        <v>0</v>
      </c>
      <c r="N67" s="7">
        <f t="shared" si="67"/>
        <v>0</v>
      </c>
      <c r="O67" s="7">
        <f t="shared" si="67"/>
        <v>0</v>
      </c>
      <c r="P67" s="7">
        <f t="shared" si="67"/>
        <v>0</v>
      </c>
      <c r="Q67" s="7">
        <f t="shared" si="67"/>
        <v>0</v>
      </c>
      <c r="R67" s="7">
        <f t="shared" si="67"/>
        <v>0</v>
      </c>
      <c r="S67" s="7">
        <f>SUM(B67:R67)</f>
        <v>109454.00999999999</v>
      </c>
      <c r="T67" s="8"/>
      <c r="U67" s="7"/>
      <c r="V67" s="7">
        <f t="shared" ref="V67:AK67" si="68">SUM(V36:V63)</f>
        <v>23612.029999999999</v>
      </c>
      <c r="W67" s="7">
        <f t="shared" si="68"/>
        <v>0</v>
      </c>
      <c r="X67" s="7">
        <f t="shared" si="68"/>
        <v>0</v>
      </c>
      <c r="Y67" s="7">
        <f t="shared" si="68"/>
        <v>0</v>
      </c>
      <c r="Z67" s="7">
        <f t="shared" si="68"/>
        <v>0</v>
      </c>
      <c r="AA67" s="7">
        <f t="shared" si="68"/>
        <v>0</v>
      </c>
      <c r="AB67" s="7">
        <f t="shared" si="68"/>
        <v>0</v>
      </c>
      <c r="AC67" s="7">
        <f t="shared" si="68"/>
        <v>0</v>
      </c>
      <c r="AD67" s="7">
        <f t="shared" si="68"/>
        <v>0</v>
      </c>
      <c r="AE67" s="7">
        <f t="shared" si="68"/>
        <v>0</v>
      </c>
      <c r="AF67" s="7">
        <f t="shared" si="68"/>
        <v>0</v>
      </c>
      <c r="AG67" s="7">
        <f t="shared" si="68"/>
        <v>0</v>
      </c>
      <c r="AH67" s="7">
        <f t="shared" si="68"/>
        <v>0</v>
      </c>
      <c r="AI67" s="7">
        <f t="shared" si="68"/>
        <v>0</v>
      </c>
      <c r="AJ67" s="7">
        <f t="shared" si="68"/>
        <v>0</v>
      </c>
      <c r="AK67" s="7">
        <f t="shared" si="68"/>
        <v>0</v>
      </c>
      <c r="AL67" s="7">
        <f>SUM(V67:AK67)</f>
        <v>23612.029999999999</v>
      </c>
      <c r="AM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row>
    <row r="69">
      <c r="A69" t="s">
        <v>67</v>
      </c>
    </row>
    <row r="70">
      <c r="A70" t="s">
        <v>68</v>
      </c>
      <c r="B70" s="50">
        <f>21000-344+2039+(23000-23000)-344-344+8164.1-4600-3300+(3000-3000)+80000+2000+(5500-5000)+(5650-5100)+1000</f>
        <v>106321.10000000001</v>
      </c>
    </row>
    <row r="71">
      <c r="A71" t="s">
        <v>69</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N37" zoomScale="100" workbookViewId="0">
      <selection activeCell="E56" activeCellId="0" sqref="E56"/>
    </sheetView>
  </sheetViews>
  <sheetFormatPr defaultRowHeight="14.25"/>
  <cols>
    <col bestFit="1" customWidth="1" min="1" max="1" width="11.85546875"/>
    <col customWidth="1" min="2" max="2" width="12.28515625"/>
    <col bestFit="1" customWidth="1" min="11" max="11" width="10.5703125"/>
    <col customWidth="1" min="23" max="23" width="11.7109375"/>
    <col bestFit="1" min="24" max="24" width="9.5703125"/>
  </cols>
  <sheetData>
    <row r="1">
      <c r="A1" s="10" t="s">
        <v>0</v>
      </c>
      <c r="B1" s="51" t="s">
        <v>70</v>
      </c>
      <c r="C1" s="60" t="s">
        <v>71</v>
      </c>
      <c r="D1" s="51" t="s">
        <v>72</v>
      </c>
      <c r="E1" s="61" t="s">
        <v>3</v>
      </c>
      <c r="F1" s="51" t="s">
        <v>4</v>
      </c>
      <c r="G1" s="51" t="s">
        <v>5</v>
      </c>
      <c r="H1" s="51" t="s">
        <v>6</v>
      </c>
      <c r="I1" s="51" t="s">
        <v>7</v>
      </c>
      <c r="J1" s="51" t="s">
        <v>8</v>
      </c>
      <c r="K1" s="51" t="s">
        <v>9</v>
      </c>
      <c r="L1" s="51" t="s">
        <v>10</v>
      </c>
      <c r="M1" s="51" t="s">
        <v>11</v>
      </c>
      <c r="N1" s="51" t="s">
        <v>12</v>
      </c>
      <c r="O1" s="51" t="s">
        <v>13</v>
      </c>
      <c r="P1" s="51" t="s">
        <v>19</v>
      </c>
      <c r="Q1" s="51" t="s">
        <v>20</v>
      </c>
      <c r="R1" s="51" t="s">
        <v>73</v>
      </c>
      <c r="S1" s="51" t="s">
        <v>62</v>
      </c>
      <c r="W1" s="10" t="s">
        <v>0</v>
      </c>
      <c r="X1" s="51" t="s">
        <v>70</v>
      </c>
      <c r="Y1" s="51" t="s">
        <v>71</v>
      </c>
      <c r="Z1" s="51" t="s">
        <v>72</v>
      </c>
      <c r="AA1" s="51" t="s">
        <v>3</v>
      </c>
      <c r="AB1" s="51" t="s">
        <v>4</v>
      </c>
      <c r="AC1" s="51" t="s">
        <v>5</v>
      </c>
      <c r="AD1" s="51" t="s">
        <v>6</v>
      </c>
      <c r="AE1" s="51" t="s">
        <v>7</v>
      </c>
      <c r="AF1" s="51" t="s">
        <v>8</v>
      </c>
      <c r="AG1" s="51" t="s">
        <v>9</v>
      </c>
      <c r="AH1" s="51" t="s">
        <v>10</v>
      </c>
      <c r="AI1" s="51" t="s">
        <v>11</v>
      </c>
      <c r="AJ1" s="51" t="s">
        <v>12</v>
      </c>
      <c r="AK1" s="51" t="s">
        <v>13</v>
      </c>
      <c r="AL1" s="51" t="s">
        <v>19</v>
      </c>
      <c r="AM1" s="51" t="s">
        <v>20</v>
      </c>
      <c r="AN1" s="51" t="s">
        <v>73</v>
      </c>
      <c r="AO1" s="51" t="s">
        <v>62</v>
      </c>
    </row>
    <row r="2">
      <c r="A2" s="11">
        <v>44378</v>
      </c>
      <c r="B2" s="14"/>
      <c r="C2" s="46">
        <v>275.94</v>
      </c>
      <c r="D2" s="18">
        <v>155</v>
      </c>
      <c r="E2" s="62">
        <v>1277</v>
      </c>
      <c r="F2" s="14"/>
      <c r="G2" s="14"/>
      <c r="H2" s="14"/>
      <c r="I2" s="14"/>
      <c r="J2" s="14"/>
      <c r="K2" s="14"/>
      <c r="L2" s="14"/>
      <c r="M2" s="14"/>
      <c r="N2" s="14">
        <v>600</v>
      </c>
      <c r="O2" s="14"/>
      <c r="P2" s="14"/>
      <c r="Q2" s="14"/>
      <c r="R2" s="14"/>
      <c r="S2" s="14"/>
      <c r="W2" s="11">
        <v>44378</v>
      </c>
      <c r="X2" s="14"/>
      <c r="Y2" s="14"/>
      <c r="Z2" s="18"/>
      <c r="AA2" s="14"/>
      <c r="AB2" s="14"/>
      <c r="AC2" s="14"/>
      <c r="AD2" s="14"/>
      <c r="AE2" s="14"/>
      <c r="AF2" s="14"/>
      <c r="AG2" s="14"/>
      <c r="AH2" s="14"/>
      <c r="AI2" s="14"/>
      <c r="AJ2" s="14"/>
      <c r="AK2" s="14"/>
      <c r="AL2" s="14"/>
      <c r="AM2" s="14"/>
      <c r="AN2" s="14"/>
      <c r="AO2" s="14"/>
    </row>
    <row r="3">
      <c r="A3" s="11">
        <v>44379</v>
      </c>
      <c r="B3" s="5"/>
      <c r="C3" s="67"/>
      <c r="D3" s="23">
        <v>159</v>
      </c>
      <c r="E3" s="42"/>
      <c r="F3" s="5"/>
      <c r="G3" s="5"/>
      <c r="H3" s="5"/>
      <c r="I3" s="5"/>
      <c r="J3" s="5"/>
      <c r="K3" s="5"/>
      <c r="L3" s="5"/>
      <c r="M3" s="5"/>
      <c r="N3" s="5"/>
      <c r="O3" s="5"/>
      <c r="P3" s="5"/>
      <c r="Q3" s="5"/>
      <c r="R3" s="5"/>
      <c r="S3" s="5"/>
      <c r="W3" s="11">
        <v>44379</v>
      </c>
      <c r="X3" s="5"/>
      <c r="Y3" s="5"/>
      <c r="Z3" s="5"/>
      <c r="AA3" s="5"/>
      <c r="AB3" s="5"/>
      <c r="AC3" s="5"/>
      <c r="AD3" s="5"/>
      <c r="AE3" s="5"/>
      <c r="AF3" s="5"/>
      <c r="AG3" s="5"/>
      <c r="AH3" s="5"/>
      <c r="AI3" s="5"/>
      <c r="AJ3" s="5"/>
      <c r="AK3" s="5"/>
      <c r="AL3" s="5"/>
      <c r="AM3" s="5"/>
      <c r="AN3" s="5"/>
      <c r="AO3" s="5"/>
    </row>
    <row r="4">
      <c r="A4" s="11">
        <v>44380</v>
      </c>
      <c r="B4" s="46"/>
      <c r="C4" s="14"/>
      <c r="D4" s="14"/>
      <c r="E4" s="62">
        <f>120+340</f>
        <v>460</v>
      </c>
      <c r="F4" s="14"/>
      <c r="G4" s="14"/>
      <c r="H4" s="14"/>
      <c r="I4" s="14"/>
      <c r="J4" s="14"/>
      <c r="K4" s="14"/>
      <c r="L4" s="14"/>
      <c r="M4" s="14"/>
      <c r="N4" s="14"/>
      <c r="O4" s="14"/>
      <c r="P4" s="14"/>
      <c r="Q4" s="14"/>
      <c r="R4" s="14"/>
      <c r="S4" s="14"/>
      <c r="W4" s="11">
        <v>44380</v>
      </c>
      <c r="X4" s="14"/>
      <c r="Y4" s="14"/>
      <c r="Z4" s="14"/>
      <c r="AA4" s="14"/>
      <c r="AB4" s="14"/>
      <c r="AC4" s="14"/>
      <c r="AD4" s="14"/>
      <c r="AE4" s="14"/>
      <c r="AF4" s="14"/>
      <c r="AG4" s="14"/>
      <c r="AH4" s="14"/>
      <c r="AI4" s="14"/>
      <c r="AJ4" s="14"/>
      <c r="AK4" s="14"/>
      <c r="AL4" s="14"/>
      <c r="AM4" s="14"/>
      <c r="AN4" s="14"/>
      <c r="AO4" s="14"/>
    </row>
    <row r="5">
      <c r="A5" s="11">
        <v>44381</v>
      </c>
      <c r="B5" s="5"/>
      <c r="C5">
        <v>875.98000000000002</v>
      </c>
      <c r="D5" s="68"/>
      <c r="E5" s="42"/>
      <c r="F5" s="5"/>
      <c r="G5" s="5"/>
      <c r="H5" s="5"/>
      <c r="I5" s="5"/>
      <c r="J5" s="5">
        <f>247.8+787.7</f>
        <v>1035.5</v>
      </c>
      <c r="K5" s="5"/>
      <c r="L5" s="5"/>
      <c r="M5" s="5"/>
      <c r="N5" s="5"/>
      <c r="O5" s="5"/>
      <c r="P5" s="5"/>
      <c r="Q5" s="5"/>
      <c r="R5" s="5">
        <v>143.94</v>
      </c>
      <c r="S5" s="5"/>
      <c r="W5" s="11">
        <v>44381</v>
      </c>
      <c r="X5" s="5"/>
      <c r="Y5" s="5"/>
      <c r="Z5" s="5"/>
      <c r="AA5" s="5"/>
      <c r="AB5" s="5"/>
      <c r="AC5" s="5"/>
      <c r="AD5" s="5"/>
      <c r="AE5" s="5"/>
      <c r="AF5" s="5"/>
      <c r="AG5" s="5"/>
      <c r="AH5" s="5"/>
      <c r="AI5" s="5"/>
      <c r="AJ5" s="5"/>
      <c r="AK5" s="5"/>
      <c r="AL5" s="5"/>
      <c r="AM5" s="5"/>
      <c r="AN5" s="5"/>
      <c r="AO5" s="5"/>
    </row>
    <row r="6">
      <c r="A6" s="11">
        <v>44382</v>
      </c>
      <c r="B6" s="46"/>
      <c r="C6" s="14">
        <v>72.980000000000004</v>
      </c>
      <c r="D6" s="14">
        <v>130</v>
      </c>
      <c r="E6" s="62"/>
      <c r="F6" s="14"/>
      <c r="G6" s="14"/>
      <c r="H6" s="14"/>
      <c r="I6" s="14"/>
      <c r="J6" s="14"/>
      <c r="K6" s="14"/>
      <c r="L6" s="14"/>
      <c r="M6" s="14"/>
      <c r="N6" s="14"/>
      <c r="O6" s="14"/>
      <c r="P6" s="14"/>
      <c r="Q6" s="14"/>
      <c r="R6" s="14"/>
      <c r="S6" s="14"/>
      <c r="W6" s="11">
        <v>44382</v>
      </c>
      <c r="X6" s="14"/>
      <c r="Y6" s="14"/>
      <c r="Z6" s="14"/>
      <c r="AA6" s="14"/>
      <c r="AB6" s="14"/>
      <c r="AC6" s="14"/>
      <c r="AD6" s="14"/>
      <c r="AE6" s="14"/>
      <c r="AF6" s="14"/>
      <c r="AG6" s="14"/>
      <c r="AH6" s="14"/>
      <c r="AI6" s="14"/>
      <c r="AJ6" s="14"/>
      <c r="AK6" s="14"/>
      <c r="AL6" s="14"/>
      <c r="AM6" s="14"/>
      <c r="AN6" s="14"/>
      <c r="AO6" s="14"/>
    </row>
    <row r="7">
      <c r="A7" s="11">
        <v>44383</v>
      </c>
      <c r="B7" s="5"/>
      <c r="C7" s="26"/>
      <c r="D7" s="26">
        <v>191</v>
      </c>
      <c r="E7" s="5"/>
      <c r="F7" s="5"/>
      <c r="G7" s="5"/>
      <c r="H7" s="5"/>
      <c r="I7" s="5"/>
      <c r="J7" s="5"/>
      <c r="K7" s="5"/>
      <c r="L7" s="5"/>
      <c r="M7" s="5"/>
      <c r="N7" s="5"/>
      <c r="O7" s="5"/>
      <c r="P7" s="5"/>
      <c r="Q7" s="5"/>
      <c r="R7" s="5"/>
      <c r="S7" s="41"/>
      <c r="W7" s="11">
        <v>44383</v>
      </c>
      <c r="X7" s="5"/>
      <c r="Y7" s="5"/>
      <c r="Z7" s="5"/>
      <c r="AA7" s="5"/>
      <c r="AB7" s="5"/>
      <c r="AC7" s="5"/>
      <c r="AD7" s="5"/>
      <c r="AE7" s="5"/>
      <c r="AF7" s="5"/>
      <c r="AG7" s="5"/>
      <c r="AH7" s="5"/>
      <c r="AI7" s="5"/>
      <c r="AJ7" s="5"/>
      <c r="AK7" s="5"/>
      <c r="AL7" s="5"/>
      <c r="AM7" s="5"/>
      <c r="AN7" s="5"/>
      <c r="AO7" s="41"/>
    </row>
    <row r="8">
      <c r="A8" s="11">
        <v>44384</v>
      </c>
      <c r="B8" s="14"/>
      <c r="C8" s="14">
        <v>315.73000000000002</v>
      </c>
      <c r="D8" s="14">
        <f>118+21</f>
        <v>139</v>
      </c>
      <c r="E8" s="14"/>
      <c r="F8" s="14"/>
      <c r="G8" s="14"/>
      <c r="H8" s="14"/>
      <c r="I8" s="14"/>
      <c r="J8" s="14"/>
      <c r="K8" s="14"/>
      <c r="L8" s="14"/>
      <c r="M8" s="14"/>
      <c r="N8" s="14"/>
      <c r="O8" s="14"/>
      <c r="P8" s="14"/>
      <c r="Q8" s="14"/>
      <c r="R8" s="14"/>
      <c r="S8" s="46"/>
      <c r="W8" s="11">
        <v>44384</v>
      </c>
      <c r="X8" s="14"/>
      <c r="Y8" s="14"/>
      <c r="Z8" s="14"/>
      <c r="AA8" s="14"/>
      <c r="AB8" s="14"/>
      <c r="AC8" s="14"/>
      <c r="AD8" s="14"/>
      <c r="AE8" s="14"/>
      <c r="AF8" s="14"/>
      <c r="AG8" s="14"/>
      <c r="AH8" s="14"/>
      <c r="AI8" s="14"/>
      <c r="AJ8" s="14"/>
      <c r="AK8" s="14"/>
      <c r="AL8" s="14"/>
      <c r="AM8" s="14"/>
      <c r="AN8" s="14"/>
      <c r="AO8" s="46"/>
    </row>
    <row r="9">
      <c r="A9" s="11">
        <v>44385</v>
      </c>
      <c r="B9" s="5"/>
      <c r="C9" s="5">
        <v>110</v>
      </c>
      <c r="D9" s="5">
        <v>133</v>
      </c>
      <c r="E9" s="5"/>
      <c r="F9" s="5"/>
      <c r="G9" s="5"/>
      <c r="H9" s="5"/>
      <c r="I9" s="5"/>
      <c r="J9" s="5"/>
      <c r="K9" s="5"/>
      <c r="L9" s="5"/>
      <c r="M9" s="5"/>
      <c r="N9" s="5"/>
      <c r="O9" s="5"/>
      <c r="P9" s="5"/>
      <c r="Q9" s="5"/>
      <c r="R9" s="5"/>
      <c r="S9" s="41"/>
      <c r="W9" s="11">
        <v>44385</v>
      </c>
      <c r="X9" s="5"/>
      <c r="Y9" s="5"/>
      <c r="Z9" s="5"/>
      <c r="AA9" s="5"/>
      <c r="AB9" s="5"/>
      <c r="AC9" s="5"/>
      <c r="AD9" s="5"/>
      <c r="AE9" s="5"/>
      <c r="AF9" s="5"/>
      <c r="AG9" s="5"/>
      <c r="AH9" s="5"/>
      <c r="AI9" s="5"/>
      <c r="AJ9" s="5"/>
      <c r="AK9" s="5"/>
      <c r="AL9" s="5"/>
      <c r="AM9" s="5"/>
      <c r="AN9" s="5"/>
      <c r="AO9" s="41"/>
    </row>
    <row r="10">
      <c r="A10" s="11">
        <v>44386</v>
      </c>
      <c r="B10" s="14">
        <v>54</v>
      </c>
      <c r="C10" s="14">
        <v>100.98</v>
      </c>
      <c r="D10" s="14">
        <f>144+60</f>
        <v>204</v>
      </c>
      <c r="E10" s="14">
        <v>460</v>
      </c>
      <c r="F10" s="14"/>
      <c r="G10" s="14"/>
      <c r="H10" s="14"/>
      <c r="I10" s="14"/>
      <c r="J10" s="14"/>
      <c r="K10" s="14"/>
      <c r="L10" s="14">
        <v>1000</v>
      </c>
      <c r="M10" s="14"/>
      <c r="N10" s="14"/>
      <c r="O10" s="14"/>
      <c r="P10" s="14"/>
      <c r="Q10" s="14"/>
      <c r="R10" s="14"/>
      <c r="S10" s="46"/>
      <c r="W10" s="11">
        <v>44386</v>
      </c>
      <c r="X10" s="14"/>
      <c r="Y10" s="14"/>
      <c r="Z10" s="14"/>
      <c r="AA10" s="14"/>
      <c r="AB10" s="14"/>
      <c r="AC10" s="14"/>
      <c r="AD10" s="14"/>
      <c r="AE10" s="14"/>
      <c r="AF10" s="14"/>
      <c r="AG10" s="14"/>
      <c r="AH10" s="14"/>
      <c r="AI10" s="14"/>
      <c r="AJ10" s="14"/>
      <c r="AK10" s="14"/>
      <c r="AL10" s="14"/>
      <c r="AM10" s="14"/>
      <c r="AN10" s="14"/>
      <c r="AO10" s="46"/>
    </row>
    <row r="11">
      <c r="A11" s="11">
        <v>44387</v>
      </c>
      <c r="B11" s="5"/>
      <c r="C11" s="5"/>
      <c r="D11" s="5"/>
      <c r="E11" s="5"/>
      <c r="F11" s="5"/>
      <c r="G11" s="5"/>
      <c r="H11" s="5"/>
      <c r="I11" s="5"/>
      <c r="J11" s="5"/>
      <c r="K11" s="5"/>
      <c r="L11" s="5"/>
      <c r="M11" s="5"/>
      <c r="N11" s="5"/>
      <c r="O11" s="5"/>
      <c r="P11" s="5"/>
      <c r="Q11" s="5"/>
      <c r="R11" s="5"/>
      <c r="S11" s="41"/>
      <c r="W11" s="11">
        <v>44387</v>
      </c>
      <c r="X11" s="5"/>
      <c r="Y11" s="5"/>
      <c r="Z11" s="5"/>
      <c r="AA11" s="5"/>
      <c r="AB11" s="5"/>
      <c r="AC11" s="5"/>
      <c r="AD11" s="5"/>
      <c r="AE11" s="5"/>
      <c r="AF11" s="5"/>
      <c r="AG11" s="5"/>
      <c r="AH11" s="5"/>
      <c r="AI11" s="5"/>
      <c r="AJ11" s="5"/>
      <c r="AK11" s="5"/>
      <c r="AL11" s="5"/>
      <c r="AM11" s="5"/>
      <c r="AN11" s="5"/>
      <c r="AO11" s="41"/>
    </row>
    <row r="12">
      <c r="A12" s="11">
        <v>44388</v>
      </c>
      <c r="B12" s="14"/>
      <c r="C12" s="14">
        <v>240.96000000000001</v>
      </c>
      <c r="D12" s="14"/>
      <c r="E12" s="14"/>
      <c r="F12" s="14"/>
      <c r="G12" s="14"/>
      <c r="H12" s="14"/>
      <c r="I12" s="14"/>
      <c r="J12" s="14">
        <v>119</v>
      </c>
      <c r="K12" s="14"/>
      <c r="L12" s="14"/>
      <c r="M12" s="14"/>
      <c r="N12" s="14"/>
      <c r="O12" s="14"/>
      <c r="P12" s="14"/>
      <c r="Q12" s="14">
        <v>260</v>
      </c>
      <c r="R12" s="14"/>
      <c r="S12" s="46"/>
      <c r="W12" s="11">
        <v>44388</v>
      </c>
      <c r="X12" s="14"/>
      <c r="Y12" s="14"/>
      <c r="Z12" s="14"/>
      <c r="AA12" s="14"/>
      <c r="AB12" s="14"/>
      <c r="AC12" s="14"/>
      <c r="AD12" s="14"/>
      <c r="AE12" s="14"/>
      <c r="AF12" s="14"/>
      <c r="AG12" s="14"/>
      <c r="AH12" s="14"/>
      <c r="AI12" s="14"/>
      <c r="AJ12" s="14"/>
      <c r="AK12" s="14"/>
      <c r="AL12" s="14"/>
      <c r="AM12" s="14"/>
      <c r="AN12" s="14"/>
      <c r="AO12" s="46"/>
    </row>
    <row r="13">
      <c r="A13" s="11">
        <v>44389</v>
      </c>
      <c r="B13" s="5"/>
      <c r="C13" s="5">
        <v>654.46000000000004</v>
      </c>
      <c r="D13" s="5"/>
      <c r="E13" s="5"/>
      <c r="F13" s="5"/>
      <c r="G13" s="5"/>
      <c r="H13" s="5"/>
      <c r="I13" s="5"/>
      <c r="J13" s="5"/>
      <c r="K13" s="5"/>
      <c r="L13" s="5"/>
      <c r="M13" s="5"/>
      <c r="N13" s="5"/>
      <c r="O13" s="5"/>
      <c r="P13" s="5"/>
      <c r="Q13" s="5"/>
      <c r="R13" s="5"/>
      <c r="S13" s="41"/>
      <c r="W13" s="11">
        <v>44389</v>
      </c>
      <c r="X13" s="5"/>
      <c r="Y13" s="5"/>
      <c r="Z13" s="5"/>
      <c r="AA13" s="5"/>
      <c r="AB13" s="5"/>
      <c r="AC13" s="5"/>
      <c r="AD13" s="5"/>
      <c r="AE13" s="5"/>
      <c r="AF13" s="5"/>
      <c r="AG13" s="5"/>
      <c r="AH13" s="5"/>
      <c r="AI13" s="5"/>
      <c r="AJ13" s="5"/>
      <c r="AK13" s="5"/>
      <c r="AL13" s="5"/>
      <c r="AM13" s="5"/>
      <c r="AN13" s="5"/>
      <c r="AO13" s="41"/>
    </row>
    <row r="14">
      <c r="A14" s="11">
        <v>44390</v>
      </c>
      <c r="B14" s="14"/>
      <c r="C14" s="14"/>
      <c r="D14" s="14">
        <f>32+125</f>
        <v>157</v>
      </c>
      <c r="E14" s="14">
        <v>130</v>
      </c>
      <c r="F14" s="14"/>
      <c r="G14" s="14"/>
      <c r="H14" s="14"/>
      <c r="I14" s="14"/>
      <c r="J14" s="14"/>
      <c r="K14" s="14"/>
      <c r="L14" s="14"/>
      <c r="M14" s="14"/>
      <c r="N14" s="14">
        <v>50</v>
      </c>
      <c r="O14" s="14"/>
      <c r="P14" s="14"/>
      <c r="Q14" s="14"/>
      <c r="R14" s="14"/>
      <c r="S14" s="46"/>
      <c r="W14" s="11">
        <v>44390</v>
      </c>
      <c r="X14" s="14"/>
      <c r="Y14" s="14"/>
      <c r="Z14" s="14"/>
      <c r="AA14" s="14"/>
      <c r="AB14" s="14"/>
      <c r="AC14" s="14"/>
      <c r="AD14" s="14"/>
      <c r="AE14" s="14"/>
      <c r="AF14" s="14"/>
      <c r="AG14" s="14"/>
      <c r="AH14" s="14"/>
      <c r="AI14" s="14"/>
      <c r="AJ14" s="14"/>
      <c r="AK14" s="14"/>
      <c r="AL14" s="14"/>
      <c r="AM14" s="14"/>
      <c r="AN14" s="14"/>
      <c r="AO14" s="46"/>
    </row>
    <row r="15">
      <c r="A15" s="11">
        <v>44391</v>
      </c>
      <c r="B15" s="5"/>
      <c r="C15" s="5">
        <f>39.37+38</f>
        <v>77.370000000000005</v>
      </c>
      <c r="D15" s="5">
        <v>203</v>
      </c>
      <c r="E15" s="5"/>
      <c r="F15" s="5"/>
      <c r="G15" s="5"/>
      <c r="H15" s="5"/>
      <c r="J15" s="5"/>
      <c r="K15" s="5"/>
      <c r="L15" s="5"/>
      <c r="M15" s="5"/>
      <c r="N15" s="5"/>
      <c r="O15" s="5"/>
      <c r="P15" s="5"/>
      <c r="Q15" s="5"/>
      <c r="R15" s="5"/>
      <c r="S15" s="41"/>
      <c r="W15" s="11">
        <v>44391</v>
      </c>
      <c r="X15" s="5"/>
      <c r="Y15" s="5"/>
      <c r="Z15" s="5"/>
      <c r="AA15" s="5"/>
      <c r="AB15" s="5"/>
      <c r="AC15" s="5"/>
      <c r="AD15" s="5"/>
      <c r="AE15" s="5"/>
      <c r="AF15" s="5"/>
      <c r="AG15" s="5"/>
      <c r="AH15" s="5"/>
      <c r="AI15" s="5"/>
      <c r="AJ15" s="5"/>
      <c r="AK15" s="5"/>
      <c r="AL15" s="5"/>
      <c r="AM15" s="5"/>
      <c r="AN15" s="5"/>
      <c r="AO15" s="41"/>
    </row>
    <row r="16">
      <c r="A16" s="11">
        <v>44392</v>
      </c>
      <c r="B16" s="14">
        <v>54</v>
      </c>
      <c r="C16" s="14"/>
      <c r="D16" s="14">
        <f>58+125</f>
        <v>183</v>
      </c>
      <c r="E16" s="14"/>
      <c r="F16" s="14"/>
      <c r="G16" s="14"/>
      <c r="H16" s="14"/>
      <c r="I16" s="14"/>
      <c r="J16" s="14">
        <v>668</v>
      </c>
      <c r="K16" s="14"/>
      <c r="L16" s="14"/>
      <c r="M16" s="14"/>
      <c r="N16" s="14"/>
      <c r="O16" s="14"/>
      <c r="P16" s="14"/>
      <c r="Q16" s="14"/>
      <c r="R16" s="14"/>
      <c r="S16" s="46"/>
      <c r="W16" s="11">
        <v>44392</v>
      </c>
      <c r="X16" s="14"/>
      <c r="Y16" s="14"/>
      <c r="Z16" s="14"/>
      <c r="AA16" s="14"/>
      <c r="AB16" s="14"/>
      <c r="AC16" s="14"/>
      <c r="AD16" s="14"/>
      <c r="AE16" s="14"/>
      <c r="AF16" s="14"/>
      <c r="AG16" s="14"/>
      <c r="AH16" s="14"/>
      <c r="AI16" s="14"/>
      <c r="AJ16" s="14"/>
      <c r="AK16" s="14"/>
      <c r="AL16" s="14"/>
      <c r="AM16" s="14"/>
      <c r="AN16" s="14"/>
      <c r="AO16" s="46"/>
    </row>
    <row r="17">
      <c r="A17" s="11">
        <v>44393</v>
      </c>
      <c r="B17" s="5">
        <v>188</v>
      </c>
      <c r="C17" s="5"/>
      <c r="D17" s="5">
        <v>102</v>
      </c>
      <c r="E17" s="5"/>
      <c r="F17" s="5"/>
      <c r="G17" s="5"/>
      <c r="H17" s="5"/>
      <c r="I17" s="5"/>
      <c r="J17" s="5"/>
      <c r="K17" s="5"/>
      <c r="L17" s="5"/>
      <c r="M17" s="5"/>
      <c r="N17" s="5"/>
      <c r="O17" s="5"/>
      <c r="P17" s="5"/>
      <c r="Q17" s="5"/>
      <c r="R17" s="5"/>
      <c r="S17" s="41"/>
      <c r="W17" s="11">
        <v>44393</v>
      </c>
      <c r="X17" s="5"/>
      <c r="Y17" s="5"/>
      <c r="Z17" s="5"/>
      <c r="AA17" s="5"/>
      <c r="AB17" s="5"/>
      <c r="AC17" s="5"/>
      <c r="AD17" s="5"/>
      <c r="AE17" s="5"/>
      <c r="AF17" s="5"/>
      <c r="AG17" s="5"/>
      <c r="AH17" s="5"/>
      <c r="AI17" s="5"/>
      <c r="AJ17" s="5"/>
      <c r="AK17" s="5"/>
      <c r="AL17" s="5"/>
      <c r="AM17" s="5"/>
      <c r="AN17" s="5"/>
      <c r="AO17" s="41"/>
    </row>
    <row r="18">
      <c r="A18" s="11">
        <v>44394</v>
      </c>
      <c r="B18" s="14">
        <v>158</v>
      </c>
      <c r="C18" s="14">
        <v>715.42999999999995</v>
      </c>
      <c r="D18" s="14"/>
      <c r="E18" s="14"/>
      <c r="F18" s="14"/>
      <c r="G18" s="14"/>
      <c r="H18" s="14"/>
      <c r="I18" s="14"/>
      <c r="J18" s="14"/>
      <c r="K18" s="14"/>
      <c r="L18" s="14"/>
      <c r="M18" s="14"/>
      <c r="N18" s="14"/>
      <c r="O18" s="14"/>
      <c r="P18" s="14"/>
      <c r="Q18" s="14"/>
      <c r="R18" s="14"/>
      <c r="S18" s="46"/>
      <c r="W18" s="11">
        <v>44394</v>
      </c>
      <c r="X18" s="14"/>
      <c r="Y18" s="14"/>
      <c r="Z18" s="14"/>
      <c r="AA18" s="14"/>
      <c r="AB18" s="14"/>
      <c r="AC18" s="14"/>
      <c r="AD18" s="14"/>
      <c r="AE18" s="14"/>
      <c r="AF18" s="14"/>
      <c r="AG18" s="14"/>
      <c r="AH18" s="14"/>
      <c r="AI18" s="14"/>
      <c r="AJ18" s="14"/>
      <c r="AK18" s="14"/>
      <c r="AL18" s="14"/>
      <c r="AM18" s="14"/>
      <c r="AN18" s="14"/>
      <c r="AO18" s="46"/>
    </row>
    <row r="19">
      <c r="A19" s="11">
        <v>44395</v>
      </c>
      <c r="B19" s="5">
        <v>54</v>
      </c>
      <c r="C19" s="5">
        <f>90+648</f>
        <v>738</v>
      </c>
      <c r="D19" s="5">
        <v>138</v>
      </c>
      <c r="E19" s="5"/>
      <c r="F19" s="5"/>
      <c r="G19" s="5"/>
      <c r="H19" s="5"/>
      <c r="I19" s="5"/>
      <c r="J19" s="5"/>
      <c r="K19" s="5"/>
      <c r="L19" s="5"/>
      <c r="M19" s="5"/>
      <c r="N19" s="5"/>
      <c r="O19" s="5"/>
      <c r="P19" s="5"/>
      <c r="Q19" s="5"/>
      <c r="R19" s="5"/>
      <c r="S19" s="41"/>
      <c r="W19" s="11">
        <v>44395</v>
      </c>
      <c r="X19" s="5"/>
      <c r="Y19" s="5"/>
      <c r="Z19" s="5"/>
      <c r="AA19" s="5"/>
      <c r="AB19" s="5"/>
      <c r="AC19" s="5"/>
      <c r="AD19" s="5"/>
      <c r="AE19" s="5"/>
      <c r="AF19" s="5"/>
      <c r="AG19" s="5"/>
      <c r="AH19" s="5"/>
      <c r="AI19" s="5"/>
      <c r="AJ19" s="5"/>
      <c r="AK19" s="5"/>
      <c r="AL19" s="5"/>
      <c r="AM19" s="5"/>
      <c r="AN19" s="5"/>
      <c r="AO19" s="41"/>
    </row>
    <row r="20">
      <c r="A20" s="11">
        <v>44396</v>
      </c>
      <c r="B20" s="14"/>
      <c r="C20" s="14"/>
      <c r="D20" s="14"/>
      <c r="E20" s="14"/>
      <c r="F20" s="14"/>
      <c r="G20" s="14"/>
      <c r="H20" s="14"/>
      <c r="I20" s="14"/>
      <c r="J20" s="14"/>
      <c r="K20" s="14"/>
      <c r="L20" s="14"/>
      <c r="M20" s="14"/>
      <c r="N20" s="14"/>
      <c r="O20" s="14"/>
      <c r="P20" s="34"/>
      <c r="Q20" s="14"/>
      <c r="R20" s="14"/>
      <c r="S20" s="46"/>
      <c r="W20" s="11">
        <v>44396</v>
      </c>
      <c r="X20" s="14"/>
      <c r="Y20" s="14"/>
      <c r="Z20" s="14"/>
      <c r="AA20" s="14"/>
      <c r="AB20" s="14"/>
      <c r="AC20" s="14"/>
      <c r="AD20" s="14"/>
      <c r="AE20" s="14"/>
      <c r="AF20" s="14"/>
      <c r="AG20" s="14"/>
      <c r="AH20" s="14"/>
      <c r="AI20" s="14"/>
      <c r="AJ20" s="14"/>
      <c r="AK20" s="14"/>
      <c r="AL20" s="34"/>
      <c r="AM20" s="14"/>
      <c r="AN20" s="14"/>
      <c r="AO20" s="46"/>
    </row>
    <row r="21">
      <c r="A21" s="11">
        <v>44397</v>
      </c>
      <c r="B21" s="69">
        <v>54</v>
      </c>
      <c r="C21" s="5"/>
      <c r="D21" s="5">
        <v>161</v>
      </c>
      <c r="E21" s="5"/>
      <c r="F21" s="5"/>
      <c r="G21" s="5"/>
      <c r="H21" s="5"/>
      <c r="I21" s="5"/>
      <c r="J21" s="5"/>
      <c r="K21" s="5"/>
      <c r="L21" s="5"/>
      <c r="M21" s="5"/>
      <c r="N21" s="5"/>
      <c r="O21" s="5"/>
      <c r="P21" s="5"/>
      <c r="Q21" s="5"/>
      <c r="R21" s="5"/>
      <c r="S21" s="41"/>
      <c r="W21" s="11">
        <v>44397</v>
      </c>
      <c r="X21" s="69"/>
      <c r="Y21" s="5"/>
      <c r="Z21" s="5"/>
      <c r="AA21" s="5"/>
      <c r="AB21" s="5"/>
      <c r="AC21" s="5"/>
      <c r="AD21" s="5"/>
      <c r="AE21" s="5"/>
      <c r="AF21" s="5"/>
      <c r="AG21" s="5"/>
      <c r="AH21" s="5"/>
      <c r="AI21" s="5"/>
      <c r="AJ21" s="5"/>
      <c r="AK21" s="5"/>
      <c r="AL21" s="5"/>
      <c r="AM21" s="5"/>
      <c r="AN21" s="5"/>
      <c r="AO21" s="41"/>
    </row>
    <row r="22">
      <c r="A22" s="11">
        <v>44398</v>
      </c>
      <c r="B22" s="53"/>
      <c r="C22" s="63">
        <f>1200.15+378.52</f>
        <v>1578.6700000000001</v>
      </c>
      <c r="D22" s="63">
        <v>192</v>
      </c>
      <c r="E22" s="14"/>
      <c r="F22" s="14"/>
      <c r="G22" s="14"/>
      <c r="H22" s="14"/>
      <c r="I22" s="14"/>
      <c r="J22" s="14"/>
      <c r="K22" s="14"/>
      <c r="L22" s="14"/>
      <c r="M22" s="14"/>
      <c r="N22" s="14"/>
      <c r="O22" s="14"/>
      <c r="P22" s="14"/>
      <c r="Q22" s="14"/>
      <c r="R22" s="14"/>
      <c r="S22" s="46"/>
      <c r="W22" s="11">
        <v>44398</v>
      </c>
      <c r="X22" s="70"/>
      <c r="Y22" s="14"/>
      <c r="Z22" s="14"/>
      <c r="AA22" s="14"/>
      <c r="AB22" s="14"/>
      <c r="AC22" s="14"/>
      <c r="AD22" s="14"/>
      <c r="AE22" s="14"/>
      <c r="AF22" s="14"/>
      <c r="AG22" s="14"/>
      <c r="AH22" s="14"/>
      <c r="AI22" s="14"/>
      <c r="AJ22" s="14"/>
      <c r="AK22" s="14"/>
      <c r="AL22" s="14"/>
      <c r="AM22" s="14"/>
      <c r="AN22" s="14"/>
      <c r="AO22" s="46"/>
    </row>
    <row r="23">
      <c r="A23" s="11">
        <v>44399</v>
      </c>
      <c r="B23" s="41">
        <v>54</v>
      </c>
      <c r="C23" s="5"/>
      <c r="D23" s="5">
        <v>98</v>
      </c>
      <c r="E23" s="42"/>
      <c r="F23" s="5"/>
      <c r="G23" s="5"/>
      <c r="H23" s="5"/>
      <c r="I23" s="5"/>
      <c r="J23" s="5"/>
      <c r="K23" s="5"/>
      <c r="L23" s="5"/>
      <c r="M23" s="5"/>
      <c r="N23" s="5"/>
      <c r="O23" s="5"/>
      <c r="P23" s="5"/>
      <c r="Q23" s="5"/>
      <c r="R23" s="5"/>
      <c r="S23" s="41"/>
      <c r="W23" s="11">
        <v>44399</v>
      </c>
      <c r="X23" s="5"/>
      <c r="Y23" s="5"/>
      <c r="Z23" s="5"/>
      <c r="AA23" s="5"/>
      <c r="AB23" s="5"/>
      <c r="AC23" s="5"/>
      <c r="AD23" s="5"/>
      <c r="AE23" s="5"/>
      <c r="AF23" s="5"/>
      <c r="AG23" s="5"/>
      <c r="AH23" s="5"/>
      <c r="AI23" s="5"/>
      <c r="AJ23" s="5"/>
      <c r="AK23" s="5"/>
      <c r="AL23" s="5"/>
      <c r="AM23" s="5"/>
      <c r="AN23" s="5"/>
      <c r="AO23" s="41"/>
    </row>
    <row r="24">
      <c r="A24" s="11">
        <v>44400</v>
      </c>
      <c r="B24" s="14"/>
      <c r="C24" s="18"/>
      <c r="D24" s="18">
        <v>133</v>
      </c>
      <c r="E24" s="14">
        <v>1240</v>
      </c>
      <c r="F24" s="14"/>
      <c r="G24" s="14"/>
      <c r="H24" s="14"/>
      <c r="I24" s="14"/>
      <c r="J24" s="14"/>
      <c r="K24" s="14"/>
      <c r="L24" s="14"/>
      <c r="M24" s="14">
        <v>1430</v>
      </c>
      <c r="N24" s="14"/>
      <c r="O24" s="14"/>
      <c r="P24" s="14"/>
      <c r="Q24" s="14"/>
      <c r="R24" s="14"/>
      <c r="S24" s="46"/>
      <c r="W24" s="11">
        <v>44400</v>
      </c>
      <c r="X24" s="14"/>
      <c r="Y24" s="14"/>
      <c r="Z24" s="14"/>
      <c r="AA24" s="14"/>
      <c r="AB24" s="14"/>
      <c r="AC24" s="14"/>
      <c r="AD24" s="14"/>
      <c r="AE24" s="14"/>
      <c r="AF24" s="14"/>
      <c r="AG24" s="14"/>
      <c r="AH24" s="14"/>
      <c r="AI24" s="14"/>
      <c r="AJ24" s="14"/>
      <c r="AK24" s="14"/>
      <c r="AL24" s="14"/>
      <c r="AM24" s="14"/>
      <c r="AN24" s="14"/>
      <c r="AO24" s="46"/>
    </row>
    <row r="25">
      <c r="A25" s="11">
        <v>44401</v>
      </c>
      <c r="B25" s="54"/>
      <c r="C25" s="5">
        <v>576.65999999999997</v>
      </c>
      <c r="D25" s="5"/>
      <c r="E25" s="5"/>
      <c r="F25" s="5"/>
      <c r="G25" s="5"/>
      <c r="H25" s="5"/>
      <c r="I25" s="5"/>
      <c r="J25" s="5"/>
      <c r="K25" s="5"/>
      <c r="L25" s="5"/>
      <c r="M25" s="5"/>
      <c r="N25" s="5"/>
      <c r="O25" s="5"/>
      <c r="P25" s="5"/>
      <c r="Q25" s="5"/>
      <c r="R25" s="5"/>
      <c r="S25" s="41"/>
      <c r="W25" s="11">
        <v>44401</v>
      </c>
      <c r="X25" s="28"/>
      <c r="Y25" s="5"/>
      <c r="Z25" s="5"/>
      <c r="AA25" s="5"/>
      <c r="AB25" s="5"/>
      <c r="AC25" s="5"/>
      <c r="AD25" s="5"/>
      <c r="AE25" s="5"/>
      <c r="AF25" s="5"/>
      <c r="AG25" s="5"/>
      <c r="AH25" s="5"/>
      <c r="AI25" s="5"/>
      <c r="AJ25" s="5"/>
      <c r="AK25" s="5"/>
      <c r="AL25" s="5"/>
      <c r="AM25" s="5"/>
      <c r="AN25" s="5"/>
      <c r="AO25" s="41"/>
    </row>
    <row r="26">
      <c r="A26" s="11">
        <v>44402</v>
      </c>
      <c r="B26" s="14"/>
      <c r="C26" s="14"/>
      <c r="D26" s="14"/>
      <c r="E26" s="14"/>
      <c r="F26" s="14"/>
      <c r="G26" s="14"/>
      <c r="H26" s="14"/>
      <c r="I26" s="14"/>
      <c r="J26" s="14"/>
      <c r="K26" s="14"/>
      <c r="L26" s="14"/>
      <c r="M26" s="14"/>
      <c r="N26" s="14"/>
      <c r="O26" s="14"/>
      <c r="P26" s="14"/>
      <c r="Q26" s="14"/>
      <c r="R26" s="14"/>
      <c r="S26" s="46"/>
      <c r="W26" s="11">
        <v>44402</v>
      </c>
      <c r="X26" s="14"/>
      <c r="Y26" s="14"/>
      <c r="Z26" s="14"/>
      <c r="AA26" s="14"/>
      <c r="AB26" s="14"/>
      <c r="AC26" s="14"/>
      <c r="AD26" s="14"/>
      <c r="AE26" s="14"/>
      <c r="AF26" s="14"/>
      <c r="AG26" s="14"/>
      <c r="AH26" s="14"/>
      <c r="AI26" s="14"/>
      <c r="AJ26" s="14"/>
      <c r="AK26" s="14"/>
      <c r="AL26" s="14"/>
      <c r="AM26" s="14"/>
      <c r="AN26" s="14"/>
      <c r="AO26" s="46"/>
    </row>
    <row r="27">
      <c r="A27" s="11">
        <v>44403</v>
      </c>
      <c r="B27" s="5"/>
      <c r="C27" s="5">
        <v>637.63999999999999</v>
      </c>
      <c r="D27" s="5">
        <v>182</v>
      </c>
      <c r="E27" s="5"/>
      <c r="F27" s="5"/>
      <c r="G27" s="5"/>
      <c r="H27" s="5"/>
      <c r="I27" s="5"/>
      <c r="J27" s="5"/>
      <c r="K27" s="5"/>
      <c r="L27" s="5"/>
      <c r="M27" s="5"/>
      <c r="N27" s="5"/>
      <c r="O27" s="5"/>
      <c r="P27" s="5"/>
      <c r="Q27" s="5">
        <v>199</v>
      </c>
      <c r="R27" s="5"/>
      <c r="S27" s="41"/>
      <c r="W27" s="11">
        <v>44403</v>
      </c>
      <c r="X27" s="5"/>
      <c r="Y27" s="5"/>
      <c r="Z27" s="5"/>
      <c r="AA27" s="5"/>
      <c r="AB27" s="5"/>
      <c r="AC27" s="5"/>
      <c r="AD27" s="5"/>
      <c r="AE27" s="5"/>
      <c r="AF27" s="5"/>
      <c r="AG27" s="5"/>
      <c r="AH27" s="5"/>
      <c r="AI27" s="5"/>
      <c r="AJ27" s="5"/>
      <c r="AK27" s="5"/>
      <c r="AL27" s="5"/>
      <c r="AM27" s="5"/>
      <c r="AN27" s="5"/>
      <c r="AO27" s="41"/>
    </row>
    <row r="28">
      <c r="A28" s="11">
        <v>44404</v>
      </c>
      <c r="B28" s="14"/>
      <c r="C28" s="14"/>
      <c r="D28" s="14">
        <v>155</v>
      </c>
      <c r="E28" s="14"/>
      <c r="F28" s="14"/>
      <c r="G28" s="14"/>
      <c r="H28" s="14"/>
      <c r="I28" s="14"/>
      <c r="J28" s="14"/>
      <c r="K28" s="14"/>
      <c r="L28" s="14"/>
      <c r="M28" s="14"/>
      <c r="N28" s="14"/>
      <c r="O28" s="14"/>
      <c r="P28" s="14"/>
      <c r="Q28" s="14"/>
      <c r="R28" s="14"/>
      <c r="S28" s="46"/>
      <c r="W28" s="11">
        <v>44404</v>
      </c>
      <c r="X28" s="14"/>
      <c r="Y28" s="14"/>
      <c r="Z28" s="14"/>
      <c r="AA28" s="14"/>
      <c r="AB28" s="14"/>
      <c r="AC28" s="14"/>
      <c r="AD28" s="14"/>
      <c r="AE28" s="14"/>
      <c r="AF28" s="14"/>
      <c r="AG28" s="14"/>
      <c r="AH28" s="14"/>
      <c r="AI28" s="14"/>
      <c r="AJ28" s="14"/>
      <c r="AK28" s="14"/>
      <c r="AL28" s="14"/>
      <c r="AM28" s="14"/>
      <c r="AN28" s="14"/>
      <c r="AO28" s="46"/>
    </row>
    <row r="29">
      <c r="A29" s="11">
        <v>44405</v>
      </c>
      <c r="B29" s="5"/>
      <c r="C29" s="5">
        <v>227.97</v>
      </c>
      <c r="D29" s="5">
        <v>155</v>
      </c>
      <c r="E29" s="5"/>
      <c r="F29" s="5"/>
      <c r="G29" s="5">
        <v>199</v>
      </c>
      <c r="H29" s="5"/>
      <c r="I29" s="5"/>
      <c r="J29" s="5"/>
      <c r="K29" s="5"/>
      <c r="L29" s="5">
        <v>1837.6300000000001</v>
      </c>
      <c r="M29" s="5"/>
      <c r="N29" s="5"/>
      <c r="O29" s="5"/>
      <c r="P29" s="5"/>
      <c r="Q29" s="5"/>
      <c r="R29" s="5"/>
      <c r="S29" s="41"/>
      <c r="W29" s="11">
        <v>44405</v>
      </c>
      <c r="X29" s="5"/>
      <c r="Y29" s="5"/>
      <c r="Z29" s="5"/>
      <c r="AA29" s="5"/>
      <c r="AB29" s="5"/>
      <c r="AC29" s="5"/>
      <c r="AD29" s="5"/>
      <c r="AE29" s="5"/>
      <c r="AF29" s="5"/>
      <c r="AG29" s="5"/>
      <c r="AH29" s="5"/>
      <c r="AI29" s="5"/>
      <c r="AJ29" s="5"/>
      <c r="AK29" s="5"/>
      <c r="AL29" s="5"/>
      <c r="AM29" s="5"/>
      <c r="AN29" s="5"/>
      <c r="AO29" s="41"/>
    </row>
    <row r="30">
      <c r="A30" s="11">
        <v>44406</v>
      </c>
      <c r="B30" s="22"/>
      <c r="C30" s="22">
        <v>203.66</v>
      </c>
      <c r="D30" s="22">
        <v>158</v>
      </c>
      <c r="E30" s="22">
        <v>328</v>
      </c>
      <c r="F30" s="22"/>
      <c r="G30" s="22"/>
      <c r="H30" s="22"/>
      <c r="I30" s="22"/>
      <c r="J30" s="22"/>
      <c r="K30" s="22"/>
      <c r="L30" s="22"/>
      <c r="M30" s="22"/>
      <c r="N30" s="22"/>
      <c r="O30" s="22"/>
      <c r="P30" s="22"/>
      <c r="Q30" s="22"/>
      <c r="R30" s="22"/>
      <c r="S30" s="55"/>
      <c r="W30" s="11">
        <v>44406</v>
      </c>
      <c r="X30" s="22"/>
      <c r="Y30" s="22"/>
      <c r="Z30" s="22"/>
      <c r="AA30" s="22"/>
      <c r="AB30" s="22"/>
      <c r="AC30" s="22"/>
      <c r="AD30" s="22"/>
      <c r="AE30" s="22"/>
      <c r="AF30" s="22"/>
      <c r="AG30" s="22"/>
      <c r="AH30" s="22"/>
      <c r="AI30" s="22"/>
      <c r="AJ30" s="22"/>
      <c r="AK30" s="22"/>
      <c r="AL30" s="22"/>
      <c r="AM30" s="22"/>
      <c r="AN30" s="22"/>
      <c r="AO30" s="55"/>
    </row>
    <row r="31">
      <c r="A31" s="11">
        <v>44407</v>
      </c>
      <c r="B31" s="5"/>
      <c r="C31" s="5"/>
      <c r="D31" s="5">
        <v>180</v>
      </c>
      <c r="E31" s="5"/>
      <c r="F31" s="5"/>
      <c r="G31" s="5"/>
      <c r="H31" s="5"/>
      <c r="I31" s="5"/>
      <c r="J31" s="5"/>
      <c r="K31" s="5"/>
      <c r="L31" s="5"/>
      <c r="M31" s="5"/>
      <c r="N31" s="5"/>
      <c r="O31" s="5"/>
      <c r="P31" s="5"/>
      <c r="Q31" s="5"/>
      <c r="R31" s="5"/>
      <c r="S31" s="41"/>
      <c r="W31" s="11">
        <v>44407</v>
      </c>
      <c r="X31" s="5"/>
      <c r="Y31" s="5"/>
      <c r="Z31" s="5"/>
      <c r="AA31" s="5"/>
      <c r="AB31" s="5"/>
      <c r="AC31" s="5"/>
      <c r="AD31" s="5"/>
      <c r="AE31" s="5"/>
      <c r="AF31" s="5"/>
      <c r="AG31" s="5"/>
      <c r="AH31" s="5"/>
      <c r="AI31" s="5"/>
      <c r="AJ31" s="5"/>
      <c r="AK31" s="5"/>
      <c r="AL31" s="5"/>
      <c r="AM31" s="5"/>
      <c r="AN31" s="5"/>
      <c r="AO31" s="41"/>
    </row>
    <row r="32">
      <c r="A32" s="11">
        <v>44408</v>
      </c>
      <c r="B32" s="22"/>
      <c r="C32" s="22"/>
      <c r="D32" s="22"/>
      <c r="E32" s="22">
        <v>375</v>
      </c>
      <c r="F32" s="22"/>
      <c r="G32" s="22"/>
      <c r="H32" s="22"/>
      <c r="I32" s="22"/>
      <c r="J32" s="22"/>
      <c r="K32" s="22"/>
      <c r="L32" s="22"/>
      <c r="M32" s="22"/>
      <c r="N32" s="22"/>
      <c r="O32" s="22"/>
      <c r="P32" s="22"/>
      <c r="Q32" s="22"/>
      <c r="R32" s="22">
        <v>49.979999999999997</v>
      </c>
      <c r="S32" s="55"/>
      <c r="W32" s="11">
        <v>44408</v>
      </c>
      <c r="X32" s="22"/>
      <c r="Y32" s="22"/>
      <c r="Z32" s="22"/>
      <c r="AA32" s="22"/>
      <c r="AB32" s="22"/>
      <c r="AC32" s="22"/>
      <c r="AD32" s="22"/>
      <c r="AE32" s="22"/>
      <c r="AF32" s="22"/>
      <c r="AG32" s="22"/>
      <c r="AH32" s="22"/>
      <c r="AI32" s="22"/>
      <c r="AJ32" s="22"/>
      <c r="AK32" s="22"/>
      <c r="AL32" s="22"/>
      <c r="AM32" s="22"/>
      <c r="AN32" s="22"/>
      <c r="AO32" s="55"/>
    </row>
    <row r="33">
      <c r="A33" s="7"/>
      <c r="B33" s="7">
        <f>SUM(B2:B32)</f>
        <v>616</v>
      </c>
      <c r="C33" s="7">
        <f>SUM(C2:C32)</f>
        <v>7402.4300000000003</v>
      </c>
      <c r="D33" s="7">
        <f>SUM(D2:D32)</f>
        <v>3308</v>
      </c>
      <c r="E33" s="7">
        <f>SUM(E2:E32)</f>
        <v>4270</v>
      </c>
      <c r="F33" s="7">
        <f t="shared" ref="F33:R33" si="69">SUM(F2:F32)</f>
        <v>0</v>
      </c>
      <c r="G33" s="7">
        <f t="shared" si="69"/>
        <v>199</v>
      </c>
      <c r="H33" s="7">
        <f t="shared" si="69"/>
        <v>0</v>
      </c>
      <c r="I33" s="7">
        <f t="shared" si="69"/>
        <v>0</v>
      </c>
      <c r="J33" s="7">
        <f t="shared" si="69"/>
        <v>1822.5</v>
      </c>
      <c r="K33" s="7">
        <f t="shared" si="69"/>
        <v>0</v>
      </c>
      <c r="L33" s="7">
        <f t="shared" si="69"/>
        <v>2837.6300000000001</v>
      </c>
      <c r="M33" s="7">
        <f t="shared" si="69"/>
        <v>1430</v>
      </c>
      <c r="N33" s="7">
        <f t="shared" si="69"/>
        <v>650</v>
      </c>
      <c r="O33" s="7">
        <f t="shared" si="69"/>
        <v>0</v>
      </c>
      <c r="P33" s="7">
        <f t="shared" si="69"/>
        <v>0</v>
      </c>
      <c r="Q33" s="7">
        <f t="shared" si="69"/>
        <v>459</v>
      </c>
      <c r="R33" s="7">
        <f t="shared" si="69"/>
        <v>193.91999999999999</v>
      </c>
      <c r="S33" s="47">
        <f>SUM(B33:R33)</f>
        <v>23188.48</v>
      </c>
      <c r="W33" s="7"/>
      <c r="X33" s="7">
        <f t="shared" ref="X33:AN33" si="70">SUM(X2:X32)</f>
        <v>0</v>
      </c>
      <c r="Y33" s="7">
        <f t="shared" si="70"/>
        <v>0</v>
      </c>
      <c r="Z33" s="7">
        <f t="shared" si="70"/>
        <v>0</v>
      </c>
      <c r="AA33" s="7">
        <f t="shared" si="70"/>
        <v>0</v>
      </c>
      <c r="AB33" s="7">
        <f t="shared" si="70"/>
        <v>0</v>
      </c>
      <c r="AC33" s="7">
        <f t="shared" si="70"/>
        <v>0</v>
      </c>
      <c r="AD33" s="7">
        <f t="shared" si="70"/>
        <v>0</v>
      </c>
      <c r="AE33" s="7">
        <f t="shared" si="70"/>
        <v>0</v>
      </c>
      <c r="AF33" s="7">
        <f t="shared" si="70"/>
        <v>0</v>
      </c>
      <c r="AG33" s="7">
        <f t="shared" si="70"/>
        <v>0</v>
      </c>
      <c r="AH33" s="7">
        <f t="shared" si="70"/>
        <v>0</v>
      </c>
      <c r="AI33" s="7">
        <f t="shared" si="70"/>
        <v>0</v>
      </c>
      <c r="AJ33" s="7">
        <f t="shared" si="70"/>
        <v>0</v>
      </c>
      <c r="AK33" s="7">
        <f t="shared" si="70"/>
        <v>0</v>
      </c>
      <c r="AL33" s="7">
        <f t="shared" si="70"/>
        <v>0</v>
      </c>
      <c r="AM33" s="7">
        <f t="shared" si="70"/>
        <v>0</v>
      </c>
      <c r="AN33" s="7">
        <f t="shared" si="70"/>
        <v>0</v>
      </c>
      <c r="AO33" s="47">
        <f>SUM(X33:AN33)</f>
        <v>0</v>
      </c>
    </row>
    <row r="34">
      <c r="A34" s="8"/>
      <c r="B34" s="8"/>
      <c r="C34" s="8"/>
      <c r="D34" s="8"/>
      <c r="E34" s="8"/>
      <c r="F34" s="8"/>
      <c r="G34" s="8"/>
      <c r="H34" s="8"/>
      <c r="I34" s="8"/>
      <c r="J34" s="8"/>
      <c r="K34" s="8"/>
      <c r="L34" s="8"/>
      <c r="M34" s="8"/>
      <c r="N34" s="8"/>
      <c r="O34" s="8"/>
      <c r="P34" s="8"/>
      <c r="Q34" s="8"/>
      <c r="R34" s="8"/>
      <c r="S34" s="8"/>
      <c r="W34" s="8"/>
      <c r="X34" s="8"/>
      <c r="Y34" s="8"/>
      <c r="Z34" s="8"/>
      <c r="AA34" s="8"/>
      <c r="AB34" s="8"/>
      <c r="AC34" s="8"/>
      <c r="AD34" s="8"/>
      <c r="AE34" s="8"/>
      <c r="AF34" s="8"/>
      <c r="AG34" s="8"/>
      <c r="AH34" s="8"/>
      <c r="AI34" s="8"/>
      <c r="AJ34" s="8"/>
      <c r="AK34" s="8"/>
      <c r="AL34" s="8"/>
      <c r="AM34" s="8"/>
      <c r="AN34" s="8"/>
      <c r="AO34" s="8"/>
    </row>
    <row r="35">
      <c r="A35" s="10" t="s">
        <v>0</v>
      </c>
      <c r="B35" s="10" t="s">
        <v>50</v>
      </c>
      <c r="C35" s="10" t="s">
        <v>13</v>
      </c>
      <c r="D35" s="10" t="s">
        <v>11</v>
      </c>
      <c r="E35" s="10" t="s">
        <v>51</v>
      </c>
      <c r="F35" s="10" t="s">
        <v>52</v>
      </c>
      <c r="G35" s="10" t="s">
        <v>53</v>
      </c>
      <c r="H35" s="10" t="s">
        <v>54</v>
      </c>
      <c r="I35" s="10" t="s">
        <v>55</v>
      </c>
      <c r="J35" s="65" t="s">
        <v>61</v>
      </c>
      <c r="K35" s="65" t="s">
        <v>74</v>
      </c>
      <c r="L35" s="57"/>
      <c r="M35" s="57"/>
      <c r="N35" s="57"/>
      <c r="O35" s="57"/>
      <c r="P35" s="57"/>
      <c r="Q35" s="57"/>
      <c r="R35" s="57"/>
      <c r="S35" s="57"/>
      <c r="W35" s="10" t="s">
        <v>0</v>
      </c>
      <c r="X35" s="10" t="s">
        <v>50</v>
      </c>
      <c r="Y35" s="10" t="s">
        <v>13</v>
      </c>
      <c r="Z35" s="10" t="s">
        <v>11</v>
      </c>
      <c r="AA35" s="10" t="s">
        <v>51</v>
      </c>
      <c r="AB35" s="10" t="s">
        <v>52</v>
      </c>
      <c r="AC35" s="10" t="s">
        <v>53</v>
      </c>
      <c r="AD35" s="10" t="s">
        <v>54</v>
      </c>
      <c r="AE35" s="10" t="s">
        <v>55</v>
      </c>
      <c r="AF35" s="65" t="s">
        <v>61</v>
      </c>
      <c r="AG35" s="65" t="s">
        <v>74</v>
      </c>
      <c r="AH35" s="57"/>
      <c r="AI35" s="57"/>
      <c r="AJ35" s="57"/>
      <c r="AK35" s="57"/>
      <c r="AL35" s="57"/>
      <c r="AM35" s="57"/>
      <c r="AN35" s="57"/>
      <c r="AO35" s="57"/>
    </row>
    <row r="36">
      <c r="A36" s="11">
        <v>44378</v>
      </c>
      <c r="B36" s="14"/>
      <c r="C36" s="14"/>
      <c r="D36" s="14"/>
      <c r="E36" s="14"/>
      <c r="F36" s="14"/>
      <c r="G36" s="14"/>
      <c r="H36" s="14"/>
      <c r="I36" s="14"/>
      <c r="J36" s="22"/>
      <c r="K36" s="22"/>
      <c r="L36" s="22"/>
      <c r="M36" s="22"/>
      <c r="N36" s="22"/>
      <c r="O36" s="22"/>
      <c r="P36" s="22"/>
      <c r="Q36" s="22"/>
      <c r="R36" s="53"/>
      <c r="S36" s="22"/>
      <c r="W36" s="11">
        <v>44378</v>
      </c>
      <c r="X36" s="14"/>
      <c r="Y36" s="14"/>
      <c r="Z36" s="14"/>
      <c r="AA36" s="14"/>
      <c r="AB36" s="14"/>
      <c r="AC36" s="14"/>
      <c r="AD36" s="14"/>
      <c r="AE36" s="14"/>
      <c r="AF36" s="22"/>
      <c r="AG36" s="22"/>
      <c r="AH36" s="22"/>
      <c r="AI36" s="22"/>
      <c r="AJ36" s="22"/>
      <c r="AK36" s="22"/>
      <c r="AL36" s="22"/>
      <c r="AM36" s="22"/>
      <c r="AN36" s="22"/>
      <c r="AO36" s="22"/>
    </row>
    <row r="37">
      <c r="A37" s="11">
        <v>44379</v>
      </c>
      <c r="B37" s="5"/>
      <c r="C37" s="5"/>
      <c r="D37" s="5"/>
      <c r="E37" s="5"/>
      <c r="F37" s="5"/>
      <c r="G37" s="5"/>
      <c r="H37" s="5"/>
      <c r="I37" s="5"/>
      <c r="J37" s="5"/>
      <c r="K37" s="5"/>
      <c r="L37" s="5"/>
      <c r="M37" s="5"/>
      <c r="N37" s="5"/>
      <c r="O37" s="5"/>
      <c r="P37" s="5"/>
      <c r="Q37" s="5"/>
      <c r="R37" s="5"/>
      <c r="S37" s="5"/>
      <c r="W37" s="11">
        <v>44379</v>
      </c>
      <c r="X37" s="5"/>
      <c r="Y37" s="5"/>
      <c r="Z37" s="5"/>
      <c r="AA37" s="5"/>
      <c r="AB37" s="5"/>
      <c r="AC37" s="5"/>
      <c r="AD37" s="5"/>
      <c r="AE37" s="5"/>
      <c r="AF37" s="5"/>
      <c r="AG37" s="5"/>
      <c r="AH37" s="5"/>
      <c r="AI37" s="5"/>
      <c r="AJ37" s="5"/>
      <c r="AK37" s="5"/>
      <c r="AL37" s="5"/>
      <c r="AM37" s="5"/>
      <c r="AN37" s="5"/>
      <c r="AO37" s="5"/>
    </row>
    <row r="38">
      <c r="A38" s="11">
        <v>44380</v>
      </c>
      <c r="B38" s="14"/>
      <c r="C38" s="14"/>
      <c r="D38" s="14"/>
      <c r="E38" s="14"/>
      <c r="F38" s="14"/>
      <c r="G38" s="14"/>
      <c r="H38" s="14"/>
      <c r="I38" s="14"/>
      <c r="J38" s="22"/>
      <c r="K38" s="22">
        <v>2000</v>
      </c>
      <c r="L38" s="22"/>
      <c r="M38" s="22"/>
      <c r="N38" s="22"/>
      <c r="O38" s="22"/>
      <c r="P38" s="22"/>
      <c r="Q38" s="22"/>
      <c r="R38" s="22"/>
      <c r="S38" s="22"/>
      <c r="W38" s="11">
        <v>44380</v>
      </c>
      <c r="X38" s="14"/>
      <c r="Y38" s="14"/>
      <c r="Z38" s="14"/>
      <c r="AA38" s="14"/>
      <c r="AB38" s="14"/>
      <c r="AC38" s="14"/>
      <c r="AD38" s="14"/>
      <c r="AE38" s="14"/>
      <c r="AF38" s="22"/>
      <c r="AG38" s="22"/>
      <c r="AH38" s="22"/>
      <c r="AI38" s="22"/>
      <c r="AJ38" s="22"/>
      <c r="AK38" s="22"/>
      <c r="AL38" s="22"/>
      <c r="AM38" s="22"/>
      <c r="AN38" s="22"/>
      <c r="AO38" s="22"/>
    </row>
    <row r="39">
      <c r="A39" s="11">
        <v>44381</v>
      </c>
      <c r="B39" s="5"/>
      <c r="C39" s="5"/>
      <c r="D39" s="5"/>
      <c r="E39" s="58">
        <v>718.34000000000003</v>
      </c>
      <c r="F39" s="5"/>
      <c r="G39" s="5"/>
      <c r="H39" s="5"/>
      <c r="I39" s="5">
        <v>1285</v>
      </c>
      <c r="J39" s="5"/>
      <c r="K39" s="5"/>
      <c r="L39" s="5"/>
      <c r="M39" s="5"/>
      <c r="N39" s="5"/>
      <c r="O39" s="5"/>
      <c r="P39" s="5"/>
      <c r="Q39" s="5"/>
      <c r="R39" s="5"/>
      <c r="S39" s="5"/>
      <c r="W39" s="11">
        <v>44381</v>
      </c>
      <c r="X39" s="5"/>
      <c r="Y39" s="5"/>
      <c r="Z39" s="5"/>
      <c r="AA39" s="71"/>
      <c r="AB39" s="5"/>
      <c r="AC39" s="5"/>
      <c r="AD39" s="5"/>
      <c r="AE39" s="5"/>
      <c r="AF39" s="5"/>
      <c r="AG39" s="5"/>
      <c r="AH39" s="5"/>
      <c r="AI39" s="5"/>
      <c r="AJ39" s="5"/>
      <c r="AK39" s="5"/>
      <c r="AL39" s="5"/>
      <c r="AM39" s="5"/>
      <c r="AN39" s="5"/>
      <c r="AO39" s="5"/>
    </row>
    <row r="40">
      <c r="A40" s="11">
        <v>44382</v>
      </c>
      <c r="B40" s="14"/>
      <c r="C40" s="14"/>
      <c r="D40" s="14"/>
      <c r="E40" s="14"/>
      <c r="F40" s="14"/>
      <c r="G40" s="14"/>
      <c r="H40" s="14"/>
      <c r="I40" s="14"/>
      <c r="J40" s="5"/>
      <c r="K40" s="5">
        <v>1000</v>
      </c>
      <c r="L40" s="5"/>
      <c r="M40" s="5"/>
      <c r="N40" s="5"/>
      <c r="O40" s="5"/>
      <c r="P40" s="5"/>
      <c r="Q40" s="5"/>
      <c r="R40" s="5"/>
      <c r="S40" s="5"/>
      <c r="W40" s="11">
        <v>44382</v>
      </c>
      <c r="X40" s="14"/>
      <c r="Y40" s="14"/>
      <c r="Z40" s="14"/>
      <c r="AA40" s="14"/>
      <c r="AB40" s="14"/>
      <c r="AC40" s="14"/>
      <c r="AD40" s="14"/>
      <c r="AE40" s="14"/>
      <c r="AF40" s="5"/>
      <c r="AG40" s="5"/>
      <c r="AH40" s="5"/>
      <c r="AI40" s="5"/>
      <c r="AJ40" s="5"/>
      <c r="AK40" s="5"/>
      <c r="AL40" s="5"/>
      <c r="AM40" s="5"/>
      <c r="AN40" s="5"/>
      <c r="AO40" s="5"/>
    </row>
    <row r="41">
      <c r="A41" s="11">
        <v>44383</v>
      </c>
      <c r="B41" s="5"/>
      <c r="C41" s="5"/>
      <c r="D41" s="5"/>
      <c r="E41" s="5"/>
      <c r="F41" s="5"/>
      <c r="G41" s="5"/>
      <c r="H41" s="5"/>
      <c r="I41" s="5"/>
      <c r="J41" s="5"/>
      <c r="K41" s="5"/>
      <c r="L41" s="5"/>
      <c r="M41" s="5"/>
      <c r="N41" s="5"/>
      <c r="O41" s="5"/>
      <c r="P41" s="5"/>
      <c r="Q41" s="5"/>
      <c r="R41" s="5"/>
      <c r="S41" s="5"/>
      <c r="W41" s="11">
        <v>44383</v>
      </c>
      <c r="X41" s="5"/>
      <c r="Y41" s="5"/>
      <c r="Z41" s="5"/>
      <c r="AA41" s="5"/>
      <c r="AB41" s="5"/>
      <c r="AC41" s="5"/>
      <c r="AD41" s="5"/>
      <c r="AE41" s="5"/>
      <c r="AF41" s="5"/>
      <c r="AG41" s="5"/>
      <c r="AH41" s="5"/>
      <c r="AI41" s="5"/>
      <c r="AJ41" s="5"/>
      <c r="AK41" s="5"/>
      <c r="AL41" s="5"/>
      <c r="AM41" s="5"/>
      <c r="AN41" s="5"/>
      <c r="AO41" s="5"/>
    </row>
    <row r="42">
      <c r="A42" s="11">
        <v>44384</v>
      </c>
      <c r="B42" s="14"/>
      <c r="C42" s="14"/>
      <c r="D42" s="14"/>
      <c r="E42" s="14"/>
      <c r="F42" s="14"/>
      <c r="G42" s="14"/>
      <c r="H42" s="14"/>
      <c r="I42" s="14"/>
      <c r="J42" s="5"/>
      <c r="K42" s="5"/>
      <c r="L42" s="5"/>
      <c r="M42" s="5"/>
      <c r="N42" s="5"/>
      <c r="O42" s="5"/>
      <c r="P42" s="5"/>
      <c r="Q42" s="5"/>
      <c r="R42" s="5"/>
      <c r="S42" s="5"/>
      <c r="W42" s="11">
        <v>44384</v>
      </c>
      <c r="X42" s="14"/>
      <c r="Y42" s="14"/>
      <c r="Z42" s="14"/>
      <c r="AA42" s="14"/>
      <c r="AB42" s="14"/>
      <c r="AC42" s="14"/>
      <c r="AD42" s="14"/>
      <c r="AE42" s="14"/>
      <c r="AF42" s="5"/>
      <c r="AG42" s="5"/>
      <c r="AH42" s="5"/>
      <c r="AI42" s="5"/>
      <c r="AJ42" s="5"/>
      <c r="AK42" s="5"/>
      <c r="AL42" s="5"/>
      <c r="AM42" s="5"/>
      <c r="AN42" s="5"/>
      <c r="AO42" s="5"/>
    </row>
    <row r="43">
      <c r="A43" s="11">
        <v>44385</v>
      </c>
      <c r="B43" s="5"/>
      <c r="C43" s="5"/>
      <c r="D43" s="5"/>
      <c r="E43" s="5"/>
      <c r="F43" s="5"/>
      <c r="G43" s="5"/>
      <c r="H43" s="5"/>
      <c r="I43" s="5"/>
      <c r="J43" s="5"/>
      <c r="K43" s="5"/>
      <c r="L43" s="5"/>
      <c r="M43" s="5"/>
      <c r="N43" s="5"/>
      <c r="O43" s="5"/>
      <c r="P43" s="5"/>
      <c r="Q43" s="5"/>
      <c r="R43" s="5"/>
      <c r="S43" s="5"/>
      <c r="W43" s="11">
        <v>44385</v>
      </c>
      <c r="X43" s="5"/>
      <c r="Y43" s="5"/>
      <c r="Z43" s="5"/>
      <c r="AA43" s="5"/>
      <c r="AB43" s="5"/>
      <c r="AC43" s="5"/>
      <c r="AD43" s="5"/>
      <c r="AE43" s="5"/>
      <c r="AF43" s="5"/>
      <c r="AG43" s="5"/>
      <c r="AH43" s="5"/>
      <c r="AI43" s="5"/>
      <c r="AJ43" s="5"/>
      <c r="AK43" s="5"/>
      <c r="AL43" s="5"/>
      <c r="AM43" s="5"/>
      <c r="AN43" s="5"/>
      <c r="AO43" s="5"/>
    </row>
    <row r="44">
      <c r="A44" s="11">
        <v>44386</v>
      </c>
      <c r="B44" s="59">
        <v>30457.650000000001</v>
      </c>
      <c r="C44" s="14"/>
      <c r="D44" s="14"/>
      <c r="E44" s="14"/>
      <c r="F44" s="14"/>
      <c r="G44" s="14"/>
      <c r="H44" s="14"/>
      <c r="I44" s="14"/>
      <c r="J44" s="5"/>
      <c r="K44" s="5"/>
      <c r="L44" s="5"/>
      <c r="M44" s="5"/>
      <c r="N44" s="5"/>
      <c r="O44" s="5"/>
      <c r="P44" s="5"/>
      <c r="Q44" s="5"/>
      <c r="R44" s="5"/>
      <c r="S44" s="5"/>
      <c r="W44" s="11">
        <v>44386</v>
      </c>
      <c r="X44" s="72">
        <v>14917.08</v>
      </c>
      <c r="Y44" s="14"/>
      <c r="Z44" s="14"/>
      <c r="AA44" s="14"/>
      <c r="AB44" s="14"/>
      <c r="AC44" s="14"/>
      <c r="AD44" s="14"/>
      <c r="AE44" s="14"/>
      <c r="AF44" s="5"/>
      <c r="AG44" s="5"/>
      <c r="AH44" s="5"/>
      <c r="AI44" s="5"/>
      <c r="AJ44" s="5"/>
      <c r="AK44" s="5"/>
      <c r="AL44" s="5"/>
      <c r="AM44" s="5"/>
      <c r="AN44" s="5"/>
      <c r="AO44" s="5"/>
    </row>
    <row r="45">
      <c r="A45" s="11">
        <v>44387</v>
      </c>
      <c r="B45" s="5"/>
      <c r="C45" s="5"/>
      <c r="D45" s="5"/>
      <c r="E45" s="5"/>
      <c r="F45" s="5"/>
      <c r="G45" s="5"/>
      <c r="H45" s="5"/>
      <c r="I45" s="5"/>
      <c r="J45" s="5"/>
      <c r="K45" s="5">
        <v>1000</v>
      </c>
      <c r="L45" s="5"/>
      <c r="M45" s="5"/>
      <c r="N45" s="5"/>
      <c r="O45" s="5"/>
      <c r="P45" s="5"/>
      <c r="Q45" s="5"/>
      <c r="R45" s="5"/>
      <c r="S45" s="5"/>
      <c r="W45" s="11">
        <v>44387</v>
      </c>
      <c r="X45" s="5"/>
      <c r="Y45" s="5"/>
      <c r="Z45" s="5"/>
      <c r="AA45" s="5"/>
      <c r="AB45" s="5"/>
      <c r="AC45" s="5"/>
      <c r="AD45" s="5"/>
      <c r="AE45" s="5"/>
      <c r="AF45" s="5"/>
      <c r="AG45" s="5"/>
      <c r="AH45" s="5"/>
      <c r="AI45" s="5"/>
      <c r="AJ45" s="5"/>
      <c r="AK45" s="5"/>
      <c r="AL45" s="5"/>
      <c r="AM45" s="5"/>
      <c r="AN45" s="5"/>
      <c r="AO45" s="5"/>
    </row>
    <row r="46">
      <c r="A46" s="11">
        <v>44388</v>
      </c>
      <c r="B46" s="14"/>
      <c r="C46" s="14"/>
      <c r="D46" s="14"/>
      <c r="E46" s="14"/>
      <c r="F46" s="14"/>
      <c r="G46" s="14"/>
      <c r="H46" s="14"/>
      <c r="I46" s="14"/>
      <c r="J46" s="5"/>
      <c r="K46" s="5">
        <v>1000</v>
      </c>
      <c r="L46" s="5"/>
      <c r="M46" s="5"/>
      <c r="N46" s="5"/>
      <c r="O46" s="5"/>
      <c r="P46" s="5"/>
      <c r="Q46" s="5"/>
      <c r="R46" s="5"/>
      <c r="S46" s="5"/>
      <c r="W46" s="11">
        <v>44388</v>
      </c>
      <c r="X46" s="14"/>
      <c r="Y46" s="14"/>
      <c r="Z46" s="14"/>
      <c r="AA46" s="14"/>
      <c r="AB46" s="14"/>
      <c r="AC46" s="14"/>
      <c r="AD46" s="14"/>
      <c r="AE46" s="14"/>
      <c r="AF46" s="5"/>
      <c r="AG46" s="5"/>
      <c r="AH46" s="5"/>
      <c r="AI46" s="5"/>
      <c r="AJ46" s="5"/>
      <c r="AK46" s="5"/>
      <c r="AL46" s="5"/>
      <c r="AM46" s="5"/>
      <c r="AN46" s="5"/>
      <c r="AO46" s="5"/>
    </row>
    <row r="47">
      <c r="A47" s="11">
        <v>44389</v>
      </c>
      <c r="B47" s="5"/>
      <c r="C47" s="5"/>
      <c r="D47" s="5"/>
      <c r="E47" s="5"/>
      <c r="F47" s="5"/>
      <c r="G47" s="5"/>
      <c r="H47" s="5"/>
      <c r="I47" s="5"/>
      <c r="J47" s="5"/>
      <c r="K47" s="5"/>
      <c r="L47" s="5"/>
      <c r="M47" s="5"/>
      <c r="N47" s="5"/>
      <c r="O47" s="5"/>
      <c r="P47" s="5"/>
      <c r="Q47" s="5"/>
      <c r="R47" s="5"/>
      <c r="S47" s="5"/>
      <c r="W47" s="11">
        <v>44389</v>
      </c>
      <c r="X47" s="5"/>
      <c r="Y47" s="5"/>
      <c r="Z47" s="5"/>
      <c r="AA47" s="5"/>
      <c r="AB47" s="5"/>
      <c r="AC47" s="5"/>
      <c r="AD47" s="5"/>
      <c r="AE47" s="5"/>
      <c r="AF47" s="5"/>
      <c r="AG47" s="5"/>
      <c r="AH47" s="5"/>
      <c r="AI47" s="5"/>
      <c r="AJ47" s="5"/>
      <c r="AK47" s="5"/>
      <c r="AL47" s="5"/>
      <c r="AM47" s="5"/>
      <c r="AN47" s="5"/>
      <c r="AO47" s="5"/>
    </row>
    <row r="48">
      <c r="A48" s="11">
        <v>44390</v>
      </c>
      <c r="B48" s="14"/>
      <c r="C48" s="14"/>
      <c r="D48" s="14"/>
      <c r="E48" s="14"/>
      <c r="F48" s="14"/>
      <c r="G48" s="14"/>
      <c r="H48" s="14"/>
      <c r="I48" s="14"/>
      <c r="J48" s="5"/>
      <c r="K48" s="5"/>
      <c r="L48" s="5"/>
      <c r="M48" s="5"/>
      <c r="N48" s="5"/>
      <c r="O48" s="5"/>
      <c r="P48" s="5"/>
      <c r="Q48" s="5"/>
      <c r="R48" s="5"/>
      <c r="S48" s="5"/>
      <c r="W48" s="11">
        <v>44390</v>
      </c>
      <c r="X48" s="14"/>
      <c r="Y48" s="14"/>
      <c r="Z48" s="14"/>
      <c r="AA48" s="14"/>
      <c r="AB48" s="14"/>
      <c r="AC48" s="14"/>
      <c r="AD48" s="14"/>
      <c r="AE48" s="14"/>
      <c r="AF48" s="5"/>
      <c r="AG48" s="5"/>
      <c r="AH48" s="5"/>
      <c r="AI48" s="5"/>
      <c r="AJ48" s="5"/>
      <c r="AK48" s="5"/>
      <c r="AL48" s="5"/>
      <c r="AM48" s="5"/>
      <c r="AN48" s="5"/>
      <c r="AO48" s="5"/>
    </row>
    <row r="49">
      <c r="A49" s="11">
        <v>44391</v>
      </c>
      <c r="B49" s="5"/>
      <c r="C49" s="5"/>
      <c r="D49" s="5"/>
      <c r="E49" s="5"/>
      <c r="F49" s="5"/>
      <c r="G49" s="5"/>
      <c r="H49" s="5"/>
      <c r="I49" s="5"/>
      <c r="J49" s="5"/>
      <c r="K49" s="5"/>
      <c r="L49" s="5"/>
      <c r="M49" s="5"/>
      <c r="N49" s="5"/>
      <c r="O49" s="5"/>
      <c r="P49" s="5"/>
      <c r="Q49" s="5"/>
      <c r="R49" s="5"/>
      <c r="S49" s="5"/>
      <c r="W49" s="11">
        <v>44391</v>
      </c>
      <c r="X49" s="5"/>
      <c r="Y49" s="5"/>
      <c r="Z49" s="5"/>
      <c r="AA49" s="5"/>
      <c r="AB49" s="5"/>
      <c r="AC49" s="5"/>
      <c r="AD49" s="5"/>
      <c r="AE49" s="5"/>
      <c r="AF49" s="5"/>
      <c r="AG49" s="5"/>
      <c r="AH49" s="5"/>
      <c r="AI49" s="5"/>
      <c r="AJ49" s="5"/>
      <c r="AK49" s="5"/>
      <c r="AL49" s="5"/>
      <c r="AM49" s="5"/>
      <c r="AN49" s="5"/>
      <c r="AO49" s="5"/>
    </row>
    <row r="50">
      <c r="A50" s="11">
        <v>44392</v>
      </c>
      <c r="B50" s="14">
        <v>16890.080000000002</v>
      </c>
      <c r="C50" s="14"/>
      <c r="D50" s="14"/>
      <c r="E50" s="14"/>
      <c r="F50" s="14"/>
      <c r="G50" s="14"/>
      <c r="H50" s="14"/>
      <c r="I50" s="14"/>
      <c r="J50" s="5"/>
      <c r="K50" s="5"/>
      <c r="L50" s="5"/>
      <c r="M50" s="5"/>
      <c r="N50" s="5"/>
      <c r="O50" s="5"/>
      <c r="P50" s="5"/>
      <c r="Q50" s="5"/>
      <c r="R50" s="5"/>
      <c r="S50" s="5"/>
      <c r="W50" s="11">
        <v>44392</v>
      </c>
      <c r="X50" s="14"/>
      <c r="Y50" s="14"/>
      <c r="Z50" s="14"/>
      <c r="AA50" s="14"/>
      <c r="AB50" s="14"/>
      <c r="AC50" s="14"/>
      <c r="AD50" s="14"/>
      <c r="AE50" s="14"/>
      <c r="AF50" s="5"/>
      <c r="AG50" s="5"/>
      <c r="AH50" s="5"/>
      <c r="AI50" s="5"/>
      <c r="AJ50" s="5"/>
      <c r="AK50" s="5"/>
      <c r="AL50" s="5"/>
      <c r="AM50" s="5"/>
      <c r="AN50" s="5"/>
      <c r="AO50" s="5"/>
    </row>
    <row r="51">
      <c r="A51" s="11">
        <v>44393</v>
      </c>
      <c r="B51" s="5"/>
      <c r="C51" s="5"/>
      <c r="D51" s="5"/>
      <c r="E51" s="5"/>
      <c r="F51" s="5"/>
      <c r="G51" s="5"/>
      <c r="H51" s="5"/>
      <c r="I51" s="5"/>
      <c r="J51" s="5"/>
      <c r="K51" s="5"/>
      <c r="L51" s="5"/>
      <c r="M51" s="5"/>
      <c r="N51" s="5"/>
      <c r="O51" s="5"/>
      <c r="P51" s="5"/>
      <c r="Q51" s="5"/>
      <c r="R51" s="5"/>
      <c r="S51" s="5"/>
      <c r="W51" s="11">
        <v>44393</v>
      </c>
      <c r="X51" s="5"/>
      <c r="Y51" s="5"/>
      <c r="Z51" s="5"/>
      <c r="AA51" s="5"/>
      <c r="AB51" s="5"/>
      <c r="AC51" s="5"/>
      <c r="AD51" s="5"/>
      <c r="AE51" s="5"/>
      <c r="AF51" s="5"/>
      <c r="AG51" s="5"/>
      <c r="AH51" s="5"/>
      <c r="AI51" s="5"/>
      <c r="AJ51" s="5"/>
      <c r="AK51" s="5"/>
      <c r="AL51" s="5"/>
      <c r="AM51" s="5"/>
      <c r="AN51" s="5"/>
      <c r="AO51" s="5"/>
    </row>
    <row r="52">
      <c r="A52" s="11">
        <v>44394</v>
      </c>
      <c r="B52" s="14"/>
      <c r="C52" s="14"/>
      <c r="D52" s="14"/>
      <c r="E52" s="14"/>
      <c r="F52" s="14"/>
      <c r="G52" s="14"/>
      <c r="H52" s="14"/>
      <c r="I52" s="14"/>
      <c r="J52" s="5"/>
      <c r="K52" s="5"/>
      <c r="L52" s="5"/>
      <c r="M52" s="5"/>
      <c r="N52" s="5"/>
      <c r="O52" s="5"/>
      <c r="P52" s="5"/>
      <c r="Q52" s="5"/>
      <c r="R52" s="5"/>
      <c r="S52" s="5"/>
      <c r="W52" s="11">
        <v>44394</v>
      </c>
      <c r="X52" s="14"/>
      <c r="Y52" s="14"/>
      <c r="Z52" s="14"/>
      <c r="AA52" s="14"/>
      <c r="AB52" s="14"/>
      <c r="AC52" s="14"/>
      <c r="AD52" s="14"/>
      <c r="AE52" s="14"/>
      <c r="AF52" s="5"/>
      <c r="AG52" s="5"/>
      <c r="AH52" s="5"/>
      <c r="AI52" s="5"/>
      <c r="AJ52" s="5"/>
      <c r="AK52" s="5"/>
      <c r="AL52" s="5"/>
      <c r="AM52" s="5"/>
      <c r="AN52" s="5"/>
      <c r="AO52" s="5"/>
    </row>
    <row r="53">
      <c r="A53" s="11">
        <v>44395</v>
      </c>
      <c r="B53" s="5"/>
      <c r="C53" s="5"/>
      <c r="D53" s="5"/>
      <c r="E53" s="5"/>
      <c r="F53" s="5"/>
      <c r="G53" s="5"/>
      <c r="H53" s="5"/>
      <c r="I53" s="5"/>
      <c r="J53" s="5"/>
      <c r="K53" s="5"/>
      <c r="L53" s="5"/>
      <c r="M53" s="5"/>
      <c r="N53" s="5"/>
      <c r="O53" s="5"/>
      <c r="P53" s="5"/>
      <c r="Q53" s="5"/>
      <c r="R53" s="5"/>
      <c r="S53" s="5"/>
      <c r="W53" s="11">
        <v>44395</v>
      </c>
      <c r="X53" s="5"/>
      <c r="Y53" s="5"/>
      <c r="Z53" s="5"/>
      <c r="AA53" s="5"/>
      <c r="AB53" s="5"/>
      <c r="AC53" s="5"/>
      <c r="AD53" s="5"/>
      <c r="AE53" s="5"/>
      <c r="AF53" s="5"/>
      <c r="AG53" s="5"/>
      <c r="AH53" s="5"/>
      <c r="AI53" s="5"/>
      <c r="AJ53" s="5"/>
      <c r="AK53" s="5"/>
      <c r="AL53" s="5"/>
      <c r="AM53" s="5"/>
      <c r="AN53" s="5"/>
      <c r="AO53" s="5"/>
    </row>
    <row r="54">
      <c r="A54" s="11">
        <v>44396</v>
      </c>
      <c r="B54" s="14"/>
      <c r="C54" s="14"/>
      <c r="D54" s="14"/>
      <c r="E54" s="14"/>
      <c r="F54" s="14"/>
      <c r="G54" s="14"/>
      <c r="H54" s="14"/>
      <c r="I54" s="14"/>
      <c r="J54" s="5"/>
      <c r="K54" s="5"/>
      <c r="L54" s="5"/>
      <c r="M54" s="5"/>
      <c r="N54" s="5"/>
      <c r="O54" s="5"/>
      <c r="P54" s="5"/>
      <c r="Q54" s="5"/>
      <c r="R54" s="5"/>
      <c r="S54" s="5"/>
      <c r="W54" s="11">
        <v>44396</v>
      </c>
      <c r="X54" s="14"/>
      <c r="Y54" s="14"/>
      <c r="Z54" s="14"/>
      <c r="AA54" s="14"/>
      <c r="AB54" s="14"/>
      <c r="AC54" s="14"/>
      <c r="AD54" s="14"/>
      <c r="AE54" s="14"/>
      <c r="AF54" s="5"/>
      <c r="AG54" s="5"/>
      <c r="AH54" s="5"/>
      <c r="AI54" s="5"/>
      <c r="AJ54" s="5"/>
      <c r="AK54" s="5"/>
      <c r="AL54" s="5"/>
      <c r="AM54" s="5"/>
      <c r="AN54" s="5"/>
      <c r="AO54" s="5"/>
    </row>
    <row r="55">
      <c r="A55" s="11">
        <v>44397</v>
      </c>
      <c r="B55" s="5"/>
      <c r="C55" s="5"/>
      <c r="D55" s="5"/>
      <c r="E55" s="5"/>
      <c r="F55" s="5"/>
      <c r="G55" s="5"/>
      <c r="H55" s="5"/>
      <c r="I55" s="5"/>
      <c r="J55" s="5"/>
      <c r="K55" s="5"/>
      <c r="L55" s="5"/>
      <c r="M55" s="5"/>
      <c r="N55" s="5"/>
      <c r="O55" s="5"/>
      <c r="P55" s="5"/>
      <c r="Q55" s="5"/>
      <c r="R55" s="5"/>
      <c r="S55" s="5"/>
      <c r="W55" s="11">
        <v>44397</v>
      </c>
      <c r="X55" s="5"/>
      <c r="Y55" s="5"/>
      <c r="Z55" s="5"/>
      <c r="AA55" s="5"/>
      <c r="AB55" s="5"/>
      <c r="AC55" s="5"/>
      <c r="AD55" s="5"/>
      <c r="AE55" s="5"/>
      <c r="AF55" s="5"/>
      <c r="AG55" s="5"/>
      <c r="AH55" s="5"/>
      <c r="AI55" s="5"/>
      <c r="AJ55" s="5"/>
      <c r="AK55" s="5"/>
      <c r="AL55" s="5"/>
      <c r="AM55" s="5"/>
      <c r="AN55" s="5"/>
      <c r="AO55" s="5"/>
    </row>
    <row r="56">
      <c r="A56" s="11">
        <v>44398</v>
      </c>
      <c r="B56" s="14"/>
      <c r="C56" s="14"/>
      <c r="D56" s="14"/>
      <c r="E56" s="14"/>
      <c r="F56" s="14"/>
      <c r="G56" s="14"/>
      <c r="H56" s="14"/>
      <c r="I56" s="14"/>
      <c r="J56" s="5"/>
      <c r="K56" s="5"/>
      <c r="L56" s="5"/>
      <c r="M56" s="5"/>
      <c r="N56" s="5"/>
      <c r="O56" s="5"/>
      <c r="P56" s="5"/>
      <c r="Q56" s="5"/>
      <c r="R56" s="5"/>
      <c r="S56" s="5"/>
      <c r="W56" s="11">
        <v>44398</v>
      </c>
      <c r="X56" s="14"/>
      <c r="Y56" s="14"/>
      <c r="Z56" s="14"/>
      <c r="AA56" s="14"/>
      <c r="AB56" s="14"/>
      <c r="AC56" s="14"/>
      <c r="AD56" s="14"/>
      <c r="AE56" s="14"/>
      <c r="AF56" s="5"/>
      <c r="AG56" s="5"/>
      <c r="AH56" s="5"/>
      <c r="AI56" s="5"/>
      <c r="AJ56" s="5"/>
      <c r="AK56" s="5"/>
      <c r="AL56" s="5"/>
      <c r="AM56" s="5"/>
      <c r="AN56" s="5"/>
      <c r="AO56" s="5"/>
    </row>
    <row r="57">
      <c r="A57" s="11">
        <v>44399</v>
      </c>
      <c r="B57" s="5"/>
      <c r="C57" s="5"/>
      <c r="D57" s="5"/>
      <c r="E57" s="5"/>
      <c r="F57" s="5"/>
      <c r="G57" s="5"/>
      <c r="H57" s="5"/>
      <c r="I57" s="5">
        <v>39</v>
      </c>
      <c r="J57" s="5"/>
      <c r="K57" s="5"/>
      <c r="L57" s="5"/>
      <c r="M57" s="5"/>
      <c r="N57" s="5"/>
      <c r="O57" s="5"/>
      <c r="P57" s="5"/>
      <c r="Q57" s="5"/>
      <c r="R57" s="5"/>
      <c r="S57" s="5"/>
      <c r="W57" s="11">
        <v>44399</v>
      </c>
      <c r="X57" s="5"/>
      <c r="Y57" s="5"/>
      <c r="Z57" s="5"/>
      <c r="AA57" s="5"/>
      <c r="AB57" s="5"/>
      <c r="AC57" s="5"/>
      <c r="AD57" s="5"/>
      <c r="AE57" s="5"/>
      <c r="AF57" s="5"/>
      <c r="AG57" s="5"/>
      <c r="AH57" s="5"/>
      <c r="AI57" s="5"/>
      <c r="AJ57" s="5"/>
      <c r="AK57" s="5"/>
      <c r="AL57" s="5"/>
      <c r="AM57" s="5"/>
      <c r="AN57" s="5"/>
      <c r="AO57" s="5"/>
    </row>
    <row r="58">
      <c r="A58" s="11">
        <v>44400</v>
      </c>
      <c r="B58" s="14">
        <f>13741.7+5594</f>
        <v>19335.700000000001</v>
      </c>
      <c r="C58" s="14"/>
      <c r="D58" s="14"/>
      <c r="E58" s="14"/>
      <c r="F58" s="14"/>
      <c r="G58" s="14"/>
      <c r="H58" s="14"/>
      <c r="I58" s="14">
        <v>26</v>
      </c>
      <c r="J58" s="5"/>
      <c r="K58" s="5"/>
      <c r="L58" s="5"/>
      <c r="M58" s="5"/>
      <c r="N58" s="5"/>
      <c r="O58" s="5"/>
      <c r="P58" s="5"/>
      <c r="Q58" s="5"/>
      <c r="R58" s="5"/>
      <c r="S58" s="5"/>
      <c r="W58" s="11">
        <v>44400</v>
      </c>
      <c r="X58" s="14">
        <v>7883.8400000000001</v>
      </c>
      <c r="Y58" s="14"/>
      <c r="Z58" s="14"/>
      <c r="AA58" s="14"/>
      <c r="AB58" s="14"/>
      <c r="AC58" s="14"/>
      <c r="AD58" s="14"/>
      <c r="AE58" s="14"/>
      <c r="AF58" s="5"/>
      <c r="AG58" s="5"/>
      <c r="AH58" s="5"/>
      <c r="AI58" s="5"/>
      <c r="AJ58" s="5"/>
      <c r="AK58" s="5"/>
      <c r="AL58" s="5"/>
      <c r="AM58" s="5"/>
      <c r="AN58" s="5"/>
      <c r="AO58" s="5"/>
    </row>
    <row r="59">
      <c r="A59" s="11">
        <v>44401</v>
      </c>
      <c r="B59" s="5"/>
      <c r="C59" s="5"/>
      <c r="D59" s="5"/>
      <c r="E59" s="5"/>
      <c r="F59" s="5"/>
      <c r="G59" s="5"/>
      <c r="H59" s="5"/>
      <c r="I59" s="5"/>
      <c r="J59" s="5"/>
      <c r="K59" s="5"/>
      <c r="L59" s="5"/>
      <c r="M59" s="5"/>
      <c r="N59" s="5"/>
      <c r="O59" s="5"/>
      <c r="P59" s="5"/>
      <c r="Q59" s="5"/>
      <c r="R59" s="5"/>
      <c r="S59" s="5"/>
      <c r="W59" s="11">
        <v>44401</v>
      </c>
      <c r="X59" s="5"/>
      <c r="Y59" s="5"/>
      <c r="Z59" s="5"/>
      <c r="AA59" s="5"/>
      <c r="AB59" s="5"/>
      <c r="AC59" s="5"/>
      <c r="AD59" s="5"/>
      <c r="AE59" s="5"/>
      <c r="AF59" s="5"/>
      <c r="AG59" s="5"/>
      <c r="AH59" s="5"/>
      <c r="AI59" s="5"/>
      <c r="AJ59" s="5"/>
      <c r="AK59" s="5"/>
      <c r="AL59" s="5"/>
      <c r="AM59" s="5"/>
      <c r="AN59" s="5"/>
      <c r="AO59" s="5"/>
    </row>
    <row r="60">
      <c r="A60" s="11">
        <v>44402</v>
      </c>
      <c r="B60" s="14"/>
      <c r="C60" s="14"/>
      <c r="D60" s="14"/>
      <c r="E60" s="14"/>
      <c r="F60" s="14"/>
      <c r="G60" s="14"/>
      <c r="H60" s="14"/>
      <c r="I60" s="14"/>
      <c r="J60" s="5"/>
      <c r="K60" s="5"/>
      <c r="L60" s="5"/>
      <c r="M60" s="5"/>
      <c r="N60" s="5"/>
      <c r="O60" s="5"/>
      <c r="P60" s="5"/>
      <c r="Q60" s="5"/>
      <c r="R60" s="5"/>
      <c r="S60" s="5"/>
      <c r="W60" s="11">
        <v>44402</v>
      </c>
      <c r="X60" s="14"/>
      <c r="Y60" s="14"/>
      <c r="Z60" s="14"/>
      <c r="AA60" s="14"/>
      <c r="AB60" s="14"/>
      <c r="AC60" s="14"/>
      <c r="AD60" s="14"/>
      <c r="AE60" s="14"/>
      <c r="AF60" s="5"/>
      <c r="AG60" s="5"/>
      <c r="AH60" s="5"/>
      <c r="AI60" s="5"/>
      <c r="AJ60" s="5"/>
      <c r="AK60" s="5"/>
      <c r="AL60" s="5"/>
      <c r="AM60" s="5"/>
      <c r="AN60" s="5"/>
      <c r="AO60" s="5"/>
    </row>
    <row r="61">
      <c r="A61" s="11">
        <v>44403</v>
      </c>
      <c r="B61" s="5"/>
      <c r="C61" s="5"/>
      <c r="D61" s="5"/>
      <c r="E61" s="5"/>
      <c r="F61" s="5"/>
      <c r="G61" s="5"/>
      <c r="H61" s="5"/>
      <c r="I61" s="5"/>
      <c r="J61" s="5"/>
      <c r="K61" s="5"/>
      <c r="L61" s="5"/>
      <c r="M61" s="5"/>
      <c r="N61" s="5"/>
      <c r="O61" s="5"/>
      <c r="P61" s="5"/>
      <c r="Q61" s="5"/>
      <c r="R61" s="5"/>
      <c r="S61" s="5"/>
      <c r="W61" s="11">
        <v>44403</v>
      </c>
      <c r="X61" s="5"/>
      <c r="Y61" s="5"/>
      <c r="Z61" s="5"/>
      <c r="AA61" s="5"/>
      <c r="AB61" s="5"/>
      <c r="AC61" s="5"/>
      <c r="AD61" s="5"/>
      <c r="AE61" s="5"/>
      <c r="AF61" s="5"/>
      <c r="AG61" s="5"/>
      <c r="AH61" s="5"/>
      <c r="AI61" s="5"/>
      <c r="AJ61" s="5"/>
      <c r="AK61" s="5"/>
      <c r="AL61" s="5"/>
      <c r="AM61" s="5"/>
      <c r="AN61" s="5"/>
      <c r="AO61" s="5"/>
    </row>
    <row r="62">
      <c r="A62" s="11">
        <v>44404</v>
      </c>
      <c r="B62" s="14"/>
      <c r="C62" s="14"/>
      <c r="D62" s="14"/>
      <c r="E62" s="14"/>
      <c r="F62" s="14"/>
      <c r="G62" s="14"/>
      <c r="H62" s="14"/>
      <c r="I62" s="14"/>
      <c r="J62" s="5"/>
      <c r="K62" s="5"/>
      <c r="L62" s="5"/>
      <c r="M62" s="5"/>
      <c r="N62" s="5"/>
      <c r="O62" s="5"/>
      <c r="P62" s="5"/>
      <c r="Q62" s="5"/>
      <c r="R62" s="5"/>
      <c r="S62" s="5"/>
      <c r="W62" s="11">
        <v>44404</v>
      </c>
      <c r="X62" s="14"/>
      <c r="Y62" s="14"/>
      <c r="Z62" s="14"/>
      <c r="AA62" s="14"/>
      <c r="AB62" s="14"/>
      <c r="AC62" s="14"/>
      <c r="AD62" s="14"/>
      <c r="AE62" s="14"/>
      <c r="AF62" s="5"/>
      <c r="AG62" s="5"/>
      <c r="AH62" s="5"/>
      <c r="AI62" s="5"/>
      <c r="AJ62" s="5"/>
      <c r="AK62" s="5"/>
      <c r="AL62" s="5"/>
      <c r="AM62" s="5"/>
      <c r="AN62" s="5"/>
      <c r="AO62" s="5"/>
    </row>
    <row r="63">
      <c r="A63" s="11">
        <v>44405</v>
      </c>
      <c r="B63" s="5"/>
      <c r="C63" s="5"/>
      <c r="D63" s="5"/>
      <c r="E63" s="5"/>
      <c r="F63" s="5"/>
      <c r="G63" s="5"/>
      <c r="H63" s="5"/>
      <c r="I63" s="5"/>
      <c r="J63" s="5"/>
      <c r="K63" s="5"/>
      <c r="L63" s="5"/>
      <c r="M63" s="5"/>
      <c r="N63" s="5"/>
      <c r="O63" s="5"/>
      <c r="P63" s="5"/>
      <c r="Q63" s="5"/>
      <c r="R63" s="48"/>
      <c r="S63" s="5"/>
      <c r="W63" s="11">
        <v>44405</v>
      </c>
      <c r="X63" s="5"/>
      <c r="Y63" s="5"/>
      <c r="Z63" s="5"/>
      <c r="AA63" s="5"/>
      <c r="AB63" s="5"/>
      <c r="AC63" s="5"/>
      <c r="AD63" s="5"/>
      <c r="AE63" s="5"/>
      <c r="AF63" s="5"/>
      <c r="AG63" s="5"/>
      <c r="AH63" s="5"/>
      <c r="AI63" s="5"/>
      <c r="AJ63" s="5"/>
      <c r="AK63" s="5"/>
      <c r="AL63" s="5"/>
      <c r="AM63" s="5"/>
      <c r="AN63" s="48"/>
      <c r="AO63" s="5"/>
    </row>
    <row r="64">
      <c r="A64" s="11">
        <v>44406</v>
      </c>
      <c r="B64" s="22"/>
      <c r="C64" s="22"/>
      <c r="D64" s="22"/>
      <c r="E64" s="22"/>
      <c r="F64" s="22"/>
      <c r="G64" s="22"/>
      <c r="H64" s="22"/>
      <c r="I64" s="22"/>
      <c r="J64" s="5"/>
      <c r="K64" s="5"/>
      <c r="L64" s="5"/>
      <c r="M64" s="5"/>
      <c r="N64" s="5"/>
      <c r="O64" s="5"/>
      <c r="P64" s="5"/>
      <c r="Q64" s="5"/>
      <c r="R64" s="48"/>
      <c r="S64" s="5"/>
      <c r="W64" s="11">
        <v>44406</v>
      </c>
      <c r="X64" s="22"/>
      <c r="Y64" s="22"/>
      <c r="Z64" s="22"/>
      <c r="AA64" s="22"/>
      <c r="AB64" s="22"/>
      <c r="AC64" s="22"/>
      <c r="AD64" s="22"/>
      <c r="AE64" s="22"/>
      <c r="AF64" s="5"/>
      <c r="AG64" s="5"/>
      <c r="AH64" s="5"/>
      <c r="AI64" s="5"/>
      <c r="AJ64" s="5"/>
      <c r="AK64" s="5"/>
      <c r="AL64" s="5"/>
      <c r="AM64" s="5"/>
      <c r="AN64" s="48"/>
      <c r="AO64" s="5"/>
    </row>
    <row r="65">
      <c r="A65" s="11">
        <v>44407</v>
      </c>
      <c r="B65" s="5"/>
      <c r="C65" s="5"/>
      <c r="D65" s="5"/>
      <c r="E65" s="5"/>
      <c r="F65" s="5"/>
      <c r="G65" s="5"/>
      <c r="H65" s="5"/>
      <c r="I65" s="5"/>
      <c r="J65" s="5"/>
      <c r="K65" s="5"/>
      <c r="L65" s="5"/>
      <c r="M65" s="5"/>
      <c r="N65" s="5"/>
      <c r="O65" s="5"/>
      <c r="P65" s="5"/>
      <c r="Q65" s="5"/>
      <c r="R65" s="48"/>
      <c r="S65" s="5"/>
      <c r="W65" s="11">
        <v>44407</v>
      </c>
      <c r="X65" s="5"/>
      <c r="Y65" s="5"/>
      <c r="Z65" s="5"/>
      <c r="AA65" s="5"/>
      <c r="AB65" s="5"/>
      <c r="AC65" s="5"/>
      <c r="AD65" s="5"/>
      <c r="AE65" s="5"/>
      <c r="AF65" s="5"/>
      <c r="AG65" s="5"/>
      <c r="AH65" s="5"/>
      <c r="AI65" s="5"/>
      <c r="AJ65" s="5"/>
      <c r="AK65" s="5"/>
      <c r="AL65" s="5"/>
      <c r="AM65" s="5"/>
      <c r="AN65" s="48"/>
      <c r="AO65" s="5"/>
    </row>
    <row r="66">
      <c r="A66" s="11">
        <v>44408</v>
      </c>
      <c r="B66" s="22"/>
      <c r="C66" s="22"/>
      <c r="D66" s="22"/>
      <c r="E66" s="22">
        <v>305.41000000000003</v>
      </c>
      <c r="F66" s="22"/>
      <c r="G66" s="22"/>
      <c r="H66" s="22"/>
      <c r="I66" s="22"/>
      <c r="J66" s="5"/>
      <c r="K66" s="5"/>
      <c r="L66" s="5"/>
      <c r="M66" s="5"/>
      <c r="N66" s="5"/>
      <c r="O66" s="5"/>
      <c r="P66" s="5"/>
      <c r="Q66" s="5"/>
      <c r="R66" s="48"/>
      <c r="S66" s="5"/>
      <c r="W66" s="11">
        <v>44408</v>
      </c>
      <c r="X66" s="22"/>
      <c r="Y66" s="22"/>
      <c r="Z66" s="22"/>
      <c r="AA66" s="22"/>
      <c r="AB66" s="22"/>
      <c r="AC66" s="22"/>
      <c r="AD66" s="22"/>
      <c r="AE66" s="22"/>
      <c r="AF66" s="5"/>
      <c r="AG66" s="5"/>
      <c r="AH66" s="5"/>
      <c r="AI66" s="5"/>
      <c r="AJ66" s="5"/>
      <c r="AK66" s="5"/>
      <c r="AL66" s="5"/>
      <c r="AM66" s="5"/>
      <c r="AN66" s="48"/>
      <c r="AO66" s="5"/>
    </row>
    <row r="67">
      <c r="A67" s="7"/>
      <c r="B67" s="7">
        <f t="shared" ref="B67:E67" si="71">SUM(B36:B66)</f>
        <v>66683.430000000008</v>
      </c>
      <c r="C67" s="7">
        <f>SUM(C36:C66)</f>
        <v>0</v>
      </c>
      <c r="D67" s="7">
        <f t="shared" si="71"/>
        <v>0</v>
      </c>
      <c r="E67" s="7">
        <f t="shared" si="71"/>
        <v>1023.75</v>
      </c>
      <c r="F67" s="7">
        <f>SUM(F36:F66)</f>
        <v>0</v>
      </c>
      <c r="G67" s="7">
        <f t="shared" ref="G67:R67" si="72">SUM(G36:G66)</f>
        <v>0</v>
      </c>
      <c r="H67" s="7">
        <f t="shared" si="72"/>
        <v>0</v>
      </c>
      <c r="I67" s="7">
        <f t="shared" si="72"/>
        <v>1350</v>
      </c>
      <c r="J67" s="7">
        <f>SUM(J36:J66)</f>
        <v>0</v>
      </c>
      <c r="K67" s="7">
        <f t="shared" si="72"/>
        <v>5000</v>
      </c>
      <c r="L67" s="7">
        <f t="shared" si="72"/>
        <v>0</v>
      </c>
      <c r="M67" s="7">
        <f t="shared" si="72"/>
        <v>0</v>
      </c>
      <c r="N67" s="7">
        <f t="shared" si="72"/>
        <v>0</v>
      </c>
      <c r="O67" s="7">
        <f t="shared" si="72"/>
        <v>0</v>
      </c>
      <c r="P67" s="7">
        <f t="shared" si="72"/>
        <v>0</v>
      </c>
      <c r="Q67" s="7">
        <f t="shared" si="72"/>
        <v>0</v>
      </c>
      <c r="R67" s="7">
        <f t="shared" si="72"/>
        <v>0</v>
      </c>
      <c r="S67" s="7">
        <f>SUM(B67:R67)</f>
        <v>74057.180000000008</v>
      </c>
      <c r="W67" s="7"/>
      <c r="X67" s="7">
        <f t="shared" ref="X67:AN67" si="73">SUM(X36:X66)</f>
        <v>22800.919999999998</v>
      </c>
      <c r="Y67" s="7">
        <f t="shared" si="73"/>
        <v>0</v>
      </c>
      <c r="Z67" s="7">
        <f t="shared" si="73"/>
        <v>0</v>
      </c>
      <c r="AA67" s="7">
        <f t="shared" si="73"/>
        <v>0</v>
      </c>
      <c r="AB67" s="7">
        <f t="shared" si="73"/>
        <v>0</v>
      </c>
      <c r="AC67" s="7">
        <f t="shared" si="73"/>
        <v>0</v>
      </c>
      <c r="AD67" s="7">
        <f t="shared" si="73"/>
        <v>0</v>
      </c>
      <c r="AE67" s="7">
        <f t="shared" si="73"/>
        <v>0</v>
      </c>
      <c r="AF67" s="7">
        <f t="shared" si="73"/>
        <v>0</v>
      </c>
      <c r="AG67" s="7">
        <f t="shared" si="73"/>
        <v>0</v>
      </c>
      <c r="AH67" s="7">
        <f t="shared" si="73"/>
        <v>0</v>
      </c>
      <c r="AI67" s="7">
        <f t="shared" si="73"/>
        <v>0</v>
      </c>
      <c r="AJ67" s="7">
        <f t="shared" si="73"/>
        <v>0</v>
      </c>
      <c r="AK67" s="7">
        <f t="shared" si="73"/>
        <v>0</v>
      </c>
      <c r="AL67" s="7">
        <f t="shared" si="73"/>
        <v>0</v>
      </c>
      <c r="AM67" s="7">
        <f t="shared" si="73"/>
        <v>0</v>
      </c>
      <c r="AN67" s="7">
        <f t="shared" si="73"/>
        <v>0</v>
      </c>
      <c r="AO67" s="7">
        <f>SUM(X67:AN67)</f>
        <v>22800.919999999998</v>
      </c>
    </row>
    <row r="68">
      <c r="A68" s="52"/>
      <c r="B68" s="52"/>
      <c r="C68" s="52"/>
      <c r="D68" s="52"/>
      <c r="E68" s="52"/>
      <c r="F68" s="52"/>
      <c r="G68" s="52"/>
      <c r="H68" s="52"/>
      <c r="I68" s="52"/>
      <c r="J68" s="52"/>
      <c r="K68" s="52"/>
      <c r="L68" s="52"/>
      <c r="M68" s="52"/>
      <c r="N68" s="52"/>
      <c r="O68" s="52"/>
      <c r="P68" s="52"/>
      <c r="Q68" s="52"/>
      <c r="R68" s="52"/>
      <c r="S68" s="52"/>
      <c r="W68" s="73"/>
      <c r="X68" s="73"/>
      <c r="Y68" s="73"/>
      <c r="Z68" s="73"/>
      <c r="AA68" s="73"/>
      <c r="AB68" s="73"/>
      <c r="AC68" s="73"/>
      <c r="AD68" s="73"/>
      <c r="AE68" s="73"/>
      <c r="AF68" s="73"/>
      <c r="AG68" s="73"/>
      <c r="AH68" s="73"/>
      <c r="AI68" s="73"/>
      <c r="AJ68" s="73"/>
      <c r="AK68" s="73"/>
      <c r="AL68" s="73"/>
      <c r="AM68" s="73"/>
      <c r="AN68" s="73"/>
      <c r="AO68" s="73"/>
    </row>
    <row r="69">
      <c r="A69" t="s">
        <v>67</v>
      </c>
    </row>
    <row r="70">
      <c r="A70" t="s">
        <v>68</v>
      </c>
      <c r="B70" s="50">
        <f>21000-344+2039+(23000-23000)-344-344+8164.1-4600-3300+(3000-3000)+80000+2000+(5500-5000)+(5650-5100)+1000</f>
        <v>106321.10000000001</v>
      </c>
    </row>
    <row r="71">
      <c r="A71" t="s">
        <v>69</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M37" zoomScale="100" workbookViewId="0">
      <selection activeCell="F59" activeCellId="0" sqref="F59"/>
    </sheetView>
  </sheetViews>
  <sheetFormatPr defaultRowHeight="14.25"/>
  <cols>
    <col bestFit="1" customWidth="1" min="1" max="1" width="13.5703125"/>
    <col customWidth="1" min="23" max="23" width="11.28515625"/>
  </cols>
  <sheetData>
    <row r="1">
      <c r="A1" s="10" t="s">
        <v>0</v>
      </c>
      <c r="B1" s="51" t="s">
        <v>70</v>
      </c>
      <c r="C1" s="51" t="s">
        <v>71</v>
      </c>
      <c r="D1" s="51" t="s">
        <v>72</v>
      </c>
      <c r="E1" s="51" t="s">
        <v>3</v>
      </c>
      <c r="F1" s="51" t="s">
        <v>4</v>
      </c>
      <c r="G1" s="51" t="s">
        <v>5</v>
      </c>
      <c r="H1" s="51" t="s">
        <v>6</v>
      </c>
      <c r="I1" s="51" t="s">
        <v>7</v>
      </c>
      <c r="J1" s="51" t="s">
        <v>8</v>
      </c>
      <c r="K1" s="51" t="s">
        <v>9</v>
      </c>
      <c r="L1" s="51" t="s">
        <v>10</v>
      </c>
      <c r="M1" s="51" t="s">
        <v>11</v>
      </c>
      <c r="N1" s="51" t="s">
        <v>12</v>
      </c>
      <c r="O1" s="51" t="s">
        <v>13</v>
      </c>
      <c r="P1" s="51" t="s">
        <v>19</v>
      </c>
      <c r="Q1" s="51" t="s">
        <v>20</v>
      </c>
      <c r="R1" s="51" t="s">
        <v>73</v>
      </c>
      <c r="S1" s="51" t="s">
        <v>62</v>
      </c>
      <c r="W1" s="10" t="s">
        <v>0</v>
      </c>
      <c r="X1" s="51" t="s">
        <v>70</v>
      </c>
      <c r="Y1" s="51" t="s">
        <v>71</v>
      </c>
      <c r="Z1" s="51" t="s">
        <v>72</v>
      </c>
      <c r="AA1" s="51" t="s">
        <v>3</v>
      </c>
      <c r="AB1" s="51" t="s">
        <v>4</v>
      </c>
      <c r="AC1" s="51" t="s">
        <v>5</v>
      </c>
      <c r="AD1" s="51" t="s">
        <v>6</v>
      </c>
      <c r="AE1" s="51" t="s">
        <v>7</v>
      </c>
      <c r="AF1" s="51" t="s">
        <v>8</v>
      </c>
      <c r="AG1" s="51" t="s">
        <v>9</v>
      </c>
      <c r="AH1" s="51" t="s">
        <v>10</v>
      </c>
      <c r="AI1" s="51" t="s">
        <v>11</v>
      </c>
      <c r="AJ1" s="51" t="s">
        <v>12</v>
      </c>
      <c r="AK1" s="51" t="s">
        <v>13</v>
      </c>
      <c r="AL1" s="51" t="s">
        <v>19</v>
      </c>
      <c r="AM1" s="51" t="s">
        <v>20</v>
      </c>
      <c r="AN1" s="51" t="s">
        <v>73</v>
      </c>
      <c r="AO1" s="51" t="s">
        <v>62</v>
      </c>
    </row>
    <row r="2">
      <c r="A2" s="11">
        <v>44409</v>
      </c>
      <c r="B2" s="14"/>
      <c r="C2" s="14">
        <v>1754.1099999999999</v>
      </c>
      <c r="D2" s="14"/>
      <c r="E2" s="14"/>
      <c r="F2" s="14"/>
      <c r="G2" s="14"/>
      <c r="H2" s="14"/>
      <c r="I2" s="14"/>
      <c r="J2" s="14">
        <f>524+165</f>
        <v>689</v>
      </c>
      <c r="K2" s="14"/>
      <c r="L2" s="14"/>
      <c r="M2" s="14"/>
      <c r="N2" s="14">
        <v>600</v>
      </c>
      <c r="O2" s="14"/>
      <c r="P2" s="14"/>
      <c r="Q2" s="14"/>
      <c r="R2" s="14"/>
      <c r="S2" s="14"/>
      <c r="W2" s="11">
        <v>44409</v>
      </c>
      <c r="X2" s="14"/>
      <c r="Y2" s="14"/>
      <c r="Z2" s="14"/>
      <c r="AA2" s="14"/>
      <c r="AB2" s="14"/>
      <c r="AC2" s="14"/>
      <c r="AD2" s="14"/>
      <c r="AE2" s="14"/>
      <c r="AF2" s="14"/>
      <c r="AG2" s="14"/>
      <c r="AH2" s="14"/>
      <c r="AI2" s="14"/>
      <c r="AJ2" s="14"/>
      <c r="AK2" s="14"/>
      <c r="AL2" s="14"/>
      <c r="AM2" s="14"/>
      <c r="AN2" s="14"/>
      <c r="AO2" s="14"/>
    </row>
    <row r="3">
      <c r="A3" s="11">
        <v>44410</v>
      </c>
      <c r="B3" s="5"/>
      <c r="C3" s="5">
        <f>59.99+66.57</f>
        <v>126.56</v>
      </c>
      <c r="D3" s="5"/>
      <c r="E3" s="5"/>
      <c r="F3" s="5"/>
      <c r="G3" s="5"/>
      <c r="H3" s="5"/>
      <c r="I3" s="5"/>
      <c r="J3" s="5"/>
      <c r="K3" s="5"/>
      <c r="L3" s="5"/>
      <c r="M3" s="5"/>
      <c r="N3" s="5"/>
      <c r="O3" s="5"/>
      <c r="P3" s="5"/>
      <c r="Q3" s="5"/>
      <c r="R3" s="5"/>
      <c r="S3" s="5"/>
      <c r="W3" s="11">
        <v>44410</v>
      </c>
      <c r="X3" s="5"/>
      <c r="Y3" s="5"/>
      <c r="Z3" s="5"/>
      <c r="AA3" s="5"/>
      <c r="AB3" s="5"/>
      <c r="AC3" s="5"/>
      <c r="AD3" s="5"/>
      <c r="AE3" s="5"/>
      <c r="AF3" s="5"/>
      <c r="AG3" s="5"/>
      <c r="AH3" s="5"/>
      <c r="AI3" s="5"/>
      <c r="AJ3" s="5"/>
      <c r="AK3" s="5"/>
      <c r="AL3" s="5"/>
      <c r="AM3" s="5"/>
      <c r="AN3" s="5"/>
      <c r="AO3" s="5"/>
    </row>
    <row r="4">
      <c r="A4" s="11">
        <v>44411</v>
      </c>
      <c r="B4" s="14"/>
      <c r="C4" s="14"/>
      <c r="D4" s="14"/>
      <c r="E4" s="14"/>
      <c r="F4" s="14"/>
      <c r="G4" s="14"/>
      <c r="H4" s="14"/>
      <c r="I4" s="14"/>
      <c r="J4" s="14"/>
      <c r="K4" s="14"/>
      <c r="L4" s="14"/>
      <c r="M4" s="14"/>
      <c r="N4" s="14"/>
      <c r="O4" s="14"/>
      <c r="P4" s="14"/>
      <c r="Q4" s="14"/>
      <c r="R4" s="14"/>
      <c r="S4" s="14"/>
      <c r="W4" s="11">
        <v>44411</v>
      </c>
      <c r="X4" s="14"/>
      <c r="Y4" s="14"/>
      <c r="Z4" s="14"/>
      <c r="AA4" s="14"/>
      <c r="AB4" s="14"/>
      <c r="AC4" s="14"/>
      <c r="AD4" s="14"/>
      <c r="AE4" s="14"/>
      <c r="AF4" s="14"/>
      <c r="AG4" s="14"/>
      <c r="AH4" s="14"/>
      <c r="AI4" s="14"/>
      <c r="AJ4" s="14"/>
      <c r="AK4" s="14"/>
      <c r="AL4" s="14"/>
      <c r="AM4" s="14"/>
      <c r="AN4" s="14"/>
      <c r="AO4" s="14"/>
    </row>
    <row r="5">
      <c r="A5" s="11">
        <v>44412</v>
      </c>
      <c r="B5" s="5"/>
      <c r="C5" s="5"/>
      <c r="D5" s="5"/>
      <c r="E5" s="5"/>
      <c r="F5" s="5"/>
      <c r="G5" s="5"/>
      <c r="H5" s="5"/>
      <c r="I5" s="5"/>
      <c r="J5" s="5">
        <v>4317</v>
      </c>
      <c r="K5" s="5"/>
      <c r="L5" s="5"/>
      <c r="M5" s="5"/>
      <c r="N5" s="5"/>
      <c r="O5" s="5"/>
      <c r="P5" s="5"/>
      <c r="Q5" s="5"/>
      <c r="R5" s="5">
        <v>440.72000000000003</v>
      </c>
      <c r="S5" s="5">
        <v>300</v>
      </c>
      <c r="W5" s="11">
        <v>44412</v>
      </c>
      <c r="X5" s="5"/>
      <c r="Y5" s="5"/>
      <c r="Z5" s="5"/>
      <c r="AA5" s="5"/>
      <c r="AB5" s="5"/>
      <c r="AC5" s="5"/>
      <c r="AD5" s="5"/>
      <c r="AE5" s="5"/>
      <c r="AF5" s="5"/>
      <c r="AG5" s="5"/>
      <c r="AH5" s="5"/>
      <c r="AI5" s="5"/>
      <c r="AJ5" s="5"/>
      <c r="AK5" s="5"/>
      <c r="AL5" s="5"/>
      <c r="AM5" s="5"/>
      <c r="AN5" s="5"/>
      <c r="AO5" s="5"/>
    </row>
    <row r="6">
      <c r="A6" s="11">
        <v>44413</v>
      </c>
      <c r="B6" s="14"/>
      <c r="C6" s="14">
        <f>452.76+100</f>
        <v>552.75999999999999</v>
      </c>
      <c r="D6" s="14"/>
      <c r="E6" s="14"/>
      <c r="F6" s="14"/>
      <c r="G6" s="14"/>
      <c r="H6" s="14"/>
      <c r="I6" s="14"/>
      <c r="J6" s="14"/>
      <c r="K6" s="14"/>
      <c r="L6" s="14"/>
      <c r="M6" s="14"/>
      <c r="N6" s="14"/>
      <c r="O6" s="14"/>
      <c r="P6" s="14"/>
      <c r="Q6" s="14"/>
      <c r="R6" s="14"/>
      <c r="S6" s="14"/>
      <c r="W6" s="11">
        <v>44413</v>
      </c>
      <c r="X6" s="14"/>
      <c r="Y6" s="14"/>
      <c r="Z6" s="14"/>
      <c r="AA6" s="14"/>
      <c r="AB6" s="14"/>
      <c r="AC6" s="14"/>
      <c r="AD6" s="14"/>
      <c r="AE6" s="14"/>
      <c r="AF6" s="14"/>
      <c r="AG6" s="14"/>
      <c r="AH6" s="14"/>
      <c r="AI6" s="14"/>
      <c r="AJ6" s="14"/>
      <c r="AK6" s="14"/>
      <c r="AL6" s="14"/>
      <c r="AM6" s="14"/>
      <c r="AN6" s="14"/>
      <c r="AO6" s="14"/>
    </row>
    <row r="7">
      <c r="A7" s="11">
        <v>44414</v>
      </c>
      <c r="B7" s="5"/>
      <c r="C7" s="5">
        <v>232</v>
      </c>
      <c r="D7" s="5"/>
      <c r="E7" s="5">
        <v>223</v>
      </c>
      <c r="F7" s="5"/>
      <c r="G7" s="5"/>
      <c r="H7" s="5"/>
      <c r="I7" s="5"/>
      <c r="J7" s="5">
        <f>1169.1+48</f>
        <v>1217.0999999999999</v>
      </c>
      <c r="K7" s="5"/>
      <c r="L7" s="5"/>
      <c r="M7" s="5"/>
      <c r="N7" s="5"/>
      <c r="O7" s="5"/>
      <c r="P7" s="5"/>
      <c r="Q7" s="5">
        <v>380</v>
      </c>
      <c r="R7" s="5"/>
      <c r="S7" s="5"/>
      <c r="W7" s="11">
        <v>44414</v>
      </c>
      <c r="X7" s="5"/>
      <c r="Y7" s="5"/>
      <c r="Z7" s="5"/>
      <c r="AA7" s="5"/>
      <c r="AB7" s="5"/>
      <c r="AC7" s="5"/>
      <c r="AD7" s="5"/>
      <c r="AE7" s="5"/>
      <c r="AF7" s="5"/>
      <c r="AG7" s="5"/>
      <c r="AH7" s="5"/>
      <c r="AI7" s="5"/>
      <c r="AJ7" s="5"/>
      <c r="AK7" s="5"/>
      <c r="AL7" s="5"/>
      <c r="AM7" s="5"/>
      <c r="AN7" s="5"/>
      <c r="AO7" s="5"/>
    </row>
    <row r="8">
      <c r="A8" s="11">
        <v>44415</v>
      </c>
      <c r="B8" s="14"/>
      <c r="C8" s="14">
        <v>106.98</v>
      </c>
      <c r="D8" s="14"/>
      <c r="E8" s="14"/>
      <c r="F8" s="14"/>
      <c r="G8" s="14"/>
      <c r="H8" s="14"/>
      <c r="I8" s="14"/>
      <c r="J8" s="14">
        <v>132</v>
      </c>
      <c r="K8" s="14"/>
      <c r="L8" s="14"/>
      <c r="M8" s="14"/>
      <c r="N8" s="14"/>
      <c r="O8" s="14"/>
      <c r="P8" s="14"/>
      <c r="Q8" s="14"/>
      <c r="R8" s="14"/>
      <c r="S8" s="14"/>
      <c r="W8" s="11">
        <v>44415</v>
      </c>
      <c r="X8" s="14"/>
      <c r="Y8" s="14"/>
      <c r="Z8" s="14"/>
      <c r="AA8" s="14"/>
      <c r="AB8" s="14"/>
      <c r="AC8" s="14"/>
      <c r="AD8" s="14"/>
      <c r="AE8" s="14"/>
      <c r="AF8" s="14"/>
      <c r="AG8" s="14"/>
      <c r="AH8" s="14"/>
      <c r="AI8" s="14"/>
      <c r="AJ8" s="14"/>
      <c r="AK8" s="14"/>
      <c r="AL8" s="14"/>
      <c r="AM8" s="14"/>
      <c r="AN8" s="14"/>
      <c r="AO8" s="14"/>
    </row>
    <row r="9">
      <c r="A9" s="11">
        <v>44416</v>
      </c>
      <c r="B9" s="5"/>
      <c r="C9" s="5">
        <v>435.25</v>
      </c>
      <c r="D9" s="5"/>
      <c r="E9" s="5"/>
      <c r="F9" s="5"/>
      <c r="G9" s="5"/>
      <c r="H9" s="5"/>
      <c r="I9" s="5"/>
      <c r="J9" s="5">
        <v>2943.5</v>
      </c>
      <c r="K9" s="5"/>
      <c r="L9" s="5"/>
      <c r="M9" s="5"/>
      <c r="N9" s="5"/>
      <c r="O9" s="5"/>
      <c r="P9" s="5"/>
      <c r="Q9" s="5"/>
      <c r="R9" s="5"/>
      <c r="S9" s="5"/>
      <c r="W9" s="11">
        <v>44416</v>
      </c>
      <c r="X9" s="5"/>
      <c r="Y9" s="5"/>
      <c r="Z9" s="5"/>
      <c r="AA9" s="5"/>
      <c r="AB9" s="5"/>
      <c r="AC9" s="5"/>
      <c r="AD9" s="5"/>
      <c r="AE9" s="5"/>
      <c r="AF9" s="5"/>
      <c r="AG9" s="5"/>
      <c r="AH9" s="5"/>
      <c r="AI9" s="5"/>
      <c r="AJ9" s="5"/>
      <c r="AK9" s="5"/>
      <c r="AL9" s="5"/>
      <c r="AM9" s="5"/>
      <c r="AN9" s="5"/>
      <c r="AO9" s="5"/>
    </row>
    <row r="10">
      <c r="A10" s="11">
        <v>44417</v>
      </c>
      <c r="B10" s="14"/>
      <c r="C10" s="14"/>
      <c r="D10" s="14"/>
      <c r="E10" s="14">
        <v>444</v>
      </c>
      <c r="F10" s="14"/>
      <c r="G10" s="14"/>
      <c r="H10" s="14"/>
      <c r="I10" s="14"/>
      <c r="J10" s="14"/>
      <c r="K10" s="14"/>
      <c r="L10" s="14"/>
      <c r="M10" s="14"/>
      <c r="N10" s="14"/>
      <c r="O10" s="14"/>
      <c r="P10" s="14"/>
      <c r="Q10" s="14">
        <v>1300</v>
      </c>
      <c r="R10" s="14"/>
      <c r="S10" s="14"/>
      <c r="W10" s="11">
        <v>44417</v>
      </c>
      <c r="X10" s="14"/>
      <c r="Y10" s="14"/>
      <c r="Z10" s="14"/>
      <c r="AA10" s="14"/>
      <c r="AB10" s="14"/>
      <c r="AC10" s="14"/>
      <c r="AD10" s="14"/>
      <c r="AE10" s="14"/>
      <c r="AF10" s="14"/>
      <c r="AG10" s="14"/>
      <c r="AH10" s="14"/>
      <c r="AI10" s="14"/>
      <c r="AJ10" s="14"/>
      <c r="AK10" s="14"/>
      <c r="AL10" s="14"/>
      <c r="AM10" s="14"/>
      <c r="AN10" s="14"/>
      <c r="AO10" s="14"/>
    </row>
    <row r="11">
      <c r="A11" s="11">
        <v>44418</v>
      </c>
      <c r="B11" s="5"/>
      <c r="C11" s="5">
        <v>491.83999999999997</v>
      </c>
      <c r="D11" s="5"/>
      <c r="E11" s="5"/>
      <c r="F11" s="5"/>
      <c r="G11" s="5"/>
      <c r="H11" s="5"/>
      <c r="I11" s="5"/>
      <c r="J11" s="5">
        <v>30</v>
      </c>
      <c r="K11" s="5"/>
      <c r="M11" s="5"/>
      <c r="N11" s="5"/>
      <c r="O11" s="5"/>
      <c r="P11" s="5"/>
      <c r="Q11" s="5"/>
      <c r="R11" s="5"/>
      <c r="S11" s="5"/>
      <c r="W11" s="11">
        <v>44418</v>
      </c>
      <c r="X11" s="5"/>
      <c r="Y11" s="5"/>
      <c r="Z11" s="5"/>
      <c r="AA11" s="5"/>
      <c r="AB11" s="5"/>
      <c r="AC11" s="5"/>
      <c r="AD11" s="5"/>
      <c r="AE11" s="5"/>
      <c r="AF11" s="5"/>
      <c r="AG11" s="5"/>
      <c r="AH11" s="5"/>
      <c r="AI11" s="5"/>
      <c r="AJ11" s="5"/>
      <c r="AK11" s="5"/>
      <c r="AL11" s="5"/>
      <c r="AM11" s="5"/>
      <c r="AN11" s="5"/>
      <c r="AO11" s="5"/>
    </row>
    <row r="12">
      <c r="A12" s="11">
        <v>44419</v>
      </c>
      <c r="B12" s="14"/>
      <c r="C12" s="14"/>
      <c r="D12" s="14"/>
      <c r="E12" s="14">
        <v>350</v>
      </c>
      <c r="F12" s="14"/>
      <c r="G12" s="14"/>
      <c r="H12" s="14"/>
      <c r="I12" s="14"/>
      <c r="J12" s="14"/>
      <c r="K12" s="14"/>
      <c r="L12" s="14"/>
      <c r="M12" s="14"/>
      <c r="N12" s="14"/>
      <c r="O12" s="14"/>
      <c r="P12" s="14"/>
      <c r="Q12" s="14"/>
      <c r="R12" s="14"/>
      <c r="S12" s="14"/>
      <c r="W12" s="11">
        <v>44419</v>
      </c>
      <c r="X12" s="14"/>
      <c r="Y12" s="14"/>
      <c r="Z12" s="14"/>
      <c r="AA12" s="14"/>
      <c r="AB12" s="14"/>
      <c r="AC12" s="14"/>
      <c r="AD12" s="14"/>
      <c r="AE12" s="14"/>
      <c r="AF12" s="14"/>
      <c r="AG12" s="14"/>
      <c r="AH12" s="14"/>
      <c r="AI12" s="14"/>
      <c r="AJ12" s="14"/>
      <c r="AK12" s="14"/>
      <c r="AL12" s="14"/>
      <c r="AM12" s="14"/>
      <c r="AN12" s="14"/>
      <c r="AO12" s="14"/>
    </row>
    <row r="13">
      <c r="A13" s="11">
        <v>44420</v>
      </c>
      <c r="B13" s="5"/>
      <c r="C13" s="5">
        <v>94.480000000000004</v>
      </c>
      <c r="D13" s="5"/>
      <c r="E13" s="5"/>
      <c r="F13" s="5"/>
      <c r="G13" s="5"/>
      <c r="H13" s="5"/>
      <c r="I13" s="5"/>
      <c r="J13" s="5">
        <v>945</v>
      </c>
      <c r="K13" s="5"/>
      <c r="L13" s="5"/>
      <c r="M13" s="5"/>
      <c r="N13" s="5"/>
      <c r="O13" s="5"/>
      <c r="P13" s="5"/>
      <c r="Q13" s="5"/>
      <c r="R13" s="5"/>
      <c r="S13" s="5"/>
      <c r="W13" s="11">
        <v>44420</v>
      </c>
      <c r="X13" s="5"/>
      <c r="Y13" s="5"/>
      <c r="Z13" s="5"/>
      <c r="AA13" s="5"/>
      <c r="AB13" s="5"/>
      <c r="AC13" s="5"/>
      <c r="AD13" s="5"/>
      <c r="AE13" s="5"/>
      <c r="AF13" s="5"/>
      <c r="AG13" s="5"/>
      <c r="AH13" s="5"/>
      <c r="AI13" s="5"/>
      <c r="AJ13" s="5"/>
      <c r="AK13" s="5"/>
      <c r="AL13" s="5"/>
      <c r="AM13" s="5"/>
      <c r="AN13" s="5"/>
      <c r="AO13" s="5"/>
    </row>
    <row r="14">
      <c r="A14" s="11">
        <v>44421</v>
      </c>
      <c r="B14" s="14"/>
      <c r="C14" s="14"/>
      <c r="D14" s="14"/>
      <c r="E14" s="14"/>
      <c r="F14" s="14"/>
      <c r="G14" s="14"/>
      <c r="H14" s="14"/>
      <c r="I14" s="14"/>
      <c r="J14" s="14"/>
      <c r="K14" s="14"/>
      <c r="L14" s="14"/>
      <c r="M14" s="14"/>
      <c r="N14" s="14"/>
      <c r="O14" s="14"/>
      <c r="P14" s="14"/>
      <c r="Q14" s="14"/>
      <c r="R14" s="14"/>
      <c r="S14" s="14"/>
      <c r="W14" s="11">
        <v>44421</v>
      </c>
      <c r="X14" s="14"/>
      <c r="Y14" s="14"/>
      <c r="Z14" s="14"/>
      <c r="AA14" s="14"/>
      <c r="AB14" s="14"/>
      <c r="AC14" s="14"/>
      <c r="AD14" s="14"/>
      <c r="AE14" s="14"/>
      <c r="AF14" s="14"/>
      <c r="AG14" s="14"/>
      <c r="AH14" s="14"/>
      <c r="AI14" s="14"/>
      <c r="AJ14" s="14"/>
      <c r="AK14" s="14"/>
      <c r="AL14" s="14"/>
      <c r="AM14" s="14"/>
      <c r="AN14" s="14"/>
      <c r="AO14" s="14"/>
    </row>
    <row r="15">
      <c r="A15" s="11">
        <v>44422</v>
      </c>
      <c r="B15" s="5"/>
      <c r="C15" s="5"/>
      <c r="D15" s="5"/>
      <c r="E15" s="5">
        <v>1270</v>
      </c>
      <c r="F15" s="5"/>
      <c r="G15" s="5"/>
      <c r="H15" s="5"/>
      <c r="I15" s="5"/>
      <c r="J15" s="5"/>
      <c r="K15" s="5"/>
      <c r="L15" s="5"/>
      <c r="M15" s="5"/>
      <c r="N15" s="5"/>
      <c r="O15" s="5"/>
      <c r="P15" s="5"/>
      <c r="Q15" s="5"/>
      <c r="R15" s="5"/>
      <c r="S15" s="5"/>
      <c r="W15" s="11">
        <v>44422</v>
      </c>
      <c r="X15" s="5"/>
      <c r="Y15" s="5"/>
      <c r="Z15" s="5"/>
      <c r="AA15" s="5"/>
      <c r="AB15" s="5"/>
      <c r="AC15" s="5"/>
      <c r="AD15" s="5"/>
      <c r="AE15" s="5"/>
      <c r="AF15" s="5"/>
      <c r="AG15" s="5"/>
      <c r="AH15" s="5"/>
      <c r="AI15" s="5"/>
      <c r="AJ15" s="5"/>
      <c r="AK15" s="5"/>
      <c r="AL15" s="5"/>
      <c r="AM15" s="5"/>
      <c r="AN15" s="5"/>
      <c r="AO15" s="5"/>
    </row>
    <row r="16">
      <c r="A16" s="11">
        <v>44423</v>
      </c>
      <c r="B16" s="14"/>
      <c r="C16" s="14"/>
      <c r="D16" s="14"/>
      <c r="E16" s="14"/>
      <c r="F16" s="14"/>
      <c r="G16" s="14"/>
      <c r="H16" s="14"/>
      <c r="I16" s="14"/>
      <c r="J16" s="14"/>
      <c r="K16" s="14"/>
      <c r="L16" s="14"/>
      <c r="M16" s="14"/>
      <c r="N16" s="14"/>
      <c r="O16" s="14"/>
      <c r="P16" s="14"/>
      <c r="Q16" s="14"/>
      <c r="R16" s="14"/>
      <c r="S16" s="14"/>
      <c r="W16" s="11">
        <v>44423</v>
      </c>
      <c r="X16" s="14"/>
      <c r="Y16" s="14"/>
      <c r="Z16" s="14"/>
      <c r="AA16" s="14"/>
      <c r="AB16" s="14"/>
      <c r="AC16" s="14"/>
      <c r="AD16" s="14"/>
      <c r="AE16" s="14"/>
      <c r="AF16" s="14"/>
      <c r="AG16" s="14"/>
      <c r="AH16" s="14"/>
      <c r="AI16" s="14"/>
      <c r="AJ16" s="14"/>
      <c r="AK16" s="14"/>
      <c r="AL16" s="14"/>
      <c r="AM16" s="14"/>
      <c r="AN16" s="14"/>
      <c r="AO16" s="14"/>
    </row>
    <row r="17">
      <c r="A17" s="11">
        <v>44424</v>
      </c>
      <c r="B17" s="5"/>
      <c r="C17" s="5"/>
      <c r="D17" s="5">
        <v>195</v>
      </c>
      <c r="E17" s="5"/>
      <c r="F17" s="5"/>
      <c r="G17" s="5"/>
      <c r="H17" s="5"/>
      <c r="I17" s="5"/>
      <c r="J17" s="5"/>
      <c r="K17" s="5"/>
      <c r="L17" s="5"/>
      <c r="M17" s="5"/>
      <c r="N17" s="5"/>
      <c r="O17" s="5"/>
      <c r="P17" s="5"/>
      <c r="Q17" s="5"/>
      <c r="R17" s="5"/>
      <c r="S17" s="5"/>
      <c r="W17" s="11">
        <v>44424</v>
      </c>
      <c r="X17" s="5"/>
      <c r="Y17" s="5"/>
      <c r="Z17" s="5"/>
      <c r="AA17" s="5"/>
      <c r="AB17" s="5"/>
      <c r="AC17" s="5"/>
      <c r="AD17" s="5"/>
      <c r="AE17" s="5"/>
      <c r="AF17" s="5"/>
      <c r="AG17" s="5"/>
      <c r="AH17" s="5"/>
      <c r="AI17" s="5"/>
      <c r="AJ17" s="5"/>
      <c r="AK17" s="5"/>
      <c r="AL17" s="5"/>
      <c r="AM17" s="5"/>
      <c r="AN17" s="5"/>
      <c r="AO17" s="5"/>
    </row>
    <row r="18">
      <c r="A18" s="11">
        <v>44425</v>
      </c>
      <c r="B18" s="14">
        <v>54</v>
      </c>
      <c r="C18" s="14"/>
      <c r="D18" s="14">
        <v>207</v>
      </c>
      <c r="E18" s="14"/>
      <c r="F18" s="14"/>
      <c r="G18" s="14"/>
      <c r="H18" s="14"/>
      <c r="I18" s="14"/>
      <c r="J18" s="14"/>
      <c r="K18" s="14">
        <v>95</v>
      </c>
      <c r="L18" s="14"/>
      <c r="M18" s="14"/>
      <c r="N18" s="14"/>
      <c r="O18" s="14"/>
      <c r="P18" s="14"/>
      <c r="Q18" s="14"/>
      <c r="R18" s="14"/>
      <c r="S18" s="14"/>
      <c r="W18" s="11">
        <v>44425</v>
      </c>
      <c r="X18" s="14"/>
      <c r="Y18" s="14"/>
      <c r="Z18" s="14"/>
      <c r="AA18" s="14"/>
      <c r="AB18" s="14"/>
      <c r="AC18" s="14"/>
      <c r="AD18" s="14"/>
      <c r="AE18" s="14"/>
      <c r="AF18" s="14"/>
      <c r="AG18" s="14"/>
      <c r="AH18" s="14"/>
      <c r="AI18" s="14"/>
      <c r="AJ18" s="14"/>
      <c r="AK18" s="14"/>
      <c r="AL18" s="14"/>
      <c r="AM18" s="14"/>
      <c r="AN18" s="14"/>
      <c r="AO18" s="14"/>
    </row>
    <row r="19">
      <c r="A19" s="11">
        <v>44426</v>
      </c>
      <c r="B19" s="5">
        <f>20+54</f>
        <v>74</v>
      </c>
      <c r="C19" s="5"/>
      <c r="D19" s="5">
        <f>58+106</f>
        <v>164</v>
      </c>
      <c r="E19" s="5">
        <v>456</v>
      </c>
      <c r="F19" s="5"/>
      <c r="G19" s="5"/>
      <c r="H19" s="5"/>
      <c r="I19" s="5"/>
      <c r="J19" s="5"/>
      <c r="K19" s="5"/>
      <c r="L19" s="5"/>
      <c r="M19" s="5"/>
      <c r="N19" s="5"/>
      <c r="O19" s="5"/>
      <c r="P19" s="5"/>
      <c r="Q19" s="5"/>
      <c r="R19" s="5"/>
      <c r="S19" s="5"/>
      <c r="W19" s="11">
        <v>44426</v>
      </c>
      <c r="X19" s="5"/>
      <c r="Y19" s="5"/>
      <c r="Z19" s="5"/>
      <c r="AA19" s="5"/>
      <c r="AB19" s="5"/>
      <c r="AC19" s="5"/>
      <c r="AD19" s="5"/>
      <c r="AE19" s="5"/>
      <c r="AF19" s="5"/>
      <c r="AG19" s="5"/>
      <c r="AH19" s="5"/>
      <c r="AI19" s="5"/>
      <c r="AJ19" s="5"/>
      <c r="AK19" s="5"/>
      <c r="AL19" s="5"/>
      <c r="AM19" s="5"/>
      <c r="AN19" s="5"/>
      <c r="AO19" s="5"/>
    </row>
    <row r="20">
      <c r="A20" s="11">
        <v>44427</v>
      </c>
      <c r="B20" s="14">
        <v>54</v>
      </c>
      <c r="C20" s="14">
        <v>39.990000000000002</v>
      </c>
      <c r="D20" s="14">
        <v>169</v>
      </c>
      <c r="E20" s="14"/>
      <c r="F20" s="14">
        <v>300</v>
      </c>
      <c r="G20" s="14"/>
      <c r="H20" s="14"/>
      <c r="I20" s="14"/>
      <c r="J20" s="14"/>
      <c r="K20" s="14"/>
      <c r="L20" s="14"/>
      <c r="M20" s="14"/>
      <c r="N20" s="14"/>
      <c r="O20" s="14"/>
      <c r="P20" s="34"/>
      <c r="Q20" s="14"/>
      <c r="R20" s="14"/>
      <c r="S20" s="14"/>
      <c r="W20" s="11">
        <v>44427</v>
      </c>
      <c r="X20" s="14"/>
      <c r="Y20" s="14"/>
      <c r="Z20" s="14"/>
      <c r="AA20" s="14"/>
      <c r="AB20" s="14"/>
      <c r="AC20" s="14"/>
      <c r="AD20" s="14"/>
      <c r="AE20" s="14"/>
      <c r="AF20" s="14"/>
      <c r="AG20" s="14"/>
      <c r="AH20" s="14"/>
      <c r="AI20" s="14"/>
      <c r="AJ20" s="14"/>
      <c r="AK20" s="14"/>
      <c r="AL20" s="34"/>
      <c r="AM20" s="14"/>
      <c r="AN20" s="14"/>
      <c r="AO20" s="14"/>
    </row>
    <row r="21">
      <c r="A21" s="11">
        <v>44428</v>
      </c>
      <c r="B21" s="69"/>
      <c r="C21" s="5">
        <f>79.99+279.99</f>
        <v>359.98000000000002</v>
      </c>
      <c r="D21" s="5">
        <f>137+58</f>
        <v>195</v>
      </c>
      <c r="E21" s="5"/>
      <c r="F21" s="5"/>
      <c r="G21" s="5"/>
      <c r="H21" s="5"/>
      <c r="I21" s="5"/>
      <c r="J21" s="5">
        <f>72999-30549-5450</f>
        <v>37000</v>
      </c>
      <c r="K21" s="5"/>
      <c r="L21" s="5">
        <v>2401.98</v>
      </c>
      <c r="M21" s="5"/>
      <c r="N21" s="5"/>
      <c r="O21" s="5"/>
      <c r="P21" s="5"/>
      <c r="Q21" s="5"/>
      <c r="R21" s="5"/>
      <c r="S21" s="5"/>
      <c r="W21" s="11">
        <v>44428</v>
      </c>
      <c r="X21" s="69"/>
      <c r="Y21" s="5"/>
      <c r="Z21" s="5"/>
      <c r="AA21" s="5"/>
      <c r="AB21" s="5"/>
      <c r="AC21" s="5"/>
      <c r="AD21" s="5"/>
      <c r="AE21" s="5"/>
      <c r="AF21" s="5"/>
      <c r="AG21" s="5"/>
      <c r="AH21" s="5"/>
      <c r="AI21" s="5"/>
      <c r="AJ21" s="5"/>
      <c r="AK21" s="5"/>
      <c r="AL21" s="5"/>
      <c r="AM21" s="5"/>
      <c r="AN21" s="5"/>
      <c r="AO21" s="5"/>
    </row>
    <row r="22">
      <c r="A22" s="11">
        <v>44429</v>
      </c>
      <c r="B22" s="22"/>
      <c r="C22" s="14">
        <v>179.96000000000001</v>
      </c>
      <c r="D22" s="14"/>
      <c r="E22" s="14"/>
      <c r="F22" s="14"/>
      <c r="G22" s="14">
        <v>18.609999999999999</v>
      </c>
      <c r="H22" s="14"/>
      <c r="I22" s="14"/>
      <c r="J22" s="14"/>
      <c r="K22" s="14"/>
      <c r="L22" s="14"/>
      <c r="M22" s="14"/>
      <c r="N22" s="14"/>
      <c r="O22" s="14"/>
      <c r="P22" s="14"/>
      <c r="Q22" s="14"/>
      <c r="R22" s="14"/>
      <c r="S22" s="14"/>
      <c r="W22" s="11">
        <v>44429</v>
      </c>
      <c r="X22" s="22"/>
      <c r="Y22" s="14"/>
      <c r="Z22" s="14"/>
      <c r="AA22" s="14"/>
      <c r="AB22" s="14"/>
      <c r="AC22" s="14"/>
      <c r="AD22" s="14"/>
      <c r="AE22" s="14"/>
      <c r="AF22" s="14"/>
      <c r="AG22" s="14"/>
      <c r="AH22" s="14"/>
      <c r="AI22" s="14"/>
      <c r="AJ22" s="14"/>
      <c r="AK22" s="14"/>
      <c r="AL22" s="14"/>
      <c r="AM22" s="14"/>
      <c r="AN22" s="14"/>
      <c r="AO22" s="14"/>
    </row>
    <row r="23">
      <c r="A23" s="11">
        <v>44430</v>
      </c>
      <c r="B23" s="5"/>
      <c r="C23" s="5">
        <v>119.98</v>
      </c>
      <c r="D23" s="5"/>
      <c r="E23" s="5"/>
      <c r="F23" s="5"/>
      <c r="G23" s="5"/>
      <c r="H23" s="5"/>
      <c r="I23" s="5"/>
      <c r="J23" s="5"/>
      <c r="K23" s="5"/>
      <c r="L23" s="5"/>
      <c r="M23" s="5"/>
      <c r="N23" s="5"/>
      <c r="O23" s="5"/>
      <c r="P23" s="5"/>
      <c r="Q23" s="5"/>
      <c r="R23" s="5"/>
      <c r="S23" s="5"/>
      <c r="W23" s="11">
        <v>44430</v>
      </c>
      <c r="X23" s="5"/>
      <c r="Y23" s="5"/>
      <c r="Z23" s="5"/>
      <c r="AA23" s="5"/>
      <c r="AB23" s="5"/>
      <c r="AC23" s="5"/>
      <c r="AD23" s="5"/>
      <c r="AE23" s="5"/>
      <c r="AF23" s="5"/>
      <c r="AG23" s="5"/>
      <c r="AH23" s="5"/>
      <c r="AI23" s="5"/>
      <c r="AJ23" s="5"/>
      <c r="AK23" s="5"/>
      <c r="AL23" s="5"/>
      <c r="AM23" s="5"/>
      <c r="AN23" s="5"/>
      <c r="AO23" s="5"/>
    </row>
    <row r="24">
      <c r="A24" s="11">
        <v>44431</v>
      </c>
      <c r="B24" s="14"/>
      <c r="C24" s="14"/>
      <c r="D24" s="14">
        <v>165</v>
      </c>
      <c r="E24" s="14">
        <v>1990</v>
      </c>
      <c r="F24" s="14"/>
      <c r="G24" s="14"/>
      <c r="H24" s="14"/>
      <c r="I24" s="14"/>
      <c r="J24" s="14"/>
      <c r="K24" s="14"/>
      <c r="L24" s="14"/>
      <c r="M24" s="14"/>
      <c r="N24" s="14"/>
      <c r="O24" s="14"/>
      <c r="P24" s="14"/>
      <c r="Q24" s="14"/>
      <c r="R24" s="14"/>
      <c r="S24" s="14"/>
      <c r="W24" s="11">
        <v>44431</v>
      </c>
      <c r="X24" s="14"/>
      <c r="Y24" s="14"/>
      <c r="Z24" s="14"/>
      <c r="AA24" s="14"/>
      <c r="AB24" s="14"/>
      <c r="AC24" s="14"/>
      <c r="AD24" s="14"/>
      <c r="AE24" s="14"/>
      <c r="AF24" s="14"/>
      <c r="AG24" s="14"/>
      <c r="AH24" s="14"/>
      <c r="AI24" s="14"/>
      <c r="AJ24" s="14"/>
      <c r="AK24" s="14"/>
      <c r="AL24" s="14"/>
      <c r="AM24" s="14"/>
      <c r="AN24" s="14"/>
      <c r="AO24" s="14"/>
    </row>
    <row r="25">
      <c r="A25" s="11">
        <v>44432</v>
      </c>
      <c r="B25" s="28"/>
      <c r="C25" s="5"/>
      <c r="D25" s="5">
        <v>149</v>
      </c>
      <c r="E25" s="5"/>
      <c r="F25" s="5"/>
      <c r="G25" s="5"/>
      <c r="H25" s="5"/>
      <c r="I25" s="5"/>
      <c r="J25" s="5"/>
      <c r="K25" s="5"/>
      <c r="L25" s="5"/>
      <c r="M25" s="5"/>
      <c r="N25" s="5"/>
      <c r="O25" s="5"/>
      <c r="P25" s="5"/>
      <c r="Q25" s="5"/>
      <c r="R25" s="5"/>
      <c r="S25" s="5"/>
      <c r="W25" s="11">
        <v>44432</v>
      </c>
      <c r="X25" s="28"/>
      <c r="Y25" s="5"/>
      <c r="Z25" s="5"/>
      <c r="AA25" s="5"/>
      <c r="AB25" s="5"/>
      <c r="AC25" s="5"/>
      <c r="AD25" s="5"/>
      <c r="AE25" s="5"/>
      <c r="AF25" s="5"/>
      <c r="AG25" s="5"/>
      <c r="AH25" s="5"/>
      <c r="AI25" s="5"/>
      <c r="AJ25" s="5"/>
      <c r="AK25" s="5"/>
      <c r="AL25" s="5"/>
      <c r="AM25" s="5"/>
      <c r="AN25" s="5"/>
      <c r="AO25" s="5"/>
    </row>
    <row r="26">
      <c r="A26" s="11">
        <v>44433</v>
      </c>
      <c r="B26" s="14">
        <v>54</v>
      </c>
      <c r="C26" s="14"/>
      <c r="D26" s="14">
        <v>166</v>
      </c>
      <c r="E26" s="14"/>
      <c r="F26" s="14"/>
      <c r="G26" s="14"/>
      <c r="H26" s="14"/>
      <c r="I26" s="14"/>
      <c r="J26" s="14"/>
      <c r="K26" s="14"/>
      <c r="L26" s="14">
        <v>890.64999999999998</v>
      </c>
      <c r="M26" s="14"/>
      <c r="N26" s="14"/>
      <c r="O26" s="14"/>
      <c r="P26" s="14"/>
      <c r="Q26" s="14"/>
      <c r="R26" s="14"/>
      <c r="S26" s="14"/>
      <c r="W26" s="11">
        <v>44433</v>
      </c>
      <c r="X26" s="14"/>
      <c r="Y26" s="14"/>
      <c r="Z26" s="14"/>
      <c r="AA26" s="14"/>
      <c r="AB26" s="14"/>
      <c r="AC26" s="14"/>
      <c r="AD26" s="14"/>
      <c r="AE26" s="14"/>
      <c r="AF26" s="14"/>
      <c r="AG26" s="14"/>
      <c r="AH26" s="14"/>
      <c r="AI26" s="14"/>
      <c r="AJ26" s="14"/>
      <c r="AK26" s="14"/>
      <c r="AL26" s="14"/>
      <c r="AM26" s="14"/>
      <c r="AN26" s="14"/>
      <c r="AO26" s="14"/>
    </row>
    <row r="27">
      <c r="A27" s="11">
        <v>44434</v>
      </c>
      <c r="B27" s="5">
        <v>54</v>
      </c>
      <c r="C27" s="5">
        <v>622.77999999999997</v>
      </c>
      <c r="D27" s="5">
        <v>201</v>
      </c>
      <c r="E27" s="5"/>
      <c r="F27" s="5"/>
      <c r="G27" s="5"/>
      <c r="H27" s="5"/>
      <c r="I27" s="5"/>
      <c r="J27" s="5">
        <f>39.99+154</f>
        <v>193.99000000000001</v>
      </c>
      <c r="K27" s="5"/>
      <c r="L27" s="5"/>
      <c r="M27" s="5"/>
      <c r="N27" s="5"/>
      <c r="O27" s="5"/>
      <c r="P27" s="5"/>
      <c r="Q27" s="5">
        <v>199</v>
      </c>
      <c r="R27" s="5"/>
      <c r="S27" s="5"/>
      <c r="W27" s="11">
        <v>44434</v>
      </c>
      <c r="X27" s="5"/>
      <c r="Y27" s="5"/>
      <c r="Z27" s="5"/>
      <c r="AA27" s="5"/>
      <c r="AB27" s="5"/>
      <c r="AC27" s="5"/>
      <c r="AD27" s="5"/>
      <c r="AE27" s="5"/>
      <c r="AF27" s="5"/>
      <c r="AG27" s="5"/>
      <c r="AH27" s="5"/>
      <c r="AI27" s="5"/>
      <c r="AJ27" s="5"/>
      <c r="AK27" s="5"/>
      <c r="AL27" s="5"/>
      <c r="AM27" s="5"/>
      <c r="AN27" s="5"/>
      <c r="AO27" s="5"/>
    </row>
    <row r="28">
      <c r="A28" s="11">
        <v>44435</v>
      </c>
      <c r="B28" s="14">
        <v>30</v>
      </c>
      <c r="C28" s="14"/>
      <c r="D28" s="14">
        <f>16+133</f>
        <v>149</v>
      </c>
      <c r="E28" s="14"/>
      <c r="F28" s="14"/>
      <c r="G28" s="14"/>
      <c r="H28" s="14"/>
      <c r="I28" s="14"/>
      <c r="J28" s="14"/>
      <c r="K28" s="14"/>
      <c r="L28" s="14"/>
      <c r="M28" s="14"/>
      <c r="N28" s="14"/>
      <c r="O28" s="14"/>
      <c r="P28" s="14"/>
      <c r="Q28" s="14"/>
      <c r="R28" s="14"/>
      <c r="S28" s="14"/>
      <c r="W28" s="11">
        <v>44435</v>
      </c>
      <c r="X28" s="14"/>
      <c r="Y28" s="14"/>
      <c r="Z28" s="14"/>
      <c r="AA28" s="14"/>
      <c r="AB28" s="14"/>
      <c r="AC28" s="14"/>
      <c r="AD28" s="14"/>
      <c r="AE28" s="14"/>
      <c r="AF28" s="14"/>
      <c r="AG28" s="14"/>
      <c r="AH28" s="14"/>
      <c r="AI28" s="14"/>
      <c r="AJ28" s="14"/>
      <c r="AK28" s="14"/>
      <c r="AL28" s="14"/>
      <c r="AM28" s="14"/>
      <c r="AN28" s="14"/>
      <c r="AO28" s="14"/>
    </row>
    <row r="29">
      <c r="A29" s="11">
        <v>44436</v>
      </c>
      <c r="B29" s="5"/>
      <c r="C29" s="5"/>
      <c r="D29" s="5"/>
      <c r="E29" s="5"/>
      <c r="F29" s="5"/>
      <c r="G29" s="5">
        <v>199</v>
      </c>
      <c r="H29" s="5"/>
      <c r="I29" s="5"/>
      <c r="J29" s="5"/>
      <c r="K29" s="5"/>
      <c r="L29" s="5"/>
      <c r="M29" s="5"/>
      <c r="N29" s="5"/>
      <c r="O29" s="5"/>
      <c r="P29" s="5">
        <v>700</v>
      </c>
      <c r="Q29" s="5"/>
      <c r="R29" s="5"/>
      <c r="S29" s="5"/>
      <c r="W29" s="11">
        <v>44436</v>
      </c>
      <c r="X29" s="5"/>
      <c r="Y29" s="5"/>
      <c r="Z29" s="5"/>
      <c r="AA29" s="5"/>
      <c r="AB29" s="5"/>
      <c r="AC29" s="5"/>
      <c r="AD29" s="5"/>
      <c r="AE29" s="5"/>
      <c r="AF29" s="5"/>
      <c r="AG29" s="5"/>
      <c r="AH29" s="5"/>
      <c r="AI29" s="5"/>
      <c r="AJ29" s="5"/>
      <c r="AK29" s="5"/>
      <c r="AL29" s="5"/>
      <c r="AM29" s="5"/>
      <c r="AN29" s="5"/>
      <c r="AO29" s="5"/>
    </row>
    <row r="30">
      <c r="A30" s="11">
        <v>44437</v>
      </c>
      <c r="B30" s="22"/>
      <c r="C30" s="22">
        <v>288.51999999999998</v>
      </c>
      <c r="D30" s="22"/>
      <c r="E30" s="22"/>
      <c r="F30" s="22"/>
      <c r="G30" s="22"/>
      <c r="H30" s="22"/>
      <c r="I30" s="22"/>
      <c r="J30" s="22">
        <f>415+184</f>
        <v>599</v>
      </c>
      <c r="K30" s="22"/>
      <c r="L30" s="22"/>
      <c r="M30" s="22"/>
      <c r="N30" s="22"/>
      <c r="O30" s="22"/>
      <c r="P30" s="22"/>
      <c r="Q30" s="22"/>
      <c r="R30" s="22"/>
      <c r="S30" s="22"/>
      <c r="W30" s="11">
        <v>44437</v>
      </c>
      <c r="X30" s="22"/>
      <c r="Y30" s="22"/>
      <c r="Z30" s="22"/>
      <c r="AA30" s="22"/>
      <c r="AB30" s="22"/>
      <c r="AC30" s="22"/>
      <c r="AD30" s="22"/>
      <c r="AE30" s="22"/>
      <c r="AF30" s="22"/>
      <c r="AG30" s="22"/>
      <c r="AH30" s="22"/>
      <c r="AI30" s="22"/>
      <c r="AJ30" s="22"/>
      <c r="AK30" s="22"/>
      <c r="AL30" s="22"/>
      <c r="AM30" s="22"/>
      <c r="AN30" s="22"/>
      <c r="AO30" s="22"/>
    </row>
    <row r="31">
      <c r="A31" s="11">
        <v>44438</v>
      </c>
      <c r="B31" s="5"/>
      <c r="C31" s="5"/>
      <c r="D31" s="5">
        <v>129</v>
      </c>
      <c r="E31" s="5"/>
      <c r="F31" s="5"/>
      <c r="G31" s="5"/>
      <c r="H31" s="5"/>
      <c r="I31" s="5"/>
      <c r="J31" s="5"/>
      <c r="K31" s="5"/>
      <c r="L31" s="5"/>
      <c r="M31" s="5"/>
      <c r="N31" s="5"/>
      <c r="O31" s="5"/>
      <c r="P31" s="5"/>
      <c r="Q31" s="5"/>
      <c r="R31" s="5"/>
      <c r="S31" s="5"/>
      <c r="W31" s="11">
        <v>44438</v>
      </c>
      <c r="X31" s="5"/>
      <c r="Y31" s="5"/>
      <c r="Z31" s="5"/>
      <c r="AA31" s="5"/>
      <c r="AB31" s="5"/>
      <c r="AC31" s="5"/>
      <c r="AD31" s="5"/>
      <c r="AE31" s="5"/>
      <c r="AF31" s="5"/>
      <c r="AG31" s="5"/>
      <c r="AH31" s="5"/>
      <c r="AI31" s="5"/>
      <c r="AJ31" s="5"/>
      <c r="AK31" s="5"/>
      <c r="AL31" s="5"/>
      <c r="AM31" s="5"/>
      <c r="AN31" s="5"/>
      <c r="AO31" s="5"/>
    </row>
    <row r="32">
      <c r="A32" s="11">
        <v>44439</v>
      </c>
      <c r="B32" s="22">
        <v>50</v>
      </c>
      <c r="C32" s="22">
        <v>27.219999999999999</v>
      </c>
      <c r="D32" s="22">
        <f>130+17</f>
        <v>147</v>
      </c>
      <c r="E32" s="22"/>
      <c r="F32" s="22"/>
      <c r="G32" s="22"/>
      <c r="H32" s="22"/>
      <c r="I32" s="22"/>
      <c r="J32" s="22"/>
      <c r="K32" s="22"/>
      <c r="L32" s="22"/>
      <c r="M32" s="22"/>
      <c r="N32" s="22"/>
      <c r="O32" s="22"/>
      <c r="P32" s="22"/>
      <c r="Q32" s="22"/>
      <c r="R32" s="22">
        <v>195.69</v>
      </c>
      <c r="S32" s="22"/>
      <c r="W32" s="11">
        <v>44439</v>
      </c>
      <c r="X32" s="22"/>
      <c r="Y32" s="22"/>
      <c r="Z32" s="22"/>
      <c r="AA32" s="22"/>
      <c r="AB32" s="22"/>
      <c r="AC32" s="22"/>
      <c r="AD32" s="22"/>
      <c r="AE32" s="22"/>
      <c r="AF32" s="22"/>
      <c r="AG32" s="22"/>
      <c r="AH32" s="22"/>
      <c r="AI32" s="22"/>
      <c r="AJ32" s="22"/>
      <c r="AK32" s="22"/>
      <c r="AL32" s="22"/>
      <c r="AM32" s="22"/>
      <c r="AN32" s="22"/>
      <c r="AO32" s="22"/>
    </row>
    <row r="33">
      <c r="A33" s="74"/>
      <c r="B33" s="75">
        <f>SUM(B2:B32)</f>
        <v>370</v>
      </c>
      <c r="C33" s="75">
        <f>SUM(C2:C32)</f>
        <v>5432.4099999999989</v>
      </c>
      <c r="D33" s="75">
        <f>SUM(D2:D32)</f>
        <v>2036</v>
      </c>
      <c r="E33" s="75">
        <f>SUM(E2:E32)</f>
        <v>4733</v>
      </c>
      <c r="F33" s="75">
        <f t="shared" ref="F33:R33" si="74">SUM(F2:F32)</f>
        <v>300</v>
      </c>
      <c r="G33" s="75">
        <f t="shared" si="74"/>
        <v>217.61000000000001</v>
      </c>
      <c r="H33" s="75">
        <f t="shared" si="74"/>
        <v>0</v>
      </c>
      <c r="I33" s="75">
        <f t="shared" si="74"/>
        <v>0</v>
      </c>
      <c r="J33" s="75">
        <f t="shared" si="74"/>
        <v>48066.589999999997</v>
      </c>
      <c r="K33" s="75">
        <f t="shared" si="74"/>
        <v>95</v>
      </c>
      <c r="L33" s="75">
        <f t="shared" si="74"/>
        <v>3292.6300000000001</v>
      </c>
      <c r="M33" s="75">
        <f t="shared" si="74"/>
        <v>0</v>
      </c>
      <c r="N33" s="75">
        <f t="shared" si="74"/>
        <v>600</v>
      </c>
      <c r="O33" s="75">
        <f t="shared" si="74"/>
        <v>0</v>
      </c>
      <c r="P33" s="75">
        <f t="shared" si="74"/>
        <v>700</v>
      </c>
      <c r="Q33" s="75">
        <f t="shared" si="74"/>
        <v>1879</v>
      </c>
      <c r="R33" s="75">
        <f t="shared" si="74"/>
        <v>636.41000000000008</v>
      </c>
      <c r="S33" s="75">
        <f>SUM(B33:R33)+S5</f>
        <v>68658.649999999994</v>
      </c>
      <c r="W33" s="74"/>
      <c r="X33" s="75">
        <f t="shared" ref="X33:AN33" si="75">SUM(X2:X32)</f>
        <v>0</v>
      </c>
      <c r="Y33" s="75">
        <f t="shared" si="75"/>
        <v>0</v>
      </c>
      <c r="Z33" s="75">
        <f t="shared" si="75"/>
        <v>0</v>
      </c>
      <c r="AA33" s="75">
        <f t="shared" si="75"/>
        <v>0</v>
      </c>
      <c r="AB33" s="75">
        <f t="shared" si="75"/>
        <v>0</v>
      </c>
      <c r="AC33" s="75">
        <f t="shared" si="75"/>
        <v>0</v>
      </c>
      <c r="AD33" s="75">
        <f t="shared" si="75"/>
        <v>0</v>
      </c>
      <c r="AE33" s="75">
        <f t="shared" si="75"/>
        <v>0</v>
      </c>
      <c r="AF33" s="75">
        <f t="shared" si="75"/>
        <v>0</v>
      </c>
      <c r="AG33" s="75">
        <f t="shared" si="75"/>
        <v>0</v>
      </c>
      <c r="AH33" s="75">
        <f t="shared" si="75"/>
        <v>0</v>
      </c>
      <c r="AI33" s="75">
        <f t="shared" si="75"/>
        <v>0</v>
      </c>
      <c r="AJ33" s="75">
        <f t="shared" si="75"/>
        <v>0</v>
      </c>
      <c r="AK33" s="75">
        <f t="shared" si="75"/>
        <v>0</v>
      </c>
      <c r="AL33" s="75">
        <f t="shared" si="75"/>
        <v>0</v>
      </c>
      <c r="AM33" s="75">
        <f t="shared" si="75"/>
        <v>0</v>
      </c>
      <c r="AN33" s="75">
        <f t="shared" si="75"/>
        <v>0</v>
      </c>
      <c r="AO33" s="75">
        <f>SUM(X33:AN33)+AO5</f>
        <v>0</v>
      </c>
    </row>
    <row r="34">
      <c r="A34" s="9"/>
      <c r="B34" s="9"/>
      <c r="C34" s="9"/>
      <c r="D34" s="9"/>
      <c r="E34" s="9"/>
      <c r="F34" s="9"/>
      <c r="G34" s="9"/>
      <c r="H34" s="9"/>
      <c r="I34" s="9"/>
      <c r="J34" s="9"/>
      <c r="K34" s="9"/>
      <c r="L34" s="9"/>
      <c r="M34" s="9"/>
      <c r="N34" s="9"/>
      <c r="O34" s="9"/>
      <c r="P34" s="9"/>
      <c r="Q34" s="9"/>
      <c r="R34" s="9"/>
      <c r="S34" s="9"/>
      <c r="W34" s="9"/>
      <c r="X34" s="9"/>
      <c r="Y34" s="9"/>
      <c r="Z34" s="9"/>
      <c r="AA34" s="9"/>
      <c r="AB34" s="9"/>
      <c r="AC34" s="9"/>
      <c r="AD34" s="9"/>
      <c r="AE34" s="9"/>
      <c r="AF34" s="9"/>
      <c r="AG34" s="9"/>
      <c r="AH34" s="9"/>
      <c r="AI34" s="9"/>
      <c r="AJ34" s="9"/>
      <c r="AK34" s="9"/>
      <c r="AL34" s="9"/>
      <c r="AM34" s="9"/>
      <c r="AN34" s="9"/>
      <c r="AO34" s="9"/>
    </row>
    <row r="35">
      <c r="A35" s="76" t="s">
        <v>0</v>
      </c>
      <c r="B35" s="76" t="s">
        <v>50</v>
      </c>
      <c r="C35" s="76" t="s">
        <v>13</v>
      </c>
      <c r="D35" s="76" t="s">
        <v>11</v>
      </c>
      <c r="E35" s="76" t="s">
        <v>51</v>
      </c>
      <c r="F35" s="76" t="s">
        <v>52</v>
      </c>
      <c r="G35" s="76" t="s">
        <v>53</v>
      </c>
      <c r="H35" s="76" t="s">
        <v>54</v>
      </c>
      <c r="I35" s="76" t="s">
        <v>55</v>
      </c>
      <c r="J35" s="77" t="s">
        <v>61</v>
      </c>
      <c r="K35" s="77" t="s">
        <v>74</v>
      </c>
      <c r="L35" s="78"/>
      <c r="M35" s="78"/>
      <c r="N35" s="78"/>
      <c r="O35" s="78"/>
      <c r="P35" s="78"/>
      <c r="Q35" s="78"/>
      <c r="R35" s="78"/>
      <c r="S35" s="78"/>
      <c r="W35" s="76" t="s">
        <v>0</v>
      </c>
      <c r="X35" s="76" t="s">
        <v>50</v>
      </c>
      <c r="Y35" s="76" t="s">
        <v>13</v>
      </c>
      <c r="Z35" s="76" t="s">
        <v>11</v>
      </c>
      <c r="AA35" s="76" t="s">
        <v>51</v>
      </c>
      <c r="AB35" s="76" t="s">
        <v>52</v>
      </c>
      <c r="AC35" s="76" t="s">
        <v>53</v>
      </c>
      <c r="AD35" s="76" t="s">
        <v>54</v>
      </c>
      <c r="AE35" s="76" t="s">
        <v>55</v>
      </c>
      <c r="AF35" s="77" t="s">
        <v>61</v>
      </c>
      <c r="AG35" s="77" t="s">
        <v>74</v>
      </c>
      <c r="AH35" s="78"/>
      <c r="AI35" s="78"/>
      <c r="AJ35" s="78"/>
      <c r="AK35" s="78"/>
      <c r="AL35" s="78"/>
      <c r="AM35" s="78"/>
      <c r="AN35" s="78"/>
      <c r="AO35" s="78"/>
    </row>
    <row r="36">
      <c r="A36" s="11">
        <v>44409</v>
      </c>
      <c r="B36" s="14"/>
      <c r="C36" s="14"/>
      <c r="D36" s="14"/>
      <c r="E36" s="14"/>
      <c r="F36" s="14"/>
      <c r="G36" s="14"/>
      <c r="H36" s="14"/>
      <c r="I36" s="14"/>
      <c r="J36" s="22"/>
      <c r="K36" s="22"/>
      <c r="L36" s="22"/>
      <c r="M36" s="22"/>
      <c r="N36" s="22"/>
      <c r="O36" s="22"/>
      <c r="P36" s="22"/>
      <c r="Q36" s="22"/>
      <c r="R36" s="22"/>
      <c r="S36" s="22"/>
      <c r="W36" s="11">
        <v>44409</v>
      </c>
      <c r="X36" s="14"/>
      <c r="Y36" s="14"/>
      <c r="Z36" s="14"/>
      <c r="AA36" s="14"/>
      <c r="AB36" s="14"/>
      <c r="AC36" s="14"/>
      <c r="AD36" s="14"/>
      <c r="AE36" s="14"/>
      <c r="AF36" s="22"/>
      <c r="AG36" s="22"/>
      <c r="AH36" s="22"/>
      <c r="AI36" s="22"/>
      <c r="AJ36" s="22"/>
      <c r="AK36" s="22"/>
      <c r="AL36" s="22"/>
      <c r="AM36" s="22"/>
      <c r="AN36" s="22"/>
      <c r="AO36" s="22"/>
    </row>
    <row r="37">
      <c r="A37" s="11">
        <v>44410</v>
      </c>
      <c r="B37" s="5"/>
      <c r="C37" s="5"/>
      <c r="D37" s="5"/>
      <c r="E37" s="5"/>
      <c r="F37" s="5"/>
      <c r="G37" s="5"/>
      <c r="H37" s="5"/>
      <c r="I37" s="5"/>
      <c r="J37" s="5"/>
      <c r="K37" s="5"/>
      <c r="L37" s="5"/>
      <c r="M37" s="5"/>
      <c r="N37" s="5"/>
      <c r="O37" s="5"/>
      <c r="P37" s="5"/>
      <c r="Q37" s="5"/>
      <c r="R37" s="5"/>
      <c r="S37" s="5"/>
      <c r="W37" s="11">
        <v>44410</v>
      </c>
      <c r="X37" s="5"/>
      <c r="Y37" s="5"/>
      <c r="Z37" s="5"/>
      <c r="AA37" s="5"/>
      <c r="AB37" s="5"/>
      <c r="AC37" s="5"/>
      <c r="AD37" s="5"/>
      <c r="AE37" s="5"/>
      <c r="AF37" s="5"/>
      <c r="AG37" s="5"/>
      <c r="AH37" s="5"/>
      <c r="AI37" s="5"/>
      <c r="AJ37" s="5"/>
      <c r="AK37" s="5"/>
      <c r="AL37" s="5"/>
      <c r="AM37" s="5"/>
      <c r="AN37" s="5"/>
      <c r="AO37" s="5"/>
    </row>
    <row r="38">
      <c r="A38" s="11">
        <v>44411</v>
      </c>
      <c r="B38" s="14"/>
      <c r="C38" s="14"/>
      <c r="D38" s="14"/>
      <c r="E38" s="14"/>
      <c r="F38" s="14"/>
      <c r="G38" s="14"/>
      <c r="H38" s="14"/>
      <c r="I38" s="14"/>
      <c r="J38" s="22"/>
      <c r="K38" s="22"/>
      <c r="L38" s="22"/>
      <c r="M38" s="22"/>
      <c r="N38" s="22"/>
      <c r="O38" s="22"/>
      <c r="P38" s="22"/>
      <c r="Q38" s="22"/>
      <c r="R38" s="22"/>
      <c r="S38" s="22"/>
      <c r="W38" s="11">
        <v>44411</v>
      </c>
      <c r="X38" s="14"/>
      <c r="Y38" s="14"/>
      <c r="Z38" s="14"/>
      <c r="AA38" s="14"/>
      <c r="AB38" s="14"/>
      <c r="AC38" s="14"/>
      <c r="AD38" s="14"/>
      <c r="AE38" s="14"/>
      <c r="AF38" s="22"/>
      <c r="AG38" s="22"/>
      <c r="AH38" s="22"/>
      <c r="AI38" s="22"/>
      <c r="AJ38" s="22"/>
      <c r="AK38" s="22"/>
      <c r="AL38" s="22"/>
      <c r="AM38" s="22"/>
      <c r="AN38" s="22"/>
      <c r="AO38" s="22"/>
    </row>
    <row r="39">
      <c r="A39" s="11">
        <v>44412</v>
      </c>
      <c r="B39" s="5"/>
      <c r="C39" s="5"/>
      <c r="D39" s="5"/>
      <c r="E39" s="71">
        <v>804.76999999999998</v>
      </c>
      <c r="F39" s="5"/>
      <c r="G39" s="5"/>
      <c r="H39" s="5"/>
      <c r="I39" s="5">
        <v>388</v>
      </c>
      <c r="J39" s="5"/>
      <c r="K39" s="5"/>
      <c r="L39" s="5"/>
      <c r="M39" s="5"/>
      <c r="N39" s="5"/>
      <c r="O39" s="5"/>
      <c r="P39" s="5"/>
      <c r="Q39" s="5"/>
      <c r="R39" s="5"/>
      <c r="S39" s="5"/>
      <c r="W39" s="11">
        <v>44412</v>
      </c>
      <c r="X39" s="5"/>
      <c r="Y39" s="5"/>
      <c r="Z39" s="5"/>
      <c r="AA39" s="71"/>
      <c r="AB39" s="5"/>
      <c r="AC39" s="5"/>
      <c r="AD39" s="5"/>
      <c r="AE39" s="5"/>
      <c r="AF39" s="5"/>
      <c r="AG39" s="5"/>
      <c r="AH39" s="5"/>
      <c r="AI39" s="5"/>
      <c r="AJ39" s="5"/>
      <c r="AK39" s="5"/>
      <c r="AL39" s="5"/>
      <c r="AM39" s="5"/>
      <c r="AN39" s="5"/>
      <c r="AO39" s="5"/>
    </row>
    <row r="40">
      <c r="A40" s="11">
        <v>44413</v>
      </c>
      <c r="B40" s="14"/>
      <c r="C40" s="14"/>
      <c r="D40" s="14"/>
      <c r="E40" s="14"/>
      <c r="F40" s="14"/>
      <c r="G40" s="14"/>
      <c r="H40" s="14"/>
      <c r="I40" s="14"/>
      <c r="J40" s="14"/>
      <c r="K40" s="14"/>
      <c r="L40" s="14"/>
      <c r="M40" s="14"/>
      <c r="N40" s="14"/>
      <c r="O40" s="14"/>
      <c r="P40" s="14"/>
      <c r="Q40" s="14"/>
      <c r="R40" s="14"/>
      <c r="S40" s="14"/>
      <c r="W40" s="11">
        <v>44413</v>
      </c>
      <c r="X40" s="14"/>
      <c r="Y40" s="14"/>
      <c r="Z40" s="14"/>
      <c r="AA40" s="14"/>
      <c r="AB40" s="14"/>
      <c r="AC40" s="14"/>
      <c r="AD40" s="14"/>
      <c r="AE40" s="14"/>
      <c r="AF40" s="14"/>
      <c r="AG40" s="14"/>
      <c r="AH40" s="14"/>
      <c r="AI40" s="14"/>
      <c r="AJ40" s="14"/>
      <c r="AK40" s="14"/>
      <c r="AL40" s="14"/>
      <c r="AM40" s="14"/>
      <c r="AN40" s="14"/>
      <c r="AO40" s="14"/>
    </row>
    <row r="41">
      <c r="A41" s="11">
        <v>44414</v>
      </c>
      <c r="B41" s="5"/>
      <c r="C41" s="5"/>
      <c r="D41" s="5"/>
      <c r="E41" s="5"/>
      <c r="F41" s="5"/>
      <c r="G41" s="5"/>
      <c r="H41" s="5"/>
      <c r="I41" s="5"/>
      <c r="J41" s="5"/>
      <c r="K41" s="5"/>
      <c r="L41" s="5"/>
      <c r="M41" s="5"/>
      <c r="N41" s="5"/>
      <c r="O41" s="5"/>
      <c r="P41" s="5"/>
      <c r="Q41" s="5"/>
      <c r="R41" s="5"/>
      <c r="S41" s="5"/>
      <c r="W41" s="11">
        <v>44414</v>
      </c>
      <c r="X41" s="5"/>
      <c r="Y41" s="5"/>
      <c r="Z41" s="5"/>
      <c r="AA41" s="5"/>
      <c r="AB41" s="5"/>
      <c r="AC41" s="5"/>
      <c r="AD41" s="5"/>
      <c r="AE41" s="5"/>
      <c r="AF41" s="5"/>
      <c r="AG41" s="5"/>
      <c r="AH41" s="5"/>
      <c r="AI41" s="5"/>
      <c r="AJ41" s="5"/>
      <c r="AK41" s="5"/>
      <c r="AL41" s="5"/>
      <c r="AM41" s="5"/>
      <c r="AN41" s="5"/>
      <c r="AO41" s="5"/>
    </row>
    <row r="42">
      <c r="A42" s="11">
        <v>44415</v>
      </c>
      <c r="B42" s="14"/>
      <c r="C42" s="14"/>
      <c r="D42" s="14"/>
      <c r="E42" s="14"/>
      <c r="F42" s="14"/>
      <c r="G42" s="14"/>
      <c r="H42" s="14"/>
      <c r="I42" s="14"/>
      <c r="J42" s="14"/>
      <c r="K42" s="14"/>
      <c r="L42" s="14"/>
      <c r="M42" s="14"/>
      <c r="N42" s="14"/>
      <c r="O42" s="14"/>
      <c r="P42" s="14"/>
      <c r="Q42" s="14"/>
      <c r="R42" s="14"/>
      <c r="S42" s="14"/>
      <c r="W42" s="11">
        <v>44415</v>
      </c>
      <c r="X42" s="14"/>
      <c r="Y42" s="14"/>
      <c r="Z42" s="14"/>
      <c r="AA42" s="14"/>
      <c r="AB42" s="14"/>
      <c r="AC42" s="14"/>
      <c r="AD42" s="14"/>
      <c r="AE42" s="14"/>
      <c r="AF42" s="14"/>
      <c r="AG42" s="14"/>
      <c r="AH42" s="14"/>
      <c r="AI42" s="14"/>
      <c r="AJ42" s="14"/>
      <c r="AK42" s="14"/>
      <c r="AL42" s="14"/>
      <c r="AM42" s="14"/>
      <c r="AN42" s="14"/>
      <c r="AO42" s="14"/>
    </row>
    <row r="43">
      <c r="A43" s="11">
        <v>44416</v>
      </c>
      <c r="B43" s="5"/>
      <c r="C43" s="5"/>
      <c r="D43" s="5"/>
      <c r="E43" s="5"/>
      <c r="F43" s="5"/>
      <c r="G43" s="5"/>
      <c r="H43" s="5"/>
      <c r="I43" s="5"/>
      <c r="J43" s="5"/>
      <c r="K43" s="5"/>
      <c r="L43" s="5"/>
      <c r="M43" s="5"/>
      <c r="N43" s="5"/>
      <c r="O43" s="5"/>
      <c r="P43" s="5"/>
      <c r="Q43" s="5"/>
      <c r="R43" s="5"/>
      <c r="S43" s="5"/>
      <c r="W43" s="11">
        <v>44416</v>
      </c>
      <c r="X43" s="5"/>
      <c r="Y43" s="5"/>
      <c r="Z43" s="5"/>
      <c r="AA43" s="5"/>
      <c r="AB43" s="5"/>
      <c r="AC43" s="5"/>
      <c r="AD43" s="5"/>
      <c r="AE43" s="5"/>
      <c r="AF43" s="5"/>
      <c r="AG43" s="5"/>
      <c r="AH43" s="5"/>
      <c r="AI43" s="5"/>
      <c r="AJ43" s="5"/>
      <c r="AK43" s="5"/>
      <c r="AL43" s="5"/>
      <c r="AM43" s="5"/>
      <c r="AN43" s="5"/>
      <c r="AO43" s="5"/>
    </row>
    <row r="44">
      <c r="A44" s="11">
        <v>44417</v>
      </c>
      <c r="B44" s="79"/>
      <c r="C44" s="14"/>
      <c r="D44" s="14"/>
      <c r="E44" s="14"/>
      <c r="F44" s="14"/>
      <c r="G44" s="14"/>
      <c r="H44" s="14"/>
      <c r="I44" s="14"/>
      <c r="J44" s="14"/>
      <c r="K44" s="14"/>
      <c r="L44" s="14"/>
      <c r="M44" s="14"/>
      <c r="N44" s="14"/>
      <c r="O44" s="14"/>
      <c r="P44" s="14"/>
      <c r="Q44" s="14"/>
      <c r="R44" s="14"/>
      <c r="S44" s="14"/>
      <c r="W44" s="11">
        <v>44417</v>
      </c>
      <c r="X44" s="79"/>
      <c r="Y44" s="14"/>
      <c r="Z44" s="14"/>
      <c r="AA44" s="14"/>
      <c r="AB44" s="14"/>
      <c r="AC44" s="14"/>
      <c r="AD44" s="14"/>
      <c r="AE44" s="14"/>
      <c r="AF44" s="14"/>
      <c r="AG44" s="14"/>
      <c r="AH44" s="14"/>
      <c r="AI44" s="14"/>
      <c r="AJ44" s="14"/>
      <c r="AK44" s="14"/>
      <c r="AL44" s="14"/>
      <c r="AM44" s="14"/>
      <c r="AN44" s="14"/>
      <c r="AO44" s="14"/>
    </row>
    <row r="45">
      <c r="A45" s="11">
        <v>44418</v>
      </c>
      <c r="B45" s="5">
        <v>26555.139999999999</v>
      </c>
      <c r="C45" s="5"/>
      <c r="D45" s="5"/>
      <c r="E45" s="5"/>
      <c r="F45" s="5"/>
      <c r="G45" s="5"/>
      <c r="H45" s="5"/>
      <c r="I45" s="5"/>
      <c r="J45" s="5"/>
      <c r="K45" s="5"/>
      <c r="L45" s="5"/>
      <c r="M45" s="5"/>
      <c r="N45" s="5"/>
      <c r="O45" s="5"/>
      <c r="P45" s="5"/>
      <c r="Q45" s="5"/>
      <c r="R45" s="5"/>
      <c r="S45" s="5"/>
      <c r="W45" s="11">
        <v>44418</v>
      </c>
      <c r="X45" s="5"/>
      <c r="Y45" s="5"/>
      <c r="Z45" s="5"/>
      <c r="AA45" s="5"/>
      <c r="AB45" s="5"/>
      <c r="AC45" s="5"/>
      <c r="AD45" s="5"/>
      <c r="AE45" s="5"/>
      <c r="AF45" s="5"/>
      <c r="AG45" s="5"/>
      <c r="AH45" s="5"/>
      <c r="AI45" s="5"/>
      <c r="AJ45" s="5"/>
      <c r="AK45" s="5"/>
      <c r="AL45" s="5"/>
      <c r="AM45" s="5"/>
      <c r="AN45" s="5"/>
      <c r="AO45" s="5"/>
    </row>
    <row r="46">
      <c r="A46" s="11">
        <v>44419</v>
      </c>
      <c r="B46" s="14"/>
      <c r="C46" s="14"/>
      <c r="D46" s="14"/>
      <c r="E46" s="14"/>
      <c r="F46" s="14"/>
      <c r="G46" s="14"/>
      <c r="H46" s="14"/>
      <c r="I46" s="14"/>
      <c r="J46" s="14"/>
      <c r="K46" s="14"/>
      <c r="L46" s="14"/>
      <c r="M46" s="14"/>
      <c r="N46" s="14"/>
      <c r="O46" s="14"/>
      <c r="P46" s="14"/>
      <c r="Q46" s="14"/>
      <c r="R46" s="14"/>
      <c r="S46" s="14"/>
      <c r="W46" s="11">
        <v>44419</v>
      </c>
      <c r="X46" s="14"/>
      <c r="Y46" s="14"/>
      <c r="Z46" s="14"/>
      <c r="AA46" s="14"/>
      <c r="AB46" s="14"/>
      <c r="AC46" s="14"/>
      <c r="AD46" s="14"/>
      <c r="AE46" s="14"/>
      <c r="AF46" s="14"/>
      <c r="AG46" s="14"/>
      <c r="AH46" s="14"/>
      <c r="AI46" s="14"/>
      <c r="AJ46" s="14"/>
      <c r="AK46" s="14"/>
      <c r="AL46" s="14"/>
      <c r="AM46" s="14"/>
      <c r="AN46" s="14"/>
      <c r="AO46" s="14"/>
    </row>
    <row r="47">
      <c r="A47" s="11">
        <v>44420</v>
      </c>
      <c r="B47" s="5"/>
      <c r="C47" s="5"/>
      <c r="D47" s="5"/>
      <c r="E47" s="5"/>
      <c r="F47" s="5"/>
      <c r="G47" s="5"/>
      <c r="H47" s="5"/>
      <c r="I47" s="5"/>
      <c r="J47" s="5"/>
      <c r="K47" s="5"/>
      <c r="L47" s="5"/>
      <c r="M47" s="5"/>
      <c r="N47" s="5"/>
      <c r="O47" s="5"/>
      <c r="P47" s="5"/>
      <c r="Q47" s="5"/>
      <c r="R47" s="5"/>
      <c r="S47" s="5"/>
      <c r="W47" s="11">
        <v>44420</v>
      </c>
      <c r="X47" s="5"/>
      <c r="Y47" s="5"/>
      <c r="Z47" s="5"/>
      <c r="AA47" s="5"/>
      <c r="AB47" s="5"/>
      <c r="AC47" s="5"/>
      <c r="AD47" s="5"/>
      <c r="AE47" s="5"/>
      <c r="AF47" s="5"/>
      <c r="AG47" s="5"/>
      <c r="AH47" s="5"/>
      <c r="AI47" s="5"/>
      <c r="AJ47" s="5"/>
      <c r="AK47" s="5"/>
      <c r="AL47" s="5"/>
      <c r="AM47" s="5"/>
      <c r="AN47" s="5"/>
      <c r="AO47" s="5"/>
    </row>
    <row r="48">
      <c r="A48" s="11">
        <v>44421</v>
      </c>
      <c r="B48" s="14"/>
      <c r="C48" s="14"/>
      <c r="D48" s="14"/>
      <c r="E48" s="14"/>
      <c r="F48" s="14"/>
      <c r="G48" s="14"/>
      <c r="H48" s="14"/>
      <c r="I48" s="14"/>
      <c r="J48" s="14"/>
      <c r="K48" s="14"/>
      <c r="L48" s="14"/>
      <c r="M48" s="14"/>
      <c r="N48" s="14"/>
      <c r="O48" s="14"/>
      <c r="P48" s="14"/>
      <c r="Q48" s="14"/>
      <c r="R48" s="14"/>
      <c r="S48" s="14"/>
      <c r="W48" s="11">
        <v>44421</v>
      </c>
      <c r="X48" s="14">
        <v>16488.790000000001</v>
      </c>
      <c r="Y48" s="14"/>
      <c r="Z48" s="14"/>
      <c r="AA48" s="14"/>
      <c r="AB48" s="14"/>
      <c r="AC48" s="14"/>
      <c r="AD48" s="14"/>
      <c r="AE48" s="14"/>
      <c r="AF48" s="14"/>
      <c r="AG48" s="14"/>
      <c r="AH48" s="14"/>
      <c r="AI48" s="14"/>
      <c r="AJ48" s="14"/>
      <c r="AK48" s="14"/>
      <c r="AL48" s="14"/>
      <c r="AM48" s="14"/>
      <c r="AN48" s="14"/>
      <c r="AO48" s="14"/>
    </row>
    <row r="49">
      <c r="A49" s="11">
        <v>44422</v>
      </c>
      <c r="B49" s="5"/>
      <c r="C49" s="5"/>
      <c r="D49" s="5"/>
      <c r="E49" s="5"/>
      <c r="F49" s="5"/>
      <c r="G49" s="5"/>
      <c r="H49" s="5"/>
      <c r="I49" s="5"/>
      <c r="J49" s="5"/>
      <c r="K49" s="5"/>
      <c r="L49" s="5"/>
      <c r="M49" s="5"/>
      <c r="N49" s="5"/>
      <c r="O49" s="5"/>
      <c r="P49" s="5"/>
      <c r="Q49" s="5"/>
      <c r="R49" s="5"/>
      <c r="S49" s="5"/>
      <c r="W49" s="11">
        <v>44422</v>
      </c>
      <c r="X49" s="5"/>
      <c r="Y49" s="5"/>
      <c r="Z49" s="5"/>
      <c r="AA49" s="5"/>
      <c r="AB49" s="5"/>
      <c r="AC49" s="5"/>
      <c r="AD49" s="5"/>
      <c r="AE49" s="5"/>
      <c r="AF49" s="5"/>
      <c r="AG49" s="5"/>
      <c r="AH49" s="5"/>
      <c r="AI49" s="5"/>
      <c r="AJ49" s="5"/>
      <c r="AK49" s="5"/>
      <c r="AL49" s="5"/>
      <c r="AM49" s="5"/>
      <c r="AN49" s="5"/>
      <c r="AO49" s="5"/>
    </row>
    <row r="50">
      <c r="A50" s="11">
        <v>44423</v>
      </c>
      <c r="B50" s="14"/>
      <c r="C50" s="14"/>
      <c r="D50" s="14"/>
      <c r="E50" s="14"/>
      <c r="F50" s="14"/>
      <c r="G50" s="14"/>
      <c r="H50" s="14"/>
      <c r="I50" s="14">
        <v>57</v>
      </c>
      <c r="J50" s="14"/>
      <c r="K50" s="14"/>
      <c r="L50" s="14"/>
      <c r="M50" s="14"/>
      <c r="N50" s="14"/>
      <c r="O50" s="14"/>
      <c r="P50" s="14"/>
      <c r="Q50" s="14"/>
      <c r="R50" s="14"/>
      <c r="S50" s="14"/>
      <c r="W50" s="11">
        <v>44423</v>
      </c>
      <c r="X50" s="14"/>
      <c r="Y50" s="14"/>
      <c r="Z50" s="14"/>
      <c r="AA50" s="14"/>
      <c r="AB50" s="14"/>
      <c r="AC50" s="14"/>
      <c r="AD50" s="14"/>
      <c r="AE50" s="14"/>
      <c r="AF50" s="14"/>
      <c r="AG50" s="14"/>
      <c r="AH50" s="14"/>
      <c r="AI50" s="14"/>
      <c r="AJ50" s="14"/>
      <c r="AK50" s="14"/>
      <c r="AL50" s="14"/>
      <c r="AM50" s="14"/>
      <c r="AN50" s="14"/>
      <c r="AO50" s="14"/>
    </row>
    <row r="51">
      <c r="A51" s="11">
        <v>44424</v>
      </c>
      <c r="B51" s="5"/>
      <c r="C51" s="5"/>
      <c r="D51" s="5"/>
      <c r="E51" s="5"/>
      <c r="F51" s="5"/>
      <c r="G51" s="5"/>
      <c r="H51" s="5"/>
      <c r="I51" s="5"/>
      <c r="J51" s="5"/>
      <c r="K51" s="5"/>
      <c r="L51" s="5"/>
      <c r="M51" s="5"/>
      <c r="N51" s="5"/>
      <c r="O51" s="5"/>
      <c r="P51" s="5"/>
      <c r="Q51" s="5"/>
      <c r="R51" s="5"/>
      <c r="S51" s="5"/>
      <c r="W51" s="11">
        <v>44424</v>
      </c>
      <c r="X51" s="5"/>
      <c r="Y51" s="5"/>
      <c r="Z51" s="5"/>
      <c r="AA51" s="5"/>
      <c r="AB51" s="5"/>
      <c r="AC51" s="5"/>
      <c r="AD51" s="5"/>
      <c r="AE51" s="5"/>
      <c r="AF51" s="5"/>
      <c r="AG51" s="5"/>
      <c r="AH51" s="5"/>
      <c r="AI51" s="5"/>
      <c r="AJ51" s="5"/>
      <c r="AK51" s="5"/>
      <c r="AL51" s="5"/>
      <c r="AM51" s="5"/>
      <c r="AN51" s="5"/>
      <c r="AO51" s="5"/>
    </row>
    <row r="52">
      <c r="A52" s="11">
        <v>44425</v>
      </c>
      <c r="B52" s="14"/>
      <c r="C52" s="14"/>
      <c r="D52" s="14"/>
      <c r="E52" s="14"/>
      <c r="F52" s="14"/>
      <c r="G52" s="14"/>
      <c r="H52" s="14"/>
      <c r="I52" s="14"/>
      <c r="J52" s="14"/>
      <c r="K52" s="14"/>
      <c r="L52" s="14"/>
      <c r="M52" s="14"/>
      <c r="N52" s="14"/>
      <c r="O52" s="14"/>
      <c r="P52" s="14"/>
      <c r="Q52" s="14"/>
      <c r="R52" s="14"/>
      <c r="S52" s="14"/>
      <c r="W52" s="11">
        <v>44425</v>
      </c>
      <c r="X52" s="14"/>
      <c r="Y52" s="14"/>
      <c r="Z52" s="14"/>
      <c r="AA52" s="14"/>
      <c r="AB52" s="14"/>
      <c r="AC52" s="14"/>
      <c r="AD52" s="14"/>
      <c r="AE52" s="14"/>
      <c r="AF52" s="14"/>
      <c r="AG52" s="14"/>
      <c r="AH52" s="14"/>
      <c r="AI52" s="14"/>
      <c r="AJ52" s="14"/>
      <c r="AK52" s="14"/>
      <c r="AL52" s="14"/>
      <c r="AM52" s="14"/>
      <c r="AN52" s="14"/>
      <c r="AO52" s="14"/>
    </row>
    <row r="53">
      <c r="A53" s="11">
        <v>44426</v>
      </c>
      <c r="B53" s="5"/>
      <c r="C53" s="5"/>
      <c r="D53" s="5"/>
      <c r="E53" s="5"/>
      <c r="F53" s="5"/>
      <c r="G53" s="5"/>
      <c r="H53" s="5"/>
      <c r="I53" s="5"/>
      <c r="J53" s="5"/>
      <c r="K53" s="5"/>
      <c r="L53" s="5"/>
      <c r="M53" s="5"/>
      <c r="N53" s="5"/>
      <c r="O53" s="5"/>
      <c r="P53" s="5"/>
      <c r="Q53" s="5"/>
      <c r="R53" s="5"/>
      <c r="S53" s="5"/>
      <c r="W53" s="11">
        <v>44426</v>
      </c>
      <c r="X53" s="5"/>
      <c r="Y53" s="5"/>
      <c r="Z53" s="5"/>
      <c r="AA53" s="5"/>
      <c r="AB53" s="5"/>
      <c r="AC53" s="5"/>
      <c r="AD53" s="5"/>
      <c r="AE53" s="5"/>
      <c r="AF53" s="5"/>
      <c r="AG53" s="5"/>
      <c r="AH53" s="5"/>
      <c r="AI53" s="5"/>
      <c r="AJ53" s="5"/>
      <c r="AK53" s="5"/>
      <c r="AL53" s="5"/>
      <c r="AM53" s="5"/>
      <c r="AN53" s="5"/>
      <c r="AO53" s="5"/>
    </row>
    <row r="54">
      <c r="A54" s="11">
        <v>44427</v>
      </c>
      <c r="B54" s="14"/>
      <c r="C54" s="14"/>
      <c r="D54" s="14"/>
      <c r="E54" s="14"/>
      <c r="F54" s="14"/>
      <c r="G54" s="14"/>
      <c r="H54" s="14"/>
      <c r="I54" s="14"/>
      <c r="J54" s="14"/>
      <c r="K54" s="14"/>
      <c r="L54" s="14"/>
      <c r="M54" s="14"/>
      <c r="N54" s="14"/>
      <c r="O54" s="14"/>
      <c r="P54" s="14"/>
      <c r="Q54" s="14"/>
      <c r="R54" s="14"/>
      <c r="S54" s="14"/>
      <c r="W54" s="11">
        <v>44427</v>
      </c>
      <c r="X54" s="14"/>
      <c r="Y54" s="14"/>
      <c r="Z54" s="14"/>
      <c r="AA54" s="14"/>
      <c r="AB54" s="14"/>
      <c r="AC54" s="14"/>
      <c r="AD54" s="14"/>
      <c r="AE54" s="14"/>
      <c r="AF54" s="14"/>
      <c r="AG54" s="14"/>
      <c r="AH54" s="14"/>
      <c r="AI54" s="14"/>
      <c r="AJ54" s="14"/>
      <c r="AK54" s="14"/>
      <c r="AL54" s="14"/>
      <c r="AM54" s="14"/>
      <c r="AN54" s="14"/>
      <c r="AO54" s="14"/>
    </row>
    <row r="55">
      <c r="A55" s="11">
        <v>44428</v>
      </c>
      <c r="B55" s="5"/>
      <c r="C55" s="5"/>
      <c r="D55" s="5"/>
      <c r="E55" s="5"/>
      <c r="F55" s="5"/>
      <c r="G55" s="5"/>
      <c r="H55" s="5"/>
      <c r="I55" s="5"/>
      <c r="J55" s="5"/>
      <c r="K55" s="5"/>
      <c r="L55" s="5"/>
      <c r="M55" s="5"/>
      <c r="N55" s="5"/>
      <c r="O55" s="5"/>
      <c r="P55" s="5"/>
      <c r="Q55" s="5"/>
      <c r="R55" s="5"/>
      <c r="S55" s="5"/>
      <c r="W55" s="11">
        <v>44428</v>
      </c>
      <c r="X55" s="5"/>
      <c r="Y55" s="5"/>
      <c r="Z55" s="5"/>
      <c r="AA55" s="5"/>
      <c r="AB55" s="5"/>
      <c r="AC55" s="5"/>
      <c r="AD55" s="5"/>
      <c r="AE55" s="5"/>
      <c r="AF55" s="5"/>
      <c r="AG55" s="5"/>
      <c r="AH55" s="5"/>
      <c r="AI55" s="5"/>
      <c r="AJ55" s="5"/>
      <c r="AK55" s="5"/>
      <c r="AL55" s="5"/>
      <c r="AM55" s="5"/>
      <c r="AN55" s="5"/>
      <c r="AO55" s="5"/>
    </row>
    <row r="56">
      <c r="A56" s="11">
        <v>44429</v>
      </c>
      <c r="B56" s="14"/>
      <c r="C56" s="14"/>
      <c r="D56" s="14"/>
      <c r="E56" s="14"/>
      <c r="F56" s="14"/>
      <c r="G56" s="14"/>
      <c r="H56" s="14"/>
      <c r="I56" s="14"/>
      <c r="J56" s="14"/>
      <c r="K56" s="14"/>
      <c r="L56" s="14"/>
      <c r="M56" s="14"/>
      <c r="N56" s="14"/>
      <c r="O56" s="14"/>
      <c r="P56" s="14"/>
      <c r="Q56" s="14"/>
      <c r="R56" s="14"/>
      <c r="S56" s="14"/>
      <c r="W56" s="11">
        <v>44429</v>
      </c>
      <c r="X56" s="14"/>
      <c r="Y56" s="14"/>
      <c r="Z56" s="14"/>
      <c r="AA56" s="14"/>
      <c r="AB56" s="14"/>
      <c r="AC56" s="14"/>
      <c r="AD56" s="14"/>
      <c r="AE56" s="14"/>
      <c r="AF56" s="14"/>
      <c r="AG56" s="14"/>
      <c r="AH56" s="14"/>
      <c r="AI56" s="14"/>
      <c r="AJ56" s="14"/>
      <c r="AK56" s="14"/>
      <c r="AL56" s="14"/>
      <c r="AM56" s="14"/>
      <c r="AN56" s="14"/>
      <c r="AO56" s="14"/>
    </row>
    <row r="57">
      <c r="A57" s="11">
        <v>44430</v>
      </c>
      <c r="B57" s="5"/>
      <c r="C57" s="5"/>
      <c r="D57" s="5"/>
      <c r="E57" s="5"/>
      <c r="F57" s="5"/>
      <c r="G57" s="5"/>
      <c r="H57" s="5"/>
      <c r="I57" s="5"/>
      <c r="J57" s="5"/>
      <c r="K57" s="5"/>
      <c r="L57" s="5"/>
      <c r="M57" s="5"/>
      <c r="N57" s="5"/>
      <c r="O57" s="5"/>
      <c r="P57" s="5"/>
      <c r="Q57" s="5"/>
      <c r="R57" s="5"/>
      <c r="S57" s="5"/>
      <c r="W57" s="11">
        <v>44430</v>
      </c>
      <c r="X57" s="5"/>
      <c r="Y57" s="5"/>
      <c r="Z57" s="5"/>
      <c r="AA57" s="5"/>
      <c r="AB57" s="5"/>
      <c r="AC57" s="5"/>
      <c r="AD57" s="5"/>
      <c r="AE57" s="5"/>
      <c r="AF57" s="5"/>
      <c r="AG57" s="5"/>
      <c r="AH57" s="5"/>
      <c r="AI57" s="5"/>
      <c r="AJ57" s="5"/>
      <c r="AK57" s="5"/>
      <c r="AL57" s="5"/>
      <c r="AM57" s="5"/>
      <c r="AN57" s="5"/>
      <c r="AO57" s="5"/>
    </row>
    <row r="58">
      <c r="A58" s="11">
        <v>44431</v>
      </c>
      <c r="B58" s="14"/>
      <c r="C58" s="14"/>
      <c r="D58" s="14"/>
      <c r="E58" s="14"/>
      <c r="F58" s="14"/>
      <c r="G58" s="14"/>
      <c r="H58" s="14"/>
      <c r="I58" s="14"/>
      <c r="J58" s="14"/>
      <c r="K58" s="14"/>
      <c r="L58" s="14"/>
      <c r="M58" s="14"/>
      <c r="N58" s="14"/>
      <c r="O58" s="14"/>
      <c r="P58" s="14"/>
      <c r="Q58" s="14"/>
      <c r="R58" s="14"/>
      <c r="S58" s="14"/>
      <c r="W58" s="11">
        <v>44431</v>
      </c>
      <c r="X58" s="14"/>
      <c r="Y58" s="14"/>
      <c r="Z58" s="14"/>
      <c r="AA58" s="14"/>
      <c r="AB58" s="14"/>
      <c r="AC58" s="14"/>
      <c r="AD58" s="14"/>
      <c r="AE58" s="14"/>
      <c r="AF58" s="14"/>
      <c r="AG58" s="14"/>
      <c r="AH58" s="14"/>
      <c r="AI58" s="14"/>
      <c r="AJ58" s="14"/>
      <c r="AK58" s="14"/>
      <c r="AL58" s="14"/>
      <c r="AM58" s="14"/>
      <c r="AN58" s="14"/>
      <c r="AO58" s="14"/>
    </row>
    <row r="59">
      <c r="A59" s="11">
        <v>44432</v>
      </c>
      <c r="B59" s="5"/>
      <c r="C59" s="5"/>
      <c r="D59" s="5"/>
      <c r="E59" s="5"/>
      <c r="F59" s="5">
        <f>-49999+49999</f>
        <v>0</v>
      </c>
      <c r="G59" s="5"/>
      <c r="H59" s="5"/>
      <c r="I59" s="5"/>
      <c r="J59" s="5"/>
      <c r="K59" s="5"/>
      <c r="L59" s="5"/>
      <c r="M59" s="5"/>
      <c r="N59" s="5"/>
      <c r="O59" s="5"/>
      <c r="P59" s="5"/>
      <c r="Q59" s="5"/>
      <c r="R59" s="5"/>
      <c r="S59" s="5"/>
      <c r="W59" s="11">
        <v>44432</v>
      </c>
      <c r="X59" s="5"/>
      <c r="Y59" s="5"/>
      <c r="Z59" s="5"/>
      <c r="AA59" s="5"/>
      <c r="AB59" s="5"/>
      <c r="AC59" s="5"/>
      <c r="AD59" s="5"/>
      <c r="AE59" s="5"/>
      <c r="AF59" s="5"/>
      <c r="AG59" s="5"/>
      <c r="AH59" s="5"/>
      <c r="AI59" s="5"/>
      <c r="AJ59" s="5"/>
      <c r="AK59" s="5"/>
      <c r="AL59" s="5"/>
      <c r="AM59" s="5"/>
      <c r="AN59" s="5"/>
      <c r="AO59" s="5"/>
    </row>
    <row r="60">
      <c r="A60" s="11">
        <v>44433</v>
      </c>
      <c r="B60" s="14"/>
      <c r="C60" s="14"/>
      <c r="D60" s="14"/>
      <c r="E60" s="14"/>
      <c r="F60" s="14"/>
      <c r="G60" s="14"/>
      <c r="H60" s="14"/>
      <c r="I60" s="14"/>
      <c r="J60" s="14"/>
      <c r="K60" s="14"/>
      <c r="L60" s="14"/>
      <c r="M60" s="14"/>
      <c r="N60" s="14"/>
      <c r="O60" s="14"/>
      <c r="P60" s="14"/>
      <c r="Q60" s="14"/>
      <c r="R60" s="14"/>
      <c r="S60" s="14"/>
      <c r="W60" s="11">
        <v>44433</v>
      </c>
      <c r="X60" s="14"/>
      <c r="Y60" s="14"/>
      <c r="Z60" s="14"/>
      <c r="AA60" s="14"/>
      <c r="AB60" s="14"/>
      <c r="AC60" s="14"/>
      <c r="AD60" s="14"/>
      <c r="AE60" s="14"/>
      <c r="AF60" s="14"/>
      <c r="AG60" s="14"/>
      <c r="AH60" s="14"/>
      <c r="AI60" s="14"/>
      <c r="AJ60" s="14"/>
      <c r="AK60" s="14"/>
      <c r="AL60" s="14"/>
      <c r="AM60" s="14"/>
      <c r="AN60" s="14"/>
      <c r="AO60" s="14"/>
    </row>
    <row r="61">
      <c r="A61" s="11">
        <v>44434</v>
      </c>
      <c r="B61" s="5"/>
      <c r="C61" s="5"/>
      <c r="D61" s="5"/>
      <c r="E61" s="5"/>
      <c r="F61" s="5"/>
      <c r="G61" s="5"/>
      <c r="H61" s="5"/>
      <c r="I61" s="5"/>
      <c r="J61" s="5"/>
      <c r="K61" s="5"/>
      <c r="L61" s="5"/>
      <c r="M61" s="5"/>
      <c r="N61" s="5"/>
      <c r="O61" s="5"/>
      <c r="P61" s="5"/>
      <c r="Q61" s="5"/>
      <c r="R61" s="5"/>
      <c r="S61" s="5"/>
      <c r="W61" s="11">
        <v>44434</v>
      </c>
      <c r="X61" s="5"/>
      <c r="Y61" s="5"/>
      <c r="Z61" s="5"/>
      <c r="AA61" s="5"/>
      <c r="AB61" s="5"/>
      <c r="AC61" s="5"/>
      <c r="AD61" s="5"/>
      <c r="AE61" s="5"/>
      <c r="AF61" s="5"/>
      <c r="AG61" s="5"/>
      <c r="AH61" s="5"/>
      <c r="AI61" s="5"/>
      <c r="AJ61" s="5"/>
      <c r="AK61" s="5"/>
      <c r="AL61" s="5"/>
      <c r="AM61" s="5"/>
      <c r="AN61" s="5"/>
      <c r="AO61" s="5"/>
    </row>
    <row r="62">
      <c r="A62" s="11">
        <v>44435</v>
      </c>
      <c r="B62" s="14"/>
      <c r="C62" s="14"/>
      <c r="D62" s="14"/>
      <c r="E62" s="14"/>
      <c r="F62" s="14"/>
      <c r="G62" s="14"/>
      <c r="H62" s="14"/>
      <c r="I62" s="14"/>
      <c r="J62" s="14"/>
      <c r="K62" s="14"/>
      <c r="L62" s="14"/>
      <c r="M62" s="14"/>
      <c r="N62" s="14"/>
      <c r="O62" s="14"/>
      <c r="P62" s="14"/>
      <c r="Q62" s="14"/>
      <c r="R62" s="14"/>
      <c r="S62" s="14"/>
      <c r="W62" s="11">
        <v>44435</v>
      </c>
      <c r="X62" s="14">
        <v>7526.29</v>
      </c>
      <c r="Y62" s="14"/>
      <c r="Z62" s="14"/>
      <c r="AA62" s="14"/>
      <c r="AB62" s="14"/>
      <c r="AC62" s="14"/>
      <c r="AD62" s="14"/>
      <c r="AE62" s="14"/>
      <c r="AF62" s="14"/>
      <c r="AG62" s="14"/>
      <c r="AH62" s="14"/>
      <c r="AI62" s="14"/>
      <c r="AJ62" s="14"/>
      <c r="AK62" s="14"/>
      <c r="AL62" s="14"/>
      <c r="AM62" s="14"/>
      <c r="AN62" s="14"/>
      <c r="AO62" s="14"/>
    </row>
    <row r="63">
      <c r="A63" s="11">
        <v>44436</v>
      </c>
      <c r="B63" s="5"/>
      <c r="C63" s="5"/>
      <c r="D63" s="5"/>
      <c r="E63" s="5"/>
      <c r="F63" s="5"/>
      <c r="G63" s="5"/>
      <c r="H63" s="5"/>
      <c r="I63" s="5"/>
      <c r="J63" s="5"/>
      <c r="K63" s="5"/>
      <c r="L63" s="5"/>
      <c r="M63" s="5"/>
      <c r="N63" s="5"/>
      <c r="O63" s="5"/>
      <c r="P63" s="5"/>
      <c r="Q63" s="5"/>
      <c r="R63" s="48"/>
      <c r="S63" s="5"/>
      <c r="W63" s="11">
        <v>44436</v>
      </c>
      <c r="X63" s="5"/>
      <c r="Y63" s="5"/>
      <c r="Z63" s="5"/>
      <c r="AA63" s="5"/>
      <c r="AB63" s="5"/>
      <c r="AC63" s="5"/>
      <c r="AD63" s="5"/>
      <c r="AE63" s="5"/>
      <c r="AF63" s="5"/>
      <c r="AG63" s="5"/>
      <c r="AH63" s="5"/>
      <c r="AI63" s="5"/>
      <c r="AJ63" s="5"/>
      <c r="AK63" s="5"/>
      <c r="AL63" s="5"/>
      <c r="AM63" s="5"/>
      <c r="AN63" s="48"/>
      <c r="AO63" s="5"/>
    </row>
    <row r="64">
      <c r="A64" s="11">
        <v>44437</v>
      </c>
      <c r="B64" s="22"/>
      <c r="C64" s="22"/>
      <c r="D64" s="22"/>
      <c r="E64" s="22"/>
      <c r="F64" s="22"/>
      <c r="G64" s="22"/>
      <c r="H64" s="22"/>
      <c r="I64" s="22"/>
      <c r="J64" s="14"/>
      <c r="K64" s="14"/>
      <c r="L64" s="14"/>
      <c r="M64" s="14"/>
      <c r="N64" s="14"/>
      <c r="O64" s="14"/>
      <c r="P64" s="14"/>
      <c r="Q64" s="14"/>
      <c r="R64" s="80"/>
      <c r="S64" s="14"/>
      <c r="W64" s="11">
        <v>44437</v>
      </c>
      <c r="X64" s="22"/>
      <c r="Y64" s="22"/>
      <c r="Z64" s="22"/>
      <c r="AA64" s="22"/>
      <c r="AB64" s="22"/>
      <c r="AC64" s="22"/>
      <c r="AD64" s="22"/>
      <c r="AE64" s="22"/>
      <c r="AF64" s="14"/>
      <c r="AG64" s="14"/>
      <c r="AH64" s="14"/>
      <c r="AI64" s="14"/>
      <c r="AJ64" s="14"/>
      <c r="AK64" s="14"/>
      <c r="AL64" s="14"/>
      <c r="AM64" s="14"/>
      <c r="AN64" s="80"/>
      <c r="AO64" s="14"/>
    </row>
    <row r="65">
      <c r="A65" s="11">
        <v>44438</v>
      </c>
      <c r="B65" s="5"/>
      <c r="C65" s="5"/>
      <c r="D65" s="5"/>
      <c r="E65" s="5"/>
      <c r="F65" s="5"/>
      <c r="G65" s="5"/>
      <c r="H65" s="5"/>
      <c r="I65" s="5"/>
      <c r="J65" s="5"/>
      <c r="K65" s="5"/>
      <c r="L65" s="5"/>
      <c r="M65" s="5"/>
      <c r="N65" s="5"/>
      <c r="O65" s="5"/>
      <c r="P65" s="5"/>
      <c r="Q65" s="5"/>
      <c r="R65" s="48"/>
      <c r="S65" s="5"/>
      <c r="W65" s="11">
        <v>44438</v>
      </c>
      <c r="X65" s="5"/>
      <c r="Y65" s="5"/>
      <c r="Z65" s="5"/>
      <c r="AA65" s="5"/>
      <c r="AB65" s="5"/>
      <c r="AC65" s="5"/>
      <c r="AD65" s="5"/>
      <c r="AE65" s="5"/>
      <c r="AF65" s="5"/>
      <c r="AG65" s="5"/>
      <c r="AH65" s="5"/>
      <c r="AI65" s="5"/>
      <c r="AJ65" s="5"/>
      <c r="AK65" s="5"/>
      <c r="AL65" s="5"/>
      <c r="AM65" s="5"/>
      <c r="AN65" s="48"/>
      <c r="AO65" s="5"/>
    </row>
    <row r="66">
      <c r="A66" s="11">
        <v>44439</v>
      </c>
      <c r="B66" s="22"/>
      <c r="C66" s="22"/>
      <c r="D66" s="22"/>
      <c r="E66" s="22">
        <v>532.99000000000001</v>
      </c>
      <c r="F66" s="22"/>
      <c r="G66" s="22"/>
      <c r="H66" s="22"/>
      <c r="I66" s="22"/>
      <c r="J66" s="14"/>
      <c r="K66" s="14"/>
      <c r="L66" s="14"/>
      <c r="M66" s="14"/>
      <c r="N66" s="14"/>
      <c r="O66" s="14"/>
      <c r="P66" s="14"/>
      <c r="Q66" s="14"/>
      <c r="R66" s="80"/>
      <c r="S66" s="14"/>
      <c r="W66" s="11">
        <v>44439</v>
      </c>
      <c r="X66" s="22"/>
      <c r="Y66" s="22"/>
      <c r="Z66" s="22"/>
      <c r="AA66" s="22"/>
      <c r="AB66" s="22"/>
      <c r="AC66" s="22"/>
      <c r="AD66" s="22"/>
      <c r="AE66" s="22"/>
      <c r="AF66" s="14"/>
      <c r="AG66" s="14"/>
      <c r="AH66" s="14"/>
      <c r="AI66" s="14"/>
      <c r="AJ66" s="14"/>
      <c r="AK66" s="14"/>
      <c r="AL66" s="14"/>
      <c r="AM66" s="14"/>
      <c r="AN66" s="80"/>
      <c r="AO66" s="14"/>
    </row>
    <row r="67">
      <c r="A67" s="74"/>
      <c r="B67" s="74">
        <f t="shared" ref="B67:E67" si="76">SUM(B36:B66)</f>
        <v>26555.139999999999</v>
      </c>
      <c r="C67" s="74">
        <f>SUM(C36:C66)</f>
        <v>0</v>
      </c>
      <c r="D67" s="74">
        <f t="shared" si="76"/>
        <v>0</v>
      </c>
      <c r="E67" s="74">
        <f t="shared" si="76"/>
        <v>1337.76</v>
      </c>
      <c r="F67" s="74">
        <f>SUM(F36:F66)</f>
        <v>0</v>
      </c>
      <c r="G67" s="74">
        <f t="shared" ref="G67:R67" si="77">SUM(G36:G66)</f>
        <v>0</v>
      </c>
      <c r="H67" s="74">
        <f t="shared" si="77"/>
        <v>0</v>
      </c>
      <c r="I67" s="74">
        <f t="shared" si="77"/>
        <v>445</v>
      </c>
      <c r="J67" s="74">
        <f>SUM(J36:J66)</f>
        <v>0</v>
      </c>
      <c r="K67" s="74">
        <f t="shared" si="77"/>
        <v>0</v>
      </c>
      <c r="L67" s="74">
        <f t="shared" si="77"/>
        <v>0</v>
      </c>
      <c r="M67" s="74">
        <f t="shared" si="77"/>
        <v>0</v>
      </c>
      <c r="N67" s="74">
        <f t="shared" si="77"/>
        <v>0</v>
      </c>
      <c r="O67" s="74">
        <f t="shared" si="77"/>
        <v>0</v>
      </c>
      <c r="P67" s="74">
        <f t="shared" si="77"/>
        <v>0</v>
      </c>
      <c r="Q67" s="74">
        <f t="shared" si="77"/>
        <v>0</v>
      </c>
      <c r="R67" s="74">
        <f t="shared" si="77"/>
        <v>0</v>
      </c>
      <c r="S67" s="74">
        <f>SUM(B67:R67)</f>
        <v>28337.899999999998</v>
      </c>
      <c r="W67" s="74"/>
      <c r="X67" s="74">
        <f t="shared" ref="X67:AN67" si="78">SUM(X36:X66)</f>
        <v>24015.080000000002</v>
      </c>
      <c r="Y67" s="74">
        <f t="shared" si="78"/>
        <v>0</v>
      </c>
      <c r="Z67" s="74">
        <f t="shared" si="78"/>
        <v>0</v>
      </c>
      <c r="AA67" s="74">
        <f t="shared" si="78"/>
        <v>0</v>
      </c>
      <c r="AB67" s="74">
        <f t="shared" si="78"/>
        <v>0</v>
      </c>
      <c r="AC67" s="74">
        <f t="shared" si="78"/>
        <v>0</v>
      </c>
      <c r="AD67" s="74">
        <f t="shared" si="78"/>
        <v>0</v>
      </c>
      <c r="AE67" s="74">
        <f t="shared" si="78"/>
        <v>0</v>
      </c>
      <c r="AF67" s="74">
        <f t="shared" si="78"/>
        <v>0</v>
      </c>
      <c r="AG67" s="74">
        <f t="shared" si="78"/>
        <v>0</v>
      </c>
      <c r="AH67" s="74">
        <f t="shared" si="78"/>
        <v>0</v>
      </c>
      <c r="AI67" s="74">
        <f t="shared" si="78"/>
        <v>0</v>
      </c>
      <c r="AJ67" s="74">
        <f t="shared" si="78"/>
        <v>0</v>
      </c>
      <c r="AK67" s="74">
        <f t="shared" si="78"/>
        <v>0</v>
      </c>
      <c r="AL67" s="74">
        <f t="shared" si="78"/>
        <v>0</v>
      </c>
      <c r="AM67" s="74">
        <f t="shared" si="78"/>
        <v>0</v>
      </c>
      <c r="AN67" s="74">
        <f t="shared" si="78"/>
        <v>0</v>
      </c>
      <c r="AO67" s="74">
        <f>SUM(X67:AN67)</f>
        <v>24015.080000000002</v>
      </c>
    </row>
    <row r="68">
      <c r="A68" s="52"/>
      <c r="B68" s="52"/>
      <c r="C68" s="52"/>
      <c r="D68" s="52"/>
      <c r="E68" s="52"/>
      <c r="F68" s="52"/>
      <c r="G68" s="52"/>
      <c r="H68" s="52"/>
      <c r="I68" s="52"/>
      <c r="J68" s="52"/>
      <c r="K68" s="52"/>
      <c r="L68" s="52"/>
      <c r="M68" s="52"/>
      <c r="N68" s="52"/>
      <c r="O68" s="52"/>
      <c r="P68" s="52"/>
      <c r="Q68" s="52"/>
      <c r="R68" s="52"/>
      <c r="S68" s="52"/>
      <c r="W68" s="52"/>
      <c r="X68" s="52"/>
      <c r="Y68" s="52"/>
      <c r="Z68" s="52"/>
      <c r="AA68" s="52"/>
      <c r="AB68" s="52"/>
      <c r="AC68" s="52"/>
      <c r="AD68" s="52"/>
      <c r="AE68" s="52"/>
      <c r="AF68" s="52"/>
      <c r="AG68" s="52"/>
      <c r="AH68" s="52"/>
      <c r="AI68" s="52"/>
      <c r="AJ68" s="52"/>
      <c r="AK68" s="52"/>
      <c r="AL68" s="52"/>
      <c r="AM68" s="52"/>
      <c r="AN68" s="52"/>
      <c r="AO68" s="52"/>
    </row>
    <row r="69">
      <c r="A69" s="26" t="s">
        <v>67</v>
      </c>
      <c r="B69" s="26"/>
      <c r="C69" s="26"/>
      <c r="D69" s="26"/>
      <c r="E69" s="26"/>
      <c r="F69" s="26"/>
      <c r="G69" s="26"/>
      <c r="H69" s="26"/>
      <c r="I69" s="26"/>
      <c r="J69" s="26"/>
      <c r="K69" s="26"/>
      <c r="L69" s="26"/>
      <c r="M69" s="26"/>
      <c r="N69" s="26"/>
      <c r="O69" s="26"/>
      <c r="P69" s="26"/>
      <c r="Q69" s="26"/>
      <c r="R69" s="26"/>
      <c r="S69" s="26"/>
    </row>
    <row r="70">
      <c r="A70" s="5" t="s">
        <v>68</v>
      </c>
      <c r="B70" s="81">
        <f>21000-344+2039+(23000-23000)-344-344+8164.1-4600-3300+(3000-3000)+80000+2000+(5500-5000)+(5650-5100)+1000+300</f>
        <v>106621.10000000001</v>
      </c>
      <c r="C70" s="5"/>
      <c r="D70" s="5"/>
      <c r="E70" s="5"/>
      <c r="F70" s="5"/>
      <c r="G70" s="5"/>
      <c r="H70" s="5"/>
      <c r="I70" s="5"/>
      <c r="J70" s="5"/>
      <c r="K70" s="5"/>
      <c r="L70" s="5"/>
      <c r="M70" s="5"/>
      <c r="N70" s="5"/>
      <c r="O70" s="5"/>
      <c r="P70" s="5"/>
      <c r="Q70" s="5"/>
      <c r="R70" s="5"/>
      <c r="S70" s="5"/>
    </row>
    <row r="71">
      <c r="A71" s="5" t="s">
        <v>69</v>
      </c>
      <c r="B71" s="5"/>
      <c r="C71" s="5"/>
      <c r="D71" s="5"/>
      <c r="E71" s="5"/>
      <c r="F71" s="5"/>
      <c r="G71" s="5"/>
      <c r="H71" s="5"/>
      <c r="I71" s="5"/>
      <c r="J71" s="5"/>
      <c r="K71" s="5"/>
      <c r="L71" s="5"/>
      <c r="M71" s="5"/>
      <c r="N71" s="5"/>
      <c r="O71" s="5"/>
      <c r="P71" s="5"/>
      <c r="Q71" s="5"/>
      <c r="R71" s="5"/>
      <c r="S71" s="5"/>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M34" zoomScale="100" workbookViewId="0">
      <selection activeCell="F10" activeCellId="0" sqref="F10"/>
    </sheetView>
  </sheetViews>
  <sheetFormatPr defaultRowHeight="14.25"/>
  <cols>
    <col bestFit="1" customWidth="1" min="1" max="1" width="13.140625"/>
    <col bestFit="1" customWidth="1" min="11" max="11" width="11.140625"/>
    <col customWidth="1" min="23" max="23" width="11.28515625"/>
  </cols>
  <sheetData>
    <row r="1">
      <c r="A1" s="10" t="s">
        <v>0</v>
      </c>
      <c r="B1" s="51" t="s">
        <v>70</v>
      </c>
      <c r="C1" s="51" t="s">
        <v>71</v>
      </c>
      <c r="D1" s="51" t="s">
        <v>72</v>
      </c>
      <c r="E1" s="51" t="s">
        <v>3</v>
      </c>
      <c r="F1" s="51" t="s">
        <v>4</v>
      </c>
      <c r="G1" s="51" t="s">
        <v>5</v>
      </c>
      <c r="H1" s="51" t="s">
        <v>6</v>
      </c>
      <c r="I1" s="51" t="s">
        <v>7</v>
      </c>
      <c r="J1" s="51" t="s">
        <v>8</v>
      </c>
      <c r="K1" s="51" t="s">
        <v>9</v>
      </c>
      <c r="L1" s="51" t="s">
        <v>10</v>
      </c>
      <c r="M1" s="51" t="s">
        <v>11</v>
      </c>
      <c r="N1" s="51" t="s">
        <v>12</v>
      </c>
      <c r="O1" s="51" t="s">
        <v>13</v>
      </c>
      <c r="P1" s="51" t="s">
        <v>19</v>
      </c>
      <c r="Q1" s="51" t="s">
        <v>20</v>
      </c>
      <c r="R1" s="51" t="s">
        <v>73</v>
      </c>
      <c r="S1" s="51" t="s">
        <v>62</v>
      </c>
      <c r="W1" s="10" t="s">
        <v>0</v>
      </c>
      <c r="X1" s="51" t="s">
        <v>70</v>
      </c>
      <c r="Y1" s="51" t="s">
        <v>71</v>
      </c>
      <c r="Z1" s="51" t="s">
        <v>72</v>
      </c>
      <c r="AA1" s="51" t="s">
        <v>3</v>
      </c>
      <c r="AB1" s="51" t="s">
        <v>4</v>
      </c>
      <c r="AC1" s="51" t="s">
        <v>5</v>
      </c>
      <c r="AD1" s="51" t="s">
        <v>6</v>
      </c>
      <c r="AE1" s="51" t="s">
        <v>7</v>
      </c>
      <c r="AF1" s="51" t="s">
        <v>8</v>
      </c>
      <c r="AG1" s="51" t="s">
        <v>9</v>
      </c>
      <c r="AH1" s="51" t="s">
        <v>10</v>
      </c>
      <c r="AI1" s="51" t="s">
        <v>11</v>
      </c>
      <c r="AJ1" s="51" t="s">
        <v>12</v>
      </c>
      <c r="AK1" s="51" t="s">
        <v>13</v>
      </c>
      <c r="AL1" s="51" t="s">
        <v>19</v>
      </c>
      <c r="AM1" s="51" t="s">
        <v>20</v>
      </c>
      <c r="AN1" s="51" t="s">
        <v>73</v>
      </c>
      <c r="AO1" s="51" t="s">
        <v>62</v>
      </c>
    </row>
    <row r="2">
      <c r="A2" s="11">
        <v>44440</v>
      </c>
      <c r="B2" s="14"/>
      <c r="C2" s="14"/>
      <c r="D2" s="14">
        <f>126+17</f>
        <v>143</v>
      </c>
      <c r="E2" s="14">
        <v>525</v>
      </c>
      <c r="F2" s="14"/>
      <c r="G2" s="14"/>
      <c r="H2" s="14"/>
      <c r="I2" s="14"/>
      <c r="J2" s="14"/>
      <c r="K2" s="14"/>
      <c r="L2" s="14"/>
      <c r="M2" s="14"/>
      <c r="N2" s="14">
        <v>600</v>
      </c>
      <c r="O2" s="14"/>
      <c r="P2" s="14"/>
      <c r="Q2" s="14"/>
      <c r="R2" s="14"/>
      <c r="S2" s="14"/>
      <c r="W2" s="11">
        <v>44440</v>
      </c>
      <c r="X2" s="14"/>
      <c r="Y2" s="14"/>
      <c r="Z2" s="14"/>
      <c r="AA2" s="14"/>
      <c r="AB2" s="14"/>
      <c r="AC2" s="14"/>
      <c r="AD2" s="14"/>
      <c r="AE2" s="14"/>
      <c r="AF2" s="14"/>
      <c r="AG2" s="14"/>
      <c r="AH2" s="14"/>
      <c r="AI2" s="14"/>
      <c r="AJ2" s="14"/>
      <c r="AK2" s="14"/>
      <c r="AL2" s="14"/>
      <c r="AM2" s="14"/>
      <c r="AN2" s="14"/>
      <c r="AO2" s="14"/>
    </row>
    <row r="3">
      <c r="A3" s="11">
        <v>44441</v>
      </c>
      <c r="B3" s="5"/>
      <c r="C3" s="5"/>
      <c r="D3" s="5">
        <f>144.5+32</f>
        <v>176.5</v>
      </c>
      <c r="E3" s="5"/>
      <c r="F3" s="5"/>
      <c r="G3" s="5"/>
      <c r="H3" s="5"/>
      <c r="I3" s="5"/>
      <c r="J3" s="5"/>
      <c r="K3" s="5"/>
      <c r="L3" s="5"/>
      <c r="M3" s="5"/>
      <c r="N3" s="5"/>
      <c r="O3" s="5"/>
      <c r="P3" s="5"/>
      <c r="Q3" s="5"/>
      <c r="R3" s="5"/>
      <c r="S3" s="5"/>
      <c r="W3" s="11">
        <v>44441</v>
      </c>
      <c r="X3" s="5"/>
      <c r="Y3" s="5"/>
      <c r="Z3" s="5"/>
      <c r="AA3" s="5"/>
      <c r="AB3" s="5"/>
      <c r="AC3" s="5"/>
      <c r="AD3" s="5"/>
      <c r="AE3" s="5"/>
      <c r="AF3" s="5"/>
      <c r="AG3" s="5"/>
      <c r="AH3" s="5"/>
      <c r="AI3" s="5"/>
      <c r="AJ3" s="5"/>
      <c r="AK3" s="5"/>
      <c r="AL3" s="5"/>
      <c r="AM3" s="5"/>
      <c r="AN3" s="5"/>
      <c r="AO3" s="5"/>
    </row>
    <row r="4">
      <c r="A4" s="11">
        <v>44442</v>
      </c>
      <c r="B4" s="14"/>
      <c r="C4" s="14"/>
      <c r="D4" s="14">
        <f>117+22</f>
        <v>139</v>
      </c>
      <c r="E4" s="14"/>
      <c r="F4" s="14"/>
      <c r="G4" s="14"/>
      <c r="H4" s="14"/>
      <c r="I4" s="14"/>
      <c r="J4" s="14"/>
      <c r="K4" s="14"/>
      <c r="L4" s="14"/>
      <c r="M4" s="14"/>
      <c r="N4" s="14"/>
      <c r="O4" s="14"/>
      <c r="P4" s="14"/>
      <c r="Q4" s="14"/>
      <c r="R4" s="14"/>
      <c r="S4" s="14"/>
      <c r="W4" s="11">
        <v>44442</v>
      </c>
      <c r="X4" s="14"/>
      <c r="Y4" s="14"/>
      <c r="Z4" s="14"/>
      <c r="AA4" s="14"/>
      <c r="AB4" s="14"/>
      <c r="AC4" s="14"/>
      <c r="AD4" s="14"/>
      <c r="AE4" s="14"/>
      <c r="AF4" s="14"/>
      <c r="AG4" s="14"/>
      <c r="AH4" s="14"/>
      <c r="AI4" s="14"/>
      <c r="AJ4" s="14"/>
      <c r="AK4" s="14"/>
      <c r="AL4" s="14"/>
      <c r="AM4" s="14"/>
      <c r="AN4" s="14"/>
      <c r="AO4" s="14"/>
    </row>
    <row r="5">
      <c r="A5" s="11">
        <v>44443</v>
      </c>
      <c r="B5" s="5"/>
      <c r="C5" s="5">
        <v>135</v>
      </c>
      <c r="D5" s="5"/>
      <c r="E5" s="5"/>
      <c r="F5" s="5"/>
      <c r="G5" s="5"/>
      <c r="H5" s="5"/>
      <c r="I5" s="5"/>
      <c r="J5" s="5"/>
      <c r="K5" s="5"/>
      <c r="L5" s="5"/>
      <c r="M5" s="5"/>
      <c r="N5" s="5"/>
      <c r="O5" s="5"/>
      <c r="P5" s="5"/>
      <c r="Q5" s="5"/>
      <c r="R5" s="5"/>
      <c r="S5" s="5"/>
      <c r="W5" s="11">
        <v>44443</v>
      </c>
      <c r="X5" s="5"/>
      <c r="Y5" s="5"/>
      <c r="Z5" s="5"/>
      <c r="AA5" s="5"/>
      <c r="AB5" s="5"/>
      <c r="AC5" s="5"/>
      <c r="AD5" s="5"/>
      <c r="AE5" s="5"/>
      <c r="AF5" s="5"/>
      <c r="AG5" s="5"/>
      <c r="AH5" s="5"/>
      <c r="AI5" s="5"/>
      <c r="AJ5" s="5"/>
      <c r="AK5" s="5"/>
      <c r="AL5" s="5"/>
      <c r="AM5" s="5"/>
      <c r="AN5" s="5"/>
      <c r="AO5" s="5"/>
    </row>
    <row r="6">
      <c r="A6" s="11">
        <v>44444</v>
      </c>
      <c r="B6" s="14"/>
      <c r="C6" s="14">
        <v>375.24000000000001</v>
      </c>
      <c r="D6" s="14"/>
      <c r="E6" s="14">
        <v>480</v>
      </c>
      <c r="F6" s="14"/>
      <c r="G6" s="14"/>
      <c r="H6" s="14"/>
      <c r="I6" s="14"/>
      <c r="J6" s="14"/>
      <c r="K6" s="14"/>
      <c r="L6" s="14"/>
      <c r="M6" s="14"/>
      <c r="N6" s="14"/>
      <c r="O6" s="14"/>
      <c r="P6" s="14"/>
      <c r="Q6" s="14"/>
      <c r="R6" s="14"/>
      <c r="S6" s="14"/>
      <c r="W6" s="11">
        <v>44444</v>
      </c>
      <c r="X6" s="14"/>
      <c r="Y6" s="14"/>
      <c r="Z6" s="14"/>
      <c r="AA6" s="14"/>
      <c r="AB6" s="14"/>
      <c r="AC6" s="14"/>
      <c r="AD6" s="14"/>
      <c r="AE6" s="14"/>
      <c r="AF6" s="14"/>
      <c r="AG6" s="14"/>
      <c r="AH6" s="14"/>
      <c r="AI6" s="14"/>
      <c r="AJ6" s="14"/>
      <c r="AK6" s="14"/>
      <c r="AL6" s="14"/>
      <c r="AM6" s="14"/>
      <c r="AN6" s="14"/>
      <c r="AO6" s="14"/>
    </row>
    <row r="7">
      <c r="A7" s="11">
        <v>44445</v>
      </c>
      <c r="B7" s="5"/>
      <c r="C7" s="5">
        <v>127.69</v>
      </c>
      <c r="D7" s="5">
        <v>179.02000000000001</v>
      </c>
      <c r="E7" s="5"/>
      <c r="F7" s="5"/>
      <c r="G7" s="5"/>
      <c r="H7" s="5"/>
      <c r="I7" s="5"/>
      <c r="J7" s="5"/>
      <c r="K7" s="5"/>
      <c r="L7" s="5"/>
      <c r="M7" s="5"/>
      <c r="N7" s="5"/>
      <c r="O7" s="5"/>
      <c r="P7" s="5"/>
      <c r="Q7" s="5"/>
      <c r="R7" s="5"/>
      <c r="S7" s="5"/>
      <c r="W7" s="11">
        <v>44445</v>
      </c>
      <c r="X7" s="5"/>
      <c r="Y7" s="5"/>
      <c r="Z7" s="5"/>
      <c r="AA7" s="5"/>
      <c r="AB7" s="5"/>
      <c r="AC7" s="5"/>
      <c r="AD7" s="5"/>
      <c r="AE7" s="5"/>
      <c r="AF7" s="5"/>
      <c r="AG7" s="5"/>
      <c r="AH7" s="5"/>
      <c r="AI7" s="5"/>
      <c r="AJ7" s="5"/>
      <c r="AK7" s="5"/>
      <c r="AL7" s="5"/>
      <c r="AM7" s="5"/>
      <c r="AN7" s="5"/>
      <c r="AO7" s="5"/>
    </row>
    <row r="8">
      <c r="A8" s="11">
        <v>44446</v>
      </c>
      <c r="B8" s="14"/>
      <c r="C8" s="14">
        <v>284.57999999999998</v>
      </c>
      <c r="D8" s="14">
        <v>165</v>
      </c>
      <c r="E8" s="14"/>
      <c r="F8" s="14"/>
      <c r="G8" s="14"/>
      <c r="H8" s="14"/>
      <c r="I8" s="14"/>
      <c r="J8" s="14"/>
      <c r="K8" s="14"/>
      <c r="L8" s="14"/>
      <c r="M8" s="14"/>
      <c r="N8" s="14"/>
      <c r="O8" s="14"/>
      <c r="P8" s="14"/>
      <c r="Q8" s="14"/>
      <c r="R8" s="14"/>
      <c r="S8" s="14"/>
      <c r="W8" s="11">
        <v>44446</v>
      </c>
      <c r="X8" s="14"/>
      <c r="Y8" s="14"/>
      <c r="Z8" s="14"/>
      <c r="AA8" s="14"/>
      <c r="AB8" s="14"/>
      <c r="AC8" s="14"/>
      <c r="AD8" s="14"/>
      <c r="AE8" s="14"/>
      <c r="AF8" s="14"/>
      <c r="AG8" s="14"/>
      <c r="AH8" s="14"/>
      <c r="AI8" s="14"/>
      <c r="AJ8" s="14"/>
      <c r="AK8" s="14"/>
      <c r="AL8" s="14"/>
      <c r="AM8" s="14"/>
      <c r="AN8" s="14"/>
      <c r="AO8" s="14"/>
    </row>
    <row r="9">
      <c r="A9" s="11">
        <v>44447</v>
      </c>
      <c r="B9" s="5"/>
      <c r="C9" s="5"/>
      <c r="D9" s="5">
        <f>148+17</f>
        <v>165</v>
      </c>
      <c r="E9" s="5"/>
      <c r="F9" s="5">
        <f>398.27-398.27</f>
        <v>0</v>
      </c>
      <c r="G9" s="5"/>
      <c r="H9" s="5"/>
      <c r="I9" s="5"/>
      <c r="J9" s="5"/>
      <c r="K9" s="5"/>
      <c r="L9" s="5"/>
      <c r="M9" s="5"/>
      <c r="N9" s="5"/>
      <c r="O9" s="5"/>
      <c r="P9" s="5"/>
      <c r="Q9" s="5"/>
      <c r="R9" s="5"/>
      <c r="S9" s="5"/>
      <c r="W9" s="11">
        <v>44447</v>
      </c>
      <c r="X9" s="5"/>
      <c r="Y9" s="5"/>
      <c r="Z9" s="5"/>
      <c r="AA9" s="5"/>
      <c r="AB9" s="5"/>
      <c r="AC9" s="5"/>
      <c r="AD9" s="5"/>
      <c r="AE9" s="5"/>
      <c r="AF9" s="5"/>
      <c r="AG9" s="5"/>
      <c r="AH9" s="5"/>
      <c r="AI9" s="5"/>
      <c r="AJ9" s="5"/>
      <c r="AK9" s="5"/>
      <c r="AL9" s="5"/>
      <c r="AM9" s="5"/>
      <c r="AN9" s="5"/>
      <c r="AO9" s="5"/>
    </row>
    <row r="10">
      <c r="A10" s="11">
        <v>44448</v>
      </c>
      <c r="B10" s="14"/>
      <c r="C10" s="14"/>
      <c r="D10" s="14">
        <v>136</v>
      </c>
      <c r="E10" s="14"/>
      <c r="F10" s="14"/>
      <c r="G10" s="14"/>
      <c r="H10" s="14"/>
      <c r="I10" s="14"/>
      <c r="J10" s="14"/>
      <c r="K10" s="14"/>
      <c r="L10" s="14"/>
      <c r="M10" s="14">
        <v>890</v>
      </c>
      <c r="N10" s="14"/>
      <c r="O10" s="14"/>
      <c r="P10" s="14"/>
      <c r="Q10" s="14"/>
      <c r="R10" s="14"/>
      <c r="S10" s="14"/>
      <c r="W10" s="11">
        <v>44448</v>
      </c>
      <c r="X10" s="14"/>
      <c r="Y10" s="14"/>
      <c r="Z10" s="14"/>
      <c r="AA10" s="14"/>
      <c r="AB10" s="14"/>
      <c r="AC10" s="14"/>
      <c r="AD10" s="14"/>
      <c r="AE10" s="14"/>
      <c r="AF10" s="14"/>
      <c r="AG10" s="14"/>
      <c r="AH10" s="14"/>
      <c r="AI10" s="14"/>
      <c r="AJ10" s="14"/>
      <c r="AK10" s="14"/>
      <c r="AL10" s="14"/>
      <c r="AM10" s="14"/>
      <c r="AN10" s="14"/>
      <c r="AO10" s="14"/>
    </row>
    <row r="11">
      <c r="A11" s="11">
        <v>44449</v>
      </c>
      <c r="B11" s="5"/>
      <c r="C11" s="5"/>
      <c r="D11" s="5">
        <v>145</v>
      </c>
      <c r="E11" s="5"/>
      <c r="F11" s="5"/>
      <c r="G11" s="5"/>
      <c r="H11" s="5"/>
      <c r="I11" s="5"/>
      <c r="J11" s="5"/>
      <c r="K11" s="5"/>
      <c r="M11" s="5"/>
      <c r="N11" s="5"/>
      <c r="O11" s="5"/>
      <c r="P11" s="5"/>
      <c r="Q11" s="5"/>
      <c r="R11" s="5"/>
      <c r="S11" s="5"/>
      <c r="W11" s="11">
        <v>44449</v>
      </c>
      <c r="X11" s="5"/>
      <c r="Y11" s="5"/>
      <c r="Z11" s="5"/>
      <c r="AA11" s="5"/>
      <c r="AB11" s="5"/>
      <c r="AC11" s="5"/>
      <c r="AD11" s="5"/>
      <c r="AE11" s="5"/>
      <c r="AF11" s="5"/>
      <c r="AG11" s="5"/>
      <c r="AH11" s="5"/>
      <c r="AI11" s="5"/>
      <c r="AJ11" s="5"/>
      <c r="AK11" s="5"/>
      <c r="AL11" s="5"/>
      <c r="AM11" s="5"/>
      <c r="AN11" s="5"/>
      <c r="AO11" s="5"/>
    </row>
    <row r="12">
      <c r="A12" s="11">
        <v>44450</v>
      </c>
      <c r="B12" s="14"/>
      <c r="C12" s="14"/>
      <c r="D12" s="14"/>
      <c r="E12" s="14"/>
      <c r="F12" s="14"/>
      <c r="G12" s="14"/>
      <c r="H12" s="14"/>
      <c r="I12" s="14"/>
      <c r="J12" s="14">
        <v>274.69999999999999</v>
      </c>
      <c r="K12" s="14"/>
      <c r="L12" s="14"/>
      <c r="M12" s="14"/>
      <c r="N12" s="14"/>
      <c r="O12" s="14"/>
      <c r="P12" s="14"/>
      <c r="Q12" s="14"/>
      <c r="R12" s="14"/>
      <c r="S12" s="14"/>
      <c r="W12" s="11">
        <v>44450</v>
      </c>
      <c r="X12" s="14"/>
      <c r="Y12" s="14"/>
      <c r="Z12" s="14"/>
      <c r="AA12" s="14"/>
      <c r="AB12" s="14"/>
      <c r="AC12" s="14"/>
      <c r="AD12" s="14"/>
      <c r="AE12" s="14"/>
      <c r="AF12" s="14"/>
      <c r="AG12" s="14"/>
      <c r="AH12" s="14"/>
      <c r="AI12" s="14"/>
      <c r="AJ12" s="14"/>
      <c r="AK12" s="14"/>
      <c r="AL12" s="14"/>
      <c r="AM12" s="14"/>
      <c r="AN12" s="14"/>
      <c r="AO12" s="14"/>
    </row>
    <row r="13">
      <c r="A13" s="11">
        <v>44451</v>
      </c>
      <c r="B13" s="5"/>
      <c r="C13" s="5">
        <v>83.980000000000004</v>
      </c>
      <c r="D13" s="5"/>
      <c r="E13" s="5">
        <v>600</v>
      </c>
      <c r="F13" s="5"/>
      <c r="G13" s="5"/>
      <c r="H13" s="5"/>
      <c r="I13" s="5"/>
      <c r="J13" s="5"/>
      <c r="K13" s="5"/>
      <c r="L13" s="5"/>
      <c r="M13" s="5"/>
      <c r="N13" s="5"/>
      <c r="O13" s="5"/>
      <c r="P13" s="5"/>
      <c r="Q13" s="5"/>
      <c r="R13" s="5">
        <v>1450</v>
      </c>
      <c r="S13" s="5"/>
      <c r="W13" s="11">
        <v>44451</v>
      </c>
      <c r="X13" s="5"/>
      <c r="Y13" s="5"/>
      <c r="Z13" s="5"/>
      <c r="AA13" s="5"/>
      <c r="AB13" s="5"/>
      <c r="AC13" s="5"/>
      <c r="AD13" s="5"/>
      <c r="AE13" s="5"/>
      <c r="AF13" s="5"/>
      <c r="AG13" s="5"/>
      <c r="AH13" s="5"/>
      <c r="AI13" s="5"/>
      <c r="AJ13" s="5"/>
      <c r="AK13" s="5"/>
      <c r="AL13" s="5"/>
      <c r="AM13" s="5"/>
      <c r="AN13" s="5"/>
      <c r="AO13" s="5"/>
    </row>
    <row r="14">
      <c r="A14" s="11">
        <v>44452</v>
      </c>
      <c r="B14" s="14"/>
      <c r="C14" s="14"/>
      <c r="D14" s="14"/>
      <c r="E14" s="14"/>
      <c r="F14" s="14"/>
      <c r="G14" s="14"/>
      <c r="H14" s="14"/>
      <c r="I14" s="14"/>
      <c r="J14" s="14"/>
      <c r="K14" s="14"/>
      <c r="L14" s="14"/>
      <c r="M14" s="14"/>
      <c r="N14" s="14"/>
      <c r="O14" s="14"/>
      <c r="P14" s="14"/>
      <c r="Q14" s="14"/>
      <c r="R14" s="14"/>
      <c r="S14" s="14"/>
      <c r="W14" s="11">
        <v>44452</v>
      </c>
      <c r="X14" s="14"/>
      <c r="Y14" s="14"/>
      <c r="Z14" s="14"/>
      <c r="AA14" s="14"/>
      <c r="AB14" s="14"/>
      <c r="AC14" s="14"/>
      <c r="AD14" s="14"/>
      <c r="AE14" s="14"/>
      <c r="AF14" s="14"/>
      <c r="AG14" s="14"/>
      <c r="AH14" s="14"/>
      <c r="AI14" s="14"/>
      <c r="AJ14" s="14"/>
      <c r="AK14" s="14"/>
      <c r="AL14" s="14"/>
      <c r="AM14" s="14"/>
      <c r="AN14" s="14"/>
      <c r="AO14" s="14"/>
    </row>
    <row r="15">
      <c r="A15" s="11">
        <v>44453</v>
      </c>
      <c r="B15" s="5"/>
      <c r="C15" s="5"/>
      <c r="D15" s="5"/>
      <c r="E15" s="5"/>
      <c r="F15" s="5"/>
      <c r="G15" s="5"/>
      <c r="H15" s="5"/>
      <c r="I15" s="5"/>
      <c r="J15" s="5"/>
      <c r="K15" s="5"/>
      <c r="L15" s="5"/>
      <c r="M15" s="5"/>
      <c r="N15" s="5"/>
      <c r="O15" s="5"/>
      <c r="P15" s="5"/>
      <c r="Q15" s="5"/>
      <c r="R15" s="5"/>
      <c r="S15" s="5"/>
      <c r="W15" s="11">
        <v>44453</v>
      </c>
      <c r="X15" s="5"/>
      <c r="Y15" s="5"/>
      <c r="Z15" s="5"/>
      <c r="AA15" s="5"/>
      <c r="AB15" s="5"/>
      <c r="AC15" s="5"/>
      <c r="AD15" s="5"/>
      <c r="AE15" s="5"/>
      <c r="AF15" s="5"/>
      <c r="AG15" s="5"/>
      <c r="AH15" s="5"/>
      <c r="AI15" s="5"/>
      <c r="AJ15" s="5"/>
      <c r="AK15" s="5"/>
      <c r="AL15" s="5"/>
      <c r="AM15" s="5"/>
      <c r="AN15" s="5"/>
      <c r="AO15" s="5"/>
    </row>
    <row r="16">
      <c r="A16" s="11">
        <v>44454</v>
      </c>
      <c r="B16" s="14"/>
      <c r="C16" s="14">
        <v>59.979999999999997</v>
      </c>
      <c r="D16" s="14"/>
      <c r="E16" s="14"/>
      <c r="F16" s="14"/>
      <c r="G16" s="14"/>
      <c r="H16" s="14"/>
      <c r="I16" s="14"/>
      <c r="J16" s="14"/>
      <c r="K16" s="14"/>
      <c r="L16" s="14"/>
      <c r="M16" s="14"/>
      <c r="N16" s="14"/>
      <c r="O16" s="14"/>
      <c r="P16" s="14"/>
      <c r="Q16" s="14"/>
      <c r="R16" s="14"/>
      <c r="S16" s="14"/>
      <c r="W16" s="11">
        <v>44454</v>
      </c>
      <c r="X16" s="14"/>
      <c r="Y16" s="14"/>
      <c r="Z16" s="14"/>
      <c r="AA16" s="14"/>
      <c r="AB16" s="14"/>
      <c r="AC16" s="14"/>
      <c r="AD16" s="14"/>
      <c r="AE16" s="14"/>
      <c r="AF16" s="14"/>
      <c r="AG16" s="14"/>
      <c r="AH16" s="14"/>
      <c r="AI16" s="14"/>
      <c r="AJ16" s="14"/>
      <c r="AK16" s="14"/>
      <c r="AL16" s="14"/>
      <c r="AM16" s="14"/>
      <c r="AN16" s="14"/>
      <c r="AO16" s="14"/>
    </row>
    <row r="17">
      <c r="A17" s="11">
        <v>44455</v>
      </c>
      <c r="B17" s="5"/>
      <c r="C17" s="5"/>
      <c r="D17" s="5"/>
      <c r="E17" s="5"/>
      <c r="F17" s="5"/>
      <c r="G17" s="5"/>
      <c r="H17" s="5"/>
      <c r="I17" s="5"/>
      <c r="J17" s="5"/>
      <c r="K17" s="5"/>
      <c r="L17" s="5"/>
      <c r="M17" s="5"/>
      <c r="N17" s="5"/>
      <c r="O17" s="5"/>
      <c r="P17" s="5"/>
      <c r="Q17" s="5"/>
      <c r="R17" s="5"/>
      <c r="S17" s="5"/>
      <c r="W17" s="11">
        <v>44455</v>
      </c>
      <c r="X17" s="5"/>
      <c r="Y17" s="5"/>
      <c r="Z17" s="5"/>
      <c r="AA17" s="5"/>
      <c r="AB17" s="5"/>
      <c r="AC17" s="5"/>
      <c r="AD17" s="5"/>
      <c r="AE17" s="5"/>
      <c r="AF17" s="5"/>
      <c r="AG17" s="5"/>
      <c r="AH17" s="5"/>
      <c r="AI17" s="5"/>
      <c r="AJ17" s="5"/>
      <c r="AK17" s="5"/>
      <c r="AL17" s="5"/>
      <c r="AM17" s="5"/>
      <c r="AN17" s="5"/>
      <c r="AO17" s="5"/>
    </row>
    <row r="18">
      <c r="A18" s="11">
        <v>44456</v>
      </c>
      <c r="B18" s="14"/>
      <c r="C18" s="14"/>
      <c r="D18" s="14"/>
      <c r="E18" s="14"/>
      <c r="F18" s="14"/>
      <c r="G18" s="14"/>
      <c r="H18" s="14"/>
      <c r="I18" s="14"/>
      <c r="J18" s="14"/>
      <c r="K18" s="14"/>
      <c r="L18" s="14"/>
      <c r="M18" s="14"/>
      <c r="N18" s="14"/>
      <c r="O18" s="14"/>
      <c r="P18" s="14"/>
      <c r="Q18" s="14"/>
      <c r="R18" s="14"/>
      <c r="S18" s="14"/>
      <c r="W18" s="11">
        <v>44456</v>
      </c>
      <c r="X18" s="14"/>
      <c r="Y18" s="14"/>
      <c r="Z18" s="14"/>
      <c r="AA18" s="14"/>
      <c r="AB18" s="14"/>
      <c r="AC18" s="14"/>
      <c r="AD18" s="14"/>
      <c r="AE18" s="14"/>
      <c r="AF18" s="14"/>
      <c r="AG18" s="14"/>
      <c r="AH18" s="14"/>
      <c r="AI18" s="14"/>
      <c r="AJ18" s="14"/>
      <c r="AK18" s="14"/>
      <c r="AL18" s="14"/>
      <c r="AM18" s="14"/>
      <c r="AN18" s="14"/>
      <c r="AO18" s="14"/>
    </row>
    <row r="19">
      <c r="A19" s="11">
        <v>44457</v>
      </c>
      <c r="B19" s="5"/>
      <c r="C19" s="5"/>
      <c r="D19" s="5"/>
      <c r="E19" s="5"/>
      <c r="F19" s="5"/>
      <c r="G19" s="5"/>
      <c r="H19" s="5"/>
      <c r="I19" s="5"/>
      <c r="J19" s="5"/>
      <c r="K19" s="5"/>
      <c r="L19" s="5"/>
      <c r="M19" s="5"/>
      <c r="N19" s="5"/>
      <c r="O19" s="5"/>
      <c r="P19" s="5"/>
      <c r="Q19" s="5"/>
      <c r="R19" s="5"/>
      <c r="S19" s="5"/>
      <c r="W19" s="11">
        <v>44457</v>
      </c>
      <c r="X19" s="5"/>
      <c r="Y19" s="5"/>
      <c r="Z19" s="5"/>
      <c r="AA19" s="5"/>
      <c r="AB19" s="5"/>
      <c r="AC19" s="5"/>
      <c r="AD19" s="5"/>
      <c r="AE19" s="5"/>
      <c r="AF19" s="5"/>
      <c r="AG19" s="5"/>
      <c r="AH19" s="5"/>
      <c r="AI19" s="5"/>
      <c r="AJ19" s="5"/>
      <c r="AK19" s="5"/>
      <c r="AL19" s="5"/>
      <c r="AM19" s="5"/>
      <c r="AN19" s="5"/>
      <c r="AO19" s="5"/>
    </row>
    <row r="20">
      <c r="A20" s="11">
        <v>44458</v>
      </c>
      <c r="B20" s="14"/>
      <c r="C20" s="14"/>
      <c r="D20" s="14"/>
      <c r="E20" s="14"/>
      <c r="F20" s="14"/>
      <c r="G20" s="14"/>
      <c r="H20" s="14"/>
      <c r="I20" s="14"/>
      <c r="J20" s="14"/>
      <c r="K20" s="14"/>
      <c r="L20" s="14"/>
      <c r="M20" s="14"/>
      <c r="N20" s="14"/>
      <c r="O20" s="14"/>
      <c r="P20" s="34"/>
      <c r="Q20" s="14"/>
      <c r="R20" s="14"/>
      <c r="S20" s="14"/>
      <c r="W20" s="11">
        <v>44458</v>
      </c>
      <c r="X20" s="14"/>
      <c r="Y20" s="14"/>
      <c r="Z20" s="14"/>
      <c r="AA20" s="14"/>
      <c r="AB20" s="14"/>
      <c r="AC20" s="14"/>
      <c r="AD20" s="14"/>
      <c r="AE20" s="14"/>
      <c r="AF20" s="14"/>
      <c r="AG20" s="14"/>
      <c r="AH20" s="14"/>
      <c r="AI20" s="14"/>
      <c r="AJ20" s="14"/>
      <c r="AK20" s="14"/>
      <c r="AL20" s="34"/>
      <c r="AM20" s="14"/>
      <c r="AN20" s="14"/>
      <c r="AO20" s="14"/>
    </row>
    <row r="21">
      <c r="A21" s="11">
        <v>44459</v>
      </c>
      <c r="B21" s="69">
        <v>289</v>
      </c>
      <c r="C21" s="5"/>
      <c r="D21" s="5"/>
      <c r="E21" s="5"/>
      <c r="F21" s="5"/>
      <c r="G21" s="5"/>
      <c r="H21" s="5"/>
      <c r="I21" s="5"/>
      <c r="J21" s="5"/>
      <c r="K21" s="5"/>
      <c r="L21" s="5"/>
      <c r="M21" s="5"/>
      <c r="N21" s="5"/>
      <c r="O21" s="5"/>
      <c r="P21" s="5"/>
      <c r="Q21" s="5"/>
      <c r="R21" s="5"/>
      <c r="S21" s="5"/>
      <c r="W21" s="11">
        <v>44459</v>
      </c>
      <c r="X21" s="69"/>
      <c r="Y21" s="5"/>
      <c r="Z21" s="5"/>
      <c r="AA21" s="5"/>
      <c r="AB21" s="5"/>
      <c r="AC21" s="5"/>
      <c r="AD21" s="5"/>
      <c r="AE21" s="5"/>
      <c r="AF21" s="5"/>
      <c r="AG21" s="5"/>
      <c r="AH21" s="5"/>
      <c r="AI21" s="5"/>
      <c r="AJ21" s="5"/>
      <c r="AK21" s="5"/>
      <c r="AL21" s="5"/>
      <c r="AM21" s="5"/>
      <c r="AN21" s="5"/>
      <c r="AO21" s="5"/>
    </row>
    <row r="22">
      <c r="A22" s="11">
        <v>44460</v>
      </c>
      <c r="B22" s="22"/>
      <c r="C22" s="14"/>
      <c r="D22" s="14"/>
      <c r="E22" s="14"/>
      <c r="F22" s="14"/>
      <c r="G22" s="14"/>
      <c r="H22" s="14"/>
      <c r="I22" s="14"/>
      <c r="J22" s="14"/>
      <c r="K22" s="14"/>
      <c r="L22" s="14"/>
      <c r="M22" s="14"/>
      <c r="N22" s="14"/>
      <c r="O22" s="14"/>
      <c r="P22" s="14"/>
      <c r="Q22" s="14"/>
      <c r="R22" s="14"/>
      <c r="S22" s="14"/>
      <c r="W22" s="11">
        <v>44460</v>
      </c>
      <c r="X22" s="22"/>
      <c r="Y22" s="14"/>
      <c r="Z22" s="14"/>
      <c r="AA22" s="14"/>
      <c r="AB22" s="14"/>
      <c r="AC22" s="14"/>
      <c r="AD22" s="14"/>
      <c r="AE22" s="14"/>
      <c r="AF22" s="14"/>
      <c r="AG22" s="14"/>
      <c r="AH22" s="14"/>
      <c r="AI22" s="14"/>
      <c r="AJ22" s="14"/>
      <c r="AK22" s="14"/>
      <c r="AL22" s="14"/>
      <c r="AM22" s="14"/>
      <c r="AN22" s="14"/>
      <c r="AO22" s="14"/>
    </row>
    <row r="23">
      <c r="A23" s="11">
        <v>44461</v>
      </c>
      <c r="B23" s="5"/>
      <c r="C23" s="5"/>
      <c r="D23" s="5"/>
      <c r="E23" s="5"/>
      <c r="F23" s="5"/>
      <c r="G23" s="5"/>
      <c r="H23" s="5"/>
      <c r="I23" s="5"/>
      <c r="J23" s="5"/>
      <c r="K23" s="5"/>
      <c r="L23" s="5"/>
      <c r="M23" s="5"/>
      <c r="N23" s="5"/>
      <c r="O23" s="5"/>
      <c r="P23" s="5"/>
      <c r="Q23" s="5"/>
      <c r="R23" s="5"/>
      <c r="S23" s="5"/>
      <c r="W23" s="11">
        <v>44461</v>
      </c>
      <c r="X23" s="5"/>
      <c r="Y23" s="5"/>
      <c r="Z23" s="5"/>
      <c r="AA23" s="5"/>
      <c r="AB23" s="5"/>
      <c r="AC23" s="5"/>
      <c r="AD23" s="5"/>
      <c r="AE23" s="5"/>
      <c r="AF23" s="5"/>
      <c r="AG23" s="5"/>
      <c r="AH23" s="5"/>
      <c r="AI23" s="5"/>
      <c r="AJ23" s="5"/>
      <c r="AK23" s="5"/>
      <c r="AL23" s="5"/>
      <c r="AM23" s="5"/>
      <c r="AN23" s="5"/>
      <c r="AO23" s="5"/>
    </row>
    <row r="24">
      <c r="A24" s="11">
        <v>44462</v>
      </c>
      <c r="B24" s="14"/>
      <c r="C24" s="14"/>
      <c r="D24" s="14"/>
      <c r="E24" s="14"/>
      <c r="F24" s="14"/>
      <c r="G24" s="14"/>
      <c r="H24" s="14"/>
      <c r="I24" s="14"/>
      <c r="J24" s="14"/>
      <c r="K24" s="14"/>
      <c r="L24" s="14"/>
      <c r="M24" s="14"/>
      <c r="N24" s="14"/>
      <c r="O24" s="14"/>
      <c r="P24" s="14"/>
      <c r="Q24" s="14"/>
      <c r="R24" s="14"/>
      <c r="S24" s="14"/>
      <c r="W24" s="11">
        <v>44462</v>
      </c>
      <c r="X24" s="14"/>
      <c r="Y24" s="14"/>
      <c r="Z24" s="14"/>
      <c r="AA24" s="14"/>
      <c r="AB24" s="14"/>
      <c r="AC24" s="14"/>
      <c r="AD24" s="14"/>
      <c r="AE24" s="14"/>
      <c r="AF24" s="14"/>
      <c r="AG24" s="14"/>
      <c r="AH24" s="14"/>
      <c r="AI24" s="14"/>
      <c r="AJ24" s="14"/>
      <c r="AK24" s="14"/>
      <c r="AL24" s="14"/>
      <c r="AM24" s="14"/>
      <c r="AN24" s="14"/>
      <c r="AO24" s="14"/>
    </row>
    <row r="25">
      <c r="A25" s="11">
        <v>44463</v>
      </c>
      <c r="B25" s="28"/>
      <c r="C25" s="5"/>
      <c r="D25" s="5"/>
      <c r="E25" s="5"/>
      <c r="F25" s="5"/>
      <c r="G25" s="5"/>
      <c r="H25" s="5"/>
      <c r="I25" s="5"/>
      <c r="J25" s="5"/>
      <c r="K25" s="5"/>
      <c r="L25" s="5"/>
      <c r="M25" s="5"/>
      <c r="N25" s="5"/>
      <c r="O25" s="5"/>
      <c r="P25" s="5"/>
      <c r="Q25" s="5"/>
      <c r="R25" s="5"/>
      <c r="S25" s="5"/>
      <c r="W25" s="11">
        <v>44463</v>
      </c>
      <c r="X25" s="28"/>
      <c r="Y25" s="5"/>
      <c r="Z25" s="5"/>
      <c r="AA25" s="5"/>
      <c r="AB25" s="5"/>
      <c r="AC25" s="5"/>
      <c r="AD25" s="5"/>
      <c r="AE25" s="5"/>
      <c r="AF25" s="5"/>
      <c r="AG25" s="5"/>
      <c r="AH25" s="5"/>
      <c r="AI25" s="5"/>
      <c r="AJ25" s="5"/>
      <c r="AK25" s="5"/>
      <c r="AL25" s="5"/>
      <c r="AM25" s="5"/>
      <c r="AN25" s="5"/>
      <c r="AO25" s="5"/>
    </row>
    <row r="26">
      <c r="A26" s="11">
        <v>44464</v>
      </c>
      <c r="B26" s="14"/>
      <c r="C26" s="14"/>
      <c r="D26" s="14"/>
      <c r="E26" s="14"/>
      <c r="F26" s="14"/>
      <c r="G26" s="14"/>
      <c r="H26" s="14"/>
      <c r="I26" s="14"/>
      <c r="J26" s="14"/>
      <c r="K26" s="14"/>
      <c r="L26" s="14"/>
      <c r="M26" s="14"/>
      <c r="N26" s="14"/>
      <c r="O26" s="14"/>
      <c r="P26" s="14"/>
      <c r="Q26" s="14"/>
      <c r="R26" s="14"/>
      <c r="S26" s="14"/>
      <c r="W26" s="11">
        <v>44464</v>
      </c>
      <c r="X26" s="14"/>
      <c r="Y26" s="14"/>
      <c r="Z26" s="14"/>
      <c r="AA26" s="14"/>
      <c r="AB26" s="14"/>
      <c r="AC26" s="14"/>
      <c r="AD26" s="14"/>
      <c r="AE26" s="14"/>
      <c r="AF26" s="14"/>
      <c r="AG26" s="14"/>
      <c r="AH26" s="14"/>
      <c r="AI26" s="14"/>
      <c r="AJ26" s="14"/>
      <c r="AK26" s="14"/>
      <c r="AL26" s="14"/>
      <c r="AM26" s="14"/>
      <c r="AN26" s="14"/>
      <c r="AO26" s="14"/>
    </row>
    <row r="27">
      <c r="A27" s="11">
        <v>44465</v>
      </c>
      <c r="B27" s="5"/>
      <c r="C27" s="5"/>
      <c r="D27" s="5"/>
      <c r="E27" s="5"/>
      <c r="F27" s="5"/>
      <c r="G27" s="5"/>
      <c r="H27" s="5"/>
      <c r="I27" s="5"/>
      <c r="J27" s="5"/>
      <c r="K27" s="5"/>
      <c r="L27" s="5"/>
      <c r="M27" s="5"/>
      <c r="N27" s="5"/>
      <c r="O27" s="5"/>
      <c r="P27" s="5"/>
      <c r="Q27" s="5">
        <v>199</v>
      </c>
      <c r="R27" s="5"/>
      <c r="S27" s="5"/>
      <c r="W27" s="11">
        <v>44465</v>
      </c>
      <c r="X27" s="5"/>
      <c r="Y27" s="5"/>
      <c r="Z27" s="5"/>
      <c r="AA27" s="5"/>
      <c r="AB27" s="5"/>
      <c r="AC27" s="5"/>
      <c r="AD27" s="5"/>
      <c r="AE27" s="5"/>
      <c r="AF27" s="5"/>
      <c r="AG27" s="5"/>
      <c r="AH27" s="5"/>
      <c r="AI27" s="5"/>
      <c r="AJ27" s="5"/>
      <c r="AK27" s="5"/>
      <c r="AL27" s="5"/>
      <c r="AM27" s="5"/>
      <c r="AN27" s="5"/>
      <c r="AO27" s="5"/>
    </row>
    <row r="28">
      <c r="A28" s="11">
        <v>44466</v>
      </c>
      <c r="B28" s="14"/>
      <c r="C28" s="14"/>
      <c r="D28" s="14"/>
      <c r="E28" s="14"/>
      <c r="F28" s="14"/>
      <c r="G28" s="14"/>
      <c r="H28" s="14"/>
      <c r="I28" s="14"/>
      <c r="J28" s="14"/>
      <c r="K28" s="14"/>
      <c r="L28" s="14"/>
      <c r="M28" s="14"/>
      <c r="N28" s="14"/>
      <c r="O28" s="14"/>
      <c r="P28" s="14"/>
      <c r="Q28" s="14"/>
      <c r="R28" s="14"/>
      <c r="S28" s="14"/>
      <c r="W28" s="11">
        <v>44466</v>
      </c>
      <c r="X28" s="14"/>
      <c r="Y28" s="14"/>
      <c r="Z28" s="14"/>
      <c r="AA28" s="14"/>
      <c r="AB28" s="14"/>
      <c r="AC28" s="14"/>
      <c r="AD28" s="14"/>
      <c r="AE28" s="14"/>
      <c r="AF28" s="14"/>
      <c r="AG28" s="14"/>
      <c r="AH28" s="14"/>
      <c r="AI28" s="14"/>
      <c r="AJ28" s="14"/>
      <c r="AK28" s="14"/>
      <c r="AL28" s="14"/>
      <c r="AM28" s="14"/>
      <c r="AN28" s="14"/>
      <c r="AO28" s="14"/>
    </row>
    <row r="29">
      <c r="A29" s="11">
        <v>44467</v>
      </c>
      <c r="B29" s="5"/>
      <c r="C29" s="5">
        <v>585.21000000000004</v>
      </c>
      <c r="D29" s="5"/>
      <c r="E29" s="5">
        <v>415</v>
      </c>
      <c r="F29" s="5"/>
      <c r="G29" s="5">
        <v>199</v>
      </c>
      <c r="H29" s="5"/>
      <c r="I29" s="5"/>
      <c r="J29" s="5"/>
      <c r="K29" s="5"/>
      <c r="L29" s="5"/>
      <c r="M29" s="5"/>
      <c r="N29" s="5"/>
      <c r="O29" s="5"/>
      <c r="P29" s="5"/>
      <c r="Q29" s="5">
        <v>480</v>
      </c>
      <c r="R29" s="5"/>
      <c r="S29" s="5"/>
      <c r="W29" s="11">
        <v>44467</v>
      </c>
      <c r="X29" s="5"/>
      <c r="Y29" s="5"/>
      <c r="Z29" s="5"/>
      <c r="AA29" s="5"/>
      <c r="AB29" s="5"/>
      <c r="AC29" s="5"/>
      <c r="AD29" s="5"/>
      <c r="AE29" s="5"/>
      <c r="AF29" s="5"/>
      <c r="AG29" s="5"/>
      <c r="AH29" s="5"/>
      <c r="AI29" s="5"/>
      <c r="AJ29" s="5"/>
      <c r="AK29" s="5"/>
      <c r="AL29" s="5"/>
      <c r="AM29" s="5"/>
      <c r="AN29" s="5"/>
      <c r="AO29" s="5"/>
    </row>
    <row r="30">
      <c r="A30" s="11">
        <v>44468</v>
      </c>
      <c r="B30" s="22">
        <v>562</v>
      </c>
      <c r="C30" s="22">
        <v>597.74000000000001</v>
      </c>
      <c r="D30" s="22"/>
      <c r="E30" s="22"/>
      <c r="F30" s="22"/>
      <c r="G30" s="22"/>
      <c r="H30" s="22"/>
      <c r="I30" s="22"/>
      <c r="J30" s="22"/>
      <c r="K30" s="22"/>
      <c r="L30" s="22"/>
      <c r="M30" s="22"/>
      <c r="N30" s="22"/>
      <c r="O30" s="22"/>
      <c r="P30" s="22"/>
      <c r="Q30" s="22"/>
      <c r="R30" s="22"/>
      <c r="S30" s="22"/>
      <c r="W30" s="11">
        <v>44468</v>
      </c>
      <c r="X30" s="22"/>
      <c r="Y30" s="22"/>
      <c r="Z30" s="22"/>
      <c r="AA30" s="22"/>
      <c r="AB30" s="22"/>
      <c r="AC30" s="22"/>
      <c r="AD30" s="22"/>
      <c r="AE30" s="22"/>
      <c r="AF30" s="22"/>
      <c r="AG30" s="22"/>
      <c r="AH30" s="22"/>
      <c r="AI30" s="22"/>
      <c r="AJ30" s="22"/>
      <c r="AK30" s="22"/>
      <c r="AL30" s="22"/>
      <c r="AM30" s="22"/>
      <c r="AN30" s="22"/>
      <c r="AO30" s="22"/>
    </row>
    <row r="31">
      <c r="A31" s="11">
        <v>44469</v>
      </c>
      <c r="B31" s="5"/>
      <c r="C31" s="5"/>
      <c r="D31" s="5"/>
      <c r="E31" s="5"/>
      <c r="F31" s="5"/>
      <c r="G31" s="5"/>
      <c r="H31" s="5"/>
      <c r="I31" s="5"/>
      <c r="J31" s="5"/>
      <c r="K31" s="5"/>
      <c r="L31" s="5">
        <v>2313.2399999999998</v>
      </c>
      <c r="M31" s="5"/>
      <c r="N31" s="5"/>
      <c r="O31" s="5"/>
      <c r="P31" s="5"/>
      <c r="Q31" s="5"/>
      <c r="R31" s="5"/>
      <c r="S31" s="5"/>
      <c r="W31" s="11">
        <v>44469</v>
      </c>
      <c r="X31" s="5"/>
      <c r="Y31" s="5"/>
      <c r="Z31" s="5"/>
      <c r="AA31" s="5"/>
      <c r="AB31" s="5"/>
      <c r="AC31" s="5"/>
      <c r="AD31" s="5"/>
      <c r="AE31" s="5"/>
      <c r="AF31" s="5"/>
      <c r="AG31" s="5"/>
      <c r="AH31" s="5"/>
      <c r="AI31" s="5"/>
      <c r="AJ31" s="5"/>
      <c r="AK31" s="5"/>
      <c r="AL31" s="5"/>
      <c r="AM31" s="5"/>
      <c r="AN31" s="5"/>
      <c r="AO31" s="5"/>
    </row>
    <row r="32">
      <c r="A32" s="11"/>
      <c r="B32" s="22"/>
      <c r="C32" s="22"/>
      <c r="D32" s="22"/>
      <c r="E32" s="22"/>
      <c r="F32" s="22"/>
      <c r="G32" s="22"/>
      <c r="H32" s="22"/>
      <c r="I32" s="22"/>
      <c r="J32" s="22"/>
      <c r="K32" s="22"/>
      <c r="L32" s="22"/>
      <c r="M32" s="22"/>
      <c r="N32" s="22"/>
      <c r="O32" s="22"/>
      <c r="P32" s="22"/>
      <c r="Q32" s="22"/>
      <c r="R32" s="22"/>
      <c r="S32" s="22"/>
      <c r="W32" s="11"/>
      <c r="X32" s="22"/>
      <c r="Y32" s="22"/>
      <c r="Z32" s="22"/>
      <c r="AA32" s="22"/>
      <c r="AB32" s="22"/>
      <c r="AC32" s="22"/>
      <c r="AD32" s="22"/>
      <c r="AE32" s="22"/>
      <c r="AF32" s="22"/>
      <c r="AG32" s="22"/>
      <c r="AH32" s="22"/>
      <c r="AI32" s="22"/>
      <c r="AJ32" s="22"/>
      <c r="AK32" s="22"/>
      <c r="AL32" s="22"/>
      <c r="AM32" s="22"/>
      <c r="AN32" s="22"/>
      <c r="AO32" s="22"/>
    </row>
    <row r="33">
      <c r="A33" s="74"/>
      <c r="B33" s="75">
        <f>SUM(B2:B32)</f>
        <v>851</v>
      </c>
      <c r="C33" s="75">
        <f>SUM(C2:C32)</f>
        <v>2249.4200000000001</v>
      </c>
      <c r="D33" s="75">
        <f>SUM(D2:D32)</f>
        <v>1248.52</v>
      </c>
      <c r="E33" s="75">
        <f>SUM(E2:E32)</f>
        <v>2020</v>
      </c>
      <c r="F33" s="75">
        <f t="shared" ref="F33:R33" si="79">SUM(F2:F32)</f>
        <v>0</v>
      </c>
      <c r="G33" s="75">
        <f t="shared" si="79"/>
        <v>199</v>
      </c>
      <c r="H33" s="75">
        <f t="shared" si="79"/>
        <v>0</v>
      </c>
      <c r="I33" s="75">
        <f t="shared" si="79"/>
        <v>0</v>
      </c>
      <c r="J33" s="75">
        <f t="shared" si="79"/>
        <v>274.69999999999999</v>
      </c>
      <c r="K33" s="75">
        <f t="shared" si="79"/>
        <v>0</v>
      </c>
      <c r="L33" s="75">
        <f t="shared" si="79"/>
        <v>2313.2399999999998</v>
      </c>
      <c r="M33" s="75">
        <f t="shared" si="79"/>
        <v>890</v>
      </c>
      <c r="N33" s="75">
        <f t="shared" si="79"/>
        <v>600</v>
      </c>
      <c r="O33" s="75">
        <f t="shared" si="79"/>
        <v>0</v>
      </c>
      <c r="P33" s="75">
        <f t="shared" si="79"/>
        <v>0</v>
      </c>
      <c r="Q33" s="75">
        <f t="shared" si="79"/>
        <v>679</v>
      </c>
      <c r="R33" s="75">
        <f t="shared" si="79"/>
        <v>1450</v>
      </c>
      <c r="S33" s="75">
        <f>SUM(B33:R33)</f>
        <v>12774.880000000001</v>
      </c>
      <c r="W33" s="74"/>
      <c r="X33" s="75">
        <f t="shared" ref="X33:AN33" si="80">SUM(X2:X32)</f>
        <v>0</v>
      </c>
      <c r="Y33" s="75">
        <f t="shared" si="80"/>
        <v>0</v>
      </c>
      <c r="Z33" s="75">
        <f t="shared" si="80"/>
        <v>0</v>
      </c>
      <c r="AA33" s="75">
        <f t="shared" si="80"/>
        <v>0</v>
      </c>
      <c r="AB33" s="75">
        <f t="shared" si="80"/>
        <v>0</v>
      </c>
      <c r="AC33" s="75">
        <f t="shared" si="80"/>
        <v>0</v>
      </c>
      <c r="AD33" s="75">
        <f t="shared" si="80"/>
        <v>0</v>
      </c>
      <c r="AE33" s="75">
        <f t="shared" si="80"/>
        <v>0</v>
      </c>
      <c r="AF33" s="75">
        <f t="shared" si="80"/>
        <v>0</v>
      </c>
      <c r="AG33" s="75">
        <f t="shared" si="80"/>
        <v>0</v>
      </c>
      <c r="AH33" s="75">
        <f t="shared" si="80"/>
        <v>0</v>
      </c>
      <c r="AI33" s="75">
        <f t="shared" si="80"/>
        <v>0</v>
      </c>
      <c r="AJ33" s="75">
        <f t="shared" si="80"/>
        <v>0</v>
      </c>
      <c r="AK33" s="75">
        <f t="shared" si="80"/>
        <v>0</v>
      </c>
      <c r="AL33" s="75">
        <f t="shared" si="80"/>
        <v>0</v>
      </c>
      <c r="AM33" s="75">
        <f t="shared" si="80"/>
        <v>0</v>
      </c>
      <c r="AN33" s="75">
        <f t="shared" si="80"/>
        <v>0</v>
      </c>
      <c r="AO33" s="75">
        <f>SUM(X33:AN33)</f>
        <v>0</v>
      </c>
    </row>
    <row r="34">
      <c r="A34" s="9"/>
      <c r="B34" s="9"/>
      <c r="C34" s="9"/>
      <c r="D34" s="9"/>
      <c r="E34" s="9"/>
      <c r="F34" s="9"/>
      <c r="G34" s="9"/>
      <c r="H34" s="9"/>
      <c r="I34" s="9"/>
      <c r="J34" s="9"/>
      <c r="K34" s="9"/>
      <c r="L34" s="9"/>
      <c r="M34" s="9"/>
      <c r="N34" s="9"/>
      <c r="O34" s="9"/>
      <c r="P34" s="9"/>
      <c r="Q34" s="9"/>
      <c r="R34" s="9"/>
      <c r="S34" s="9"/>
      <c r="W34" s="9"/>
      <c r="X34" s="9"/>
      <c r="Y34" s="9"/>
      <c r="Z34" s="9"/>
      <c r="AA34" s="9"/>
      <c r="AB34" s="9"/>
      <c r="AC34" s="9"/>
      <c r="AD34" s="9"/>
      <c r="AE34" s="9"/>
      <c r="AF34" s="9"/>
      <c r="AG34" s="9"/>
      <c r="AH34" s="9"/>
      <c r="AI34" s="9"/>
      <c r="AJ34" s="9"/>
      <c r="AK34" s="9"/>
      <c r="AL34" s="9"/>
      <c r="AM34" s="9"/>
      <c r="AN34" s="9"/>
      <c r="AO34" s="9"/>
    </row>
    <row r="35">
      <c r="A35" s="76" t="s">
        <v>0</v>
      </c>
      <c r="B35" s="76" t="s">
        <v>50</v>
      </c>
      <c r="C35" s="76" t="s">
        <v>13</v>
      </c>
      <c r="D35" s="76" t="s">
        <v>11</v>
      </c>
      <c r="E35" s="76" t="s">
        <v>51</v>
      </c>
      <c r="F35" s="76" t="s">
        <v>52</v>
      </c>
      <c r="G35" s="76" t="s">
        <v>53</v>
      </c>
      <c r="H35" s="76" t="s">
        <v>54</v>
      </c>
      <c r="I35" s="76" t="s">
        <v>55</v>
      </c>
      <c r="J35" s="77" t="s">
        <v>61</v>
      </c>
      <c r="K35" s="77" t="s">
        <v>74</v>
      </c>
      <c r="L35" s="78"/>
      <c r="M35" s="78"/>
      <c r="N35" s="78"/>
      <c r="O35" s="78"/>
      <c r="P35" s="78"/>
      <c r="Q35" s="78"/>
      <c r="R35" s="78"/>
      <c r="S35" s="78"/>
      <c r="W35" s="76" t="s">
        <v>0</v>
      </c>
      <c r="X35" s="76" t="s">
        <v>50</v>
      </c>
      <c r="Y35" s="76" t="s">
        <v>13</v>
      </c>
      <c r="Z35" s="76" t="s">
        <v>11</v>
      </c>
      <c r="AA35" s="76" t="s">
        <v>51</v>
      </c>
      <c r="AB35" s="76" t="s">
        <v>52</v>
      </c>
      <c r="AC35" s="76" t="s">
        <v>53</v>
      </c>
      <c r="AD35" s="76" t="s">
        <v>54</v>
      </c>
      <c r="AE35" s="76" t="s">
        <v>55</v>
      </c>
      <c r="AF35" s="77" t="s">
        <v>61</v>
      </c>
      <c r="AG35" s="77" t="s">
        <v>74</v>
      </c>
      <c r="AH35" s="78"/>
      <c r="AI35" s="78"/>
      <c r="AJ35" s="78"/>
      <c r="AK35" s="78"/>
      <c r="AL35" s="78"/>
      <c r="AM35" s="78"/>
      <c r="AN35" s="78"/>
      <c r="AO35" s="78"/>
    </row>
    <row r="36">
      <c r="A36" s="11">
        <v>44440</v>
      </c>
      <c r="B36" s="14"/>
      <c r="C36" s="14"/>
      <c r="D36" s="14"/>
      <c r="E36" s="14"/>
      <c r="F36" s="14"/>
      <c r="G36" s="14"/>
      <c r="H36" s="14"/>
      <c r="I36" s="14"/>
      <c r="J36" s="22"/>
      <c r="K36" s="22"/>
      <c r="L36" s="22"/>
      <c r="M36" s="22"/>
      <c r="N36" s="22"/>
      <c r="O36" s="22"/>
      <c r="P36" s="22"/>
      <c r="Q36" s="22"/>
      <c r="R36" s="22"/>
      <c r="S36" s="22"/>
      <c r="W36" s="11">
        <v>44440</v>
      </c>
      <c r="X36" s="14"/>
      <c r="Y36" s="14"/>
      <c r="Z36" s="14"/>
      <c r="AA36" s="14"/>
      <c r="AB36" s="14"/>
      <c r="AC36" s="14"/>
      <c r="AD36" s="14"/>
      <c r="AE36" s="14"/>
      <c r="AF36" s="22"/>
      <c r="AG36" s="22"/>
      <c r="AH36" s="22"/>
      <c r="AI36" s="22"/>
      <c r="AJ36" s="22"/>
      <c r="AK36" s="22"/>
      <c r="AL36" s="22"/>
      <c r="AM36" s="22"/>
      <c r="AN36" s="22"/>
      <c r="AO36" s="22"/>
    </row>
    <row r="37">
      <c r="A37" s="11">
        <v>44441</v>
      </c>
      <c r="B37" s="5"/>
      <c r="C37" s="5"/>
      <c r="D37" s="5"/>
      <c r="E37" s="5"/>
      <c r="F37" s="5"/>
      <c r="G37" s="5"/>
      <c r="H37" s="5"/>
      <c r="I37" s="5"/>
      <c r="J37" s="5"/>
      <c r="K37" s="5"/>
      <c r="L37" s="5"/>
      <c r="M37" s="5"/>
      <c r="N37" s="5"/>
      <c r="O37" s="5"/>
      <c r="P37" s="5"/>
      <c r="Q37" s="5"/>
      <c r="R37" s="5"/>
      <c r="S37" s="5"/>
      <c r="W37" s="11">
        <v>44441</v>
      </c>
      <c r="X37" s="5"/>
      <c r="Y37" s="5"/>
      <c r="Z37" s="5"/>
      <c r="AA37" s="5"/>
      <c r="AB37" s="5"/>
      <c r="AC37" s="5"/>
      <c r="AD37" s="5"/>
      <c r="AE37" s="5"/>
      <c r="AF37" s="5"/>
      <c r="AG37" s="5"/>
      <c r="AH37" s="5"/>
      <c r="AI37" s="5"/>
      <c r="AJ37" s="5"/>
      <c r="AK37" s="5"/>
      <c r="AL37" s="5"/>
      <c r="AM37" s="5"/>
      <c r="AN37" s="5"/>
      <c r="AO37" s="5"/>
    </row>
    <row r="38">
      <c r="A38" s="11">
        <v>44442</v>
      </c>
      <c r="B38" s="14"/>
      <c r="C38" s="14"/>
      <c r="D38" s="14"/>
      <c r="E38" s="14"/>
      <c r="F38" s="14"/>
      <c r="G38" s="14"/>
      <c r="H38" s="14"/>
      <c r="I38" s="14"/>
      <c r="J38" s="22"/>
      <c r="K38" s="22"/>
      <c r="L38" s="22"/>
      <c r="M38" s="22"/>
      <c r="N38" s="22"/>
      <c r="O38" s="22"/>
      <c r="P38" s="22"/>
      <c r="Q38" s="22"/>
      <c r="R38" s="22"/>
      <c r="S38" s="22"/>
      <c r="W38" s="11">
        <v>44442</v>
      </c>
      <c r="X38" s="14"/>
      <c r="Y38" s="14"/>
      <c r="Z38" s="14"/>
      <c r="AA38" s="14"/>
      <c r="AB38" s="14"/>
      <c r="AC38" s="14"/>
      <c r="AD38" s="14"/>
      <c r="AE38" s="14"/>
      <c r="AF38" s="22"/>
      <c r="AG38" s="22"/>
      <c r="AH38" s="22"/>
      <c r="AI38" s="22"/>
      <c r="AJ38" s="22"/>
      <c r="AK38" s="22"/>
      <c r="AL38" s="22"/>
      <c r="AM38" s="22"/>
      <c r="AN38" s="22"/>
      <c r="AO38" s="22"/>
    </row>
    <row r="39">
      <c r="A39" s="11">
        <v>44443</v>
      </c>
      <c r="B39" s="5"/>
      <c r="C39" s="5"/>
      <c r="D39" s="5"/>
      <c r="E39" s="71">
        <v>268.06999999999999</v>
      </c>
      <c r="F39" s="5"/>
      <c r="G39" s="5"/>
      <c r="H39" s="5"/>
      <c r="I39" s="5">
        <v>5000</v>
      </c>
      <c r="J39" s="5"/>
      <c r="K39" s="5"/>
      <c r="L39" s="5"/>
      <c r="M39" s="5"/>
      <c r="N39" s="5"/>
      <c r="O39" s="5"/>
      <c r="P39" s="5"/>
      <c r="Q39" s="5"/>
      <c r="R39" s="5"/>
      <c r="S39" s="5"/>
      <c r="W39" s="11">
        <v>44443</v>
      </c>
      <c r="X39" s="5"/>
      <c r="Y39" s="5"/>
      <c r="Z39" s="5"/>
      <c r="AA39" s="71"/>
      <c r="AB39" s="5"/>
      <c r="AC39" s="5"/>
      <c r="AD39" s="5"/>
      <c r="AE39" s="5"/>
      <c r="AF39" s="5"/>
      <c r="AG39" s="5"/>
      <c r="AH39" s="5"/>
      <c r="AI39" s="5"/>
      <c r="AJ39" s="5"/>
      <c r="AK39" s="5"/>
      <c r="AL39" s="5"/>
      <c r="AM39" s="5"/>
      <c r="AN39" s="5"/>
      <c r="AO39" s="5"/>
    </row>
    <row r="40">
      <c r="A40" s="11">
        <v>44444</v>
      </c>
      <c r="B40" s="14"/>
      <c r="C40" s="14"/>
      <c r="D40" s="14"/>
      <c r="E40" s="14"/>
      <c r="F40" s="14"/>
      <c r="G40" s="14"/>
      <c r="H40" s="14"/>
      <c r="I40" s="14"/>
      <c r="J40" s="14"/>
      <c r="K40" s="14"/>
      <c r="L40" s="14"/>
      <c r="M40" s="14"/>
      <c r="N40" s="14"/>
      <c r="O40" s="14"/>
      <c r="P40" s="14"/>
      <c r="Q40" s="14"/>
      <c r="R40" s="14"/>
      <c r="S40" s="14"/>
      <c r="W40" s="11">
        <v>44444</v>
      </c>
      <c r="X40" s="14"/>
      <c r="Y40" s="14"/>
      <c r="Z40" s="14"/>
      <c r="AA40" s="14"/>
      <c r="AB40" s="14"/>
      <c r="AC40" s="14"/>
      <c r="AD40" s="14"/>
      <c r="AE40" s="14"/>
      <c r="AF40" s="14"/>
      <c r="AG40" s="14"/>
      <c r="AH40" s="14"/>
      <c r="AI40" s="14"/>
      <c r="AJ40" s="14"/>
      <c r="AK40" s="14"/>
      <c r="AL40" s="14"/>
      <c r="AM40" s="14"/>
      <c r="AN40" s="14"/>
      <c r="AO40" s="14"/>
    </row>
    <row r="41">
      <c r="A41" s="11">
        <v>44445</v>
      </c>
      <c r="B41" s="5"/>
      <c r="C41" s="5"/>
      <c r="D41" s="5"/>
      <c r="E41" s="5"/>
      <c r="F41" s="5"/>
      <c r="G41" s="5"/>
      <c r="H41" s="5"/>
      <c r="I41" s="5"/>
      <c r="J41" s="5"/>
      <c r="K41" s="5"/>
      <c r="L41" s="5"/>
      <c r="M41" s="5"/>
      <c r="N41" s="5"/>
      <c r="O41" s="5"/>
      <c r="P41" s="5"/>
      <c r="Q41" s="5"/>
      <c r="R41" s="5"/>
      <c r="S41" s="5"/>
      <c r="W41" s="11">
        <v>44445</v>
      </c>
      <c r="X41" s="5"/>
      <c r="Y41" s="5"/>
      <c r="Z41" s="5"/>
      <c r="AA41" s="5"/>
      <c r="AB41" s="5"/>
      <c r="AC41" s="5"/>
      <c r="AD41" s="5"/>
      <c r="AE41" s="5"/>
      <c r="AF41" s="5"/>
      <c r="AG41" s="5"/>
      <c r="AH41" s="5"/>
      <c r="AI41" s="5"/>
      <c r="AJ41" s="5"/>
      <c r="AK41" s="5"/>
      <c r="AL41" s="5"/>
      <c r="AM41" s="5"/>
      <c r="AN41" s="5"/>
      <c r="AO41" s="5"/>
    </row>
    <row r="42">
      <c r="A42" s="11">
        <v>44446</v>
      </c>
      <c r="B42" s="14"/>
      <c r="C42" s="14"/>
      <c r="D42" s="14"/>
      <c r="E42" s="14"/>
      <c r="F42" s="14"/>
      <c r="G42" s="14"/>
      <c r="H42" s="14"/>
      <c r="I42" s="14"/>
      <c r="J42" s="14"/>
      <c r="K42" s="14"/>
      <c r="L42" s="14"/>
      <c r="M42" s="14"/>
      <c r="N42" s="14"/>
      <c r="O42" s="14"/>
      <c r="P42" s="14"/>
      <c r="Q42" s="14"/>
      <c r="R42" s="14"/>
      <c r="S42" s="14"/>
      <c r="W42" s="11">
        <v>44446</v>
      </c>
      <c r="X42" s="14"/>
      <c r="Y42" s="14"/>
      <c r="Z42" s="14"/>
      <c r="AA42" s="14"/>
      <c r="AB42" s="14"/>
      <c r="AC42" s="14"/>
      <c r="AD42" s="14"/>
      <c r="AE42" s="14"/>
      <c r="AF42" s="14"/>
      <c r="AG42" s="14"/>
      <c r="AH42" s="14"/>
      <c r="AI42" s="14"/>
      <c r="AJ42" s="14"/>
      <c r="AK42" s="14"/>
      <c r="AL42" s="14"/>
      <c r="AM42" s="14"/>
      <c r="AN42" s="14"/>
      <c r="AO42" s="14"/>
    </row>
    <row r="43">
      <c r="A43" s="11">
        <v>44447</v>
      </c>
      <c r="B43" s="5"/>
      <c r="C43" s="5"/>
      <c r="D43" s="5"/>
      <c r="E43" s="5"/>
      <c r="F43" s="5"/>
      <c r="G43" s="5"/>
      <c r="H43" s="5"/>
      <c r="I43" s="5"/>
      <c r="J43" s="5"/>
      <c r="K43" s="5"/>
      <c r="L43" s="5"/>
      <c r="M43" s="5"/>
      <c r="N43" s="5"/>
      <c r="O43" s="5"/>
      <c r="P43" s="5"/>
      <c r="Q43" s="5"/>
      <c r="R43" s="5"/>
      <c r="S43" s="5"/>
      <c r="W43" s="11">
        <v>44447</v>
      </c>
      <c r="X43" s="5"/>
      <c r="Y43" s="5"/>
      <c r="Z43" s="5"/>
      <c r="AA43" s="5"/>
      <c r="AB43" s="5"/>
      <c r="AC43" s="5"/>
      <c r="AD43" s="5"/>
      <c r="AE43" s="5"/>
      <c r="AF43" s="5"/>
      <c r="AG43" s="5"/>
      <c r="AH43" s="5"/>
      <c r="AI43" s="5"/>
      <c r="AJ43" s="5"/>
      <c r="AK43" s="5"/>
      <c r="AL43" s="5"/>
      <c r="AM43" s="5"/>
      <c r="AN43" s="5"/>
      <c r="AO43" s="5"/>
    </row>
    <row r="44">
      <c r="A44" s="11">
        <v>44448</v>
      </c>
      <c r="B44" s="79"/>
      <c r="C44" s="14"/>
      <c r="D44" s="14"/>
      <c r="E44" s="14"/>
      <c r="F44" s="14"/>
      <c r="G44" s="14"/>
      <c r="H44" s="14"/>
      <c r="I44" s="14"/>
      <c r="J44" s="14"/>
      <c r="K44" s="14"/>
      <c r="L44" s="14"/>
      <c r="M44" s="14"/>
      <c r="N44" s="14"/>
      <c r="O44" s="14"/>
      <c r="P44" s="14"/>
      <c r="Q44" s="14"/>
      <c r="R44" s="14"/>
      <c r="S44" s="14"/>
      <c r="W44" s="11">
        <v>44448</v>
      </c>
      <c r="X44" s="79"/>
      <c r="Y44" s="14"/>
      <c r="Z44" s="14"/>
      <c r="AA44" s="14"/>
      <c r="AB44" s="14"/>
      <c r="AC44" s="14"/>
      <c r="AD44" s="14"/>
      <c r="AE44" s="14"/>
      <c r="AF44" s="14"/>
      <c r="AG44" s="14"/>
      <c r="AH44" s="14"/>
      <c r="AI44" s="14"/>
      <c r="AJ44" s="14"/>
      <c r="AK44" s="14"/>
      <c r="AL44" s="14"/>
      <c r="AM44" s="14"/>
      <c r="AN44" s="14"/>
      <c r="AO44" s="14"/>
    </row>
    <row r="45">
      <c r="A45" s="11">
        <v>44449</v>
      </c>
      <c r="B45" s="5">
        <v>26172.950000000001</v>
      </c>
      <c r="C45" s="5"/>
      <c r="D45" s="5"/>
      <c r="E45" s="5"/>
      <c r="F45" s="5"/>
      <c r="G45" s="5"/>
      <c r="H45" s="5"/>
      <c r="I45" s="5"/>
      <c r="J45" s="5"/>
      <c r="K45" s="5"/>
      <c r="L45" s="5"/>
      <c r="M45" s="5"/>
      <c r="N45" s="5"/>
      <c r="O45" s="5"/>
      <c r="P45" s="5"/>
      <c r="Q45" s="5"/>
      <c r="R45" s="5"/>
      <c r="S45" s="5"/>
      <c r="W45" s="11">
        <v>44449</v>
      </c>
      <c r="X45" s="5"/>
      <c r="Y45" s="5"/>
      <c r="Z45" s="5"/>
      <c r="AA45" s="5"/>
      <c r="AB45" s="5"/>
      <c r="AC45" s="5"/>
      <c r="AD45" s="5"/>
      <c r="AE45" s="5"/>
      <c r="AF45" s="5"/>
      <c r="AG45" s="5"/>
      <c r="AH45" s="5"/>
      <c r="AI45" s="5"/>
      <c r="AJ45" s="5"/>
      <c r="AK45" s="5"/>
      <c r="AL45" s="5"/>
      <c r="AM45" s="5"/>
      <c r="AN45" s="5"/>
      <c r="AO45" s="5"/>
    </row>
    <row r="46">
      <c r="A46" s="11">
        <v>44450</v>
      </c>
      <c r="B46" s="14"/>
      <c r="C46" s="14"/>
      <c r="D46" s="14"/>
      <c r="E46" s="14"/>
      <c r="F46" s="14"/>
      <c r="G46" s="14"/>
      <c r="H46" s="14"/>
      <c r="I46" s="14"/>
      <c r="J46" s="14"/>
      <c r="K46" s="14"/>
      <c r="L46" s="14"/>
      <c r="M46" s="14"/>
      <c r="N46" s="14"/>
      <c r="O46" s="14"/>
      <c r="P46" s="14"/>
      <c r="Q46" s="14"/>
      <c r="R46" s="14"/>
      <c r="S46" s="14"/>
      <c r="W46" s="11">
        <v>44450</v>
      </c>
      <c r="X46" s="14"/>
      <c r="Y46" s="14"/>
      <c r="Z46" s="14"/>
      <c r="AA46" s="14"/>
      <c r="AB46" s="14"/>
      <c r="AC46" s="14"/>
      <c r="AD46" s="14"/>
      <c r="AE46" s="14"/>
      <c r="AF46" s="14"/>
      <c r="AG46" s="14"/>
      <c r="AH46" s="14"/>
      <c r="AI46" s="14"/>
      <c r="AJ46" s="14"/>
      <c r="AK46" s="14"/>
      <c r="AL46" s="14"/>
      <c r="AM46" s="14"/>
      <c r="AN46" s="14"/>
      <c r="AO46" s="14"/>
    </row>
    <row r="47">
      <c r="A47" s="11">
        <v>44451</v>
      </c>
      <c r="B47" s="5"/>
      <c r="C47" s="5"/>
      <c r="D47" s="5"/>
      <c r="E47" s="5"/>
      <c r="F47" s="5"/>
      <c r="G47" s="5"/>
      <c r="H47" s="5"/>
      <c r="I47" s="5"/>
      <c r="J47" s="5"/>
      <c r="K47" s="5"/>
      <c r="L47" s="5"/>
      <c r="M47" s="5"/>
      <c r="N47" s="5"/>
      <c r="O47" s="5"/>
      <c r="P47" s="5"/>
      <c r="Q47" s="5"/>
      <c r="R47" s="5"/>
      <c r="S47" s="5"/>
      <c r="W47" s="11">
        <v>44451</v>
      </c>
      <c r="X47" s="5"/>
      <c r="Y47" s="5"/>
      <c r="Z47" s="5"/>
      <c r="AA47" s="5"/>
      <c r="AB47" s="5"/>
      <c r="AC47" s="5"/>
      <c r="AD47" s="5"/>
      <c r="AE47" s="5"/>
      <c r="AF47" s="5"/>
      <c r="AG47" s="5"/>
      <c r="AH47" s="5"/>
      <c r="AI47" s="5"/>
      <c r="AJ47" s="5"/>
      <c r="AK47" s="5"/>
      <c r="AL47" s="5"/>
      <c r="AM47" s="5"/>
      <c r="AN47" s="5"/>
      <c r="AO47" s="5"/>
    </row>
    <row r="48">
      <c r="A48" s="11">
        <v>44452</v>
      </c>
      <c r="B48" s="14"/>
      <c r="C48" s="14"/>
      <c r="D48" s="14"/>
      <c r="E48" s="14"/>
      <c r="F48" s="14">
        <v>8001</v>
      </c>
      <c r="G48" s="14"/>
      <c r="H48" s="14"/>
      <c r="I48" s="14"/>
      <c r="J48" s="14"/>
      <c r="K48" s="14"/>
      <c r="L48" s="14"/>
      <c r="M48" s="14"/>
      <c r="N48" s="14"/>
      <c r="O48" s="14"/>
      <c r="P48" s="14"/>
      <c r="Q48" s="14"/>
      <c r="R48" s="14"/>
      <c r="S48" s="14"/>
      <c r="W48" s="11">
        <v>44452</v>
      </c>
      <c r="X48" s="14"/>
      <c r="Y48" s="14"/>
      <c r="Z48" s="14"/>
      <c r="AA48" s="14"/>
      <c r="AB48" s="14"/>
      <c r="AC48" s="14"/>
      <c r="AD48" s="14"/>
      <c r="AE48" s="14"/>
      <c r="AF48" s="14"/>
      <c r="AG48" s="14"/>
      <c r="AH48" s="14"/>
      <c r="AI48" s="14"/>
      <c r="AJ48" s="14"/>
      <c r="AK48" s="14"/>
      <c r="AL48" s="14"/>
      <c r="AM48" s="14"/>
      <c r="AN48" s="14"/>
      <c r="AO48" s="14"/>
    </row>
    <row r="49">
      <c r="A49" s="11">
        <v>44453</v>
      </c>
      <c r="B49" s="5"/>
      <c r="C49" s="5"/>
      <c r="D49" s="5"/>
      <c r="E49" s="5"/>
      <c r="F49" s="5">
        <f>-40999</f>
        <v>-40999</v>
      </c>
      <c r="G49" s="5"/>
      <c r="H49" s="5"/>
      <c r="I49" s="5"/>
      <c r="J49" s="5"/>
      <c r="K49" s="5"/>
      <c r="L49" s="5"/>
      <c r="M49" s="5"/>
      <c r="N49" s="5"/>
      <c r="O49" s="5"/>
      <c r="P49" s="5"/>
      <c r="Q49" s="5"/>
      <c r="R49" s="5"/>
      <c r="S49" s="5"/>
      <c r="W49" s="11">
        <v>44453</v>
      </c>
      <c r="X49" s="5">
        <v>24872.389999999999</v>
      </c>
      <c r="Y49" s="5"/>
      <c r="Z49" s="5"/>
      <c r="AA49" s="5"/>
      <c r="AB49" s="5"/>
      <c r="AC49" s="5"/>
      <c r="AD49" s="5"/>
      <c r="AE49" s="5"/>
      <c r="AF49" s="5"/>
      <c r="AG49" s="5"/>
      <c r="AH49" s="5"/>
      <c r="AI49" s="5"/>
      <c r="AJ49" s="5"/>
      <c r="AK49" s="5"/>
      <c r="AL49" s="5"/>
      <c r="AM49" s="5"/>
      <c r="AN49" s="5"/>
      <c r="AO49" s="5"/>
    </row>
    <row r="50">
      <c r="A50" s="11">
        <v>44454</v>
      </c>
      <c r="B50" s="14"/>
      <c r="C50" s="14"/>
      <c r="D50" s="14"/>
      <c r="E50" s="14"/>
      <c r="F50" s="14"/>
      <c r="G50" s="14"/>
      <c r="H50" s="14"/>
      <c r="I50" s="14"/>
      <c r="J50" s="14"/>
      <c r="K50" s="14"/>
      <c r="L50" s="14"/>
      <c r="M50" s="14"/>
      <c r="N50" s="14"/>
      <c r="O50" s="14"/>
      <c r="P50" s="14"/>
      <c r="Q50" s="14"/>
      <c r="R50" s="14"/>
      <c r="S50" s="14"/>
      <c r="W50" s="11">
        <v>44454</v>
      </c>
      <c r="X50" s="14"/>
      <c r="Y50" s="14"/>
      <c r="Z50" s="14"/>
      <c r="AA50" s="14"/>
      <c r="AB50" s="14"/>
      <c r="AC50" s="14"/>
      <c r="AD50" s="14"/>
      <c r="AE50" s="14"/>
      <c r="AF50" s="14"/>
      <c r="AG50" s="14"/>
      <c r="AH50" s="14"/>
      <c r="AI50" s="14"/>
      <c r="AJ50" s="14"/>
      <c r="AK50" s="14"/>
      <c r="AL50" s="14"/>
      <c r="AM50" s="14"/>
      <c r="AN50" s="14"/>
      <c r="AO50" s="14"/>
    </row>
    <row r="51">
      <c r="A51" s="11">
        <v>44455</v>
      </c>
      <c r="B51" s="5"/>
      <c r="C51" s="5"/>
      <c r="D51" s="5"/>
      <c r="E51" s="5"/>
      <c r="F51" s="5"/>
      <c r="G51" s="5"/>
      <c r="H51" s="5"/>
      <c r="I51" s="5"/>
      <c r="J51" s="5"/>
      <c r="K51" s="5"/>
      <c r="L51" s="5"/>
      <c r="M51" s="5"/>
      <c r="N51" s="5"/>
      <c r="O51" s="5"/>
      <c r="P51" s="5"/>
      <c r="Q51" s="5"/>
      <c r="R51" s="5"/>
      <c r="S51" s="5"/>
      <c r="W51" s="11">
        <v>44455</v>
      </c>
      <c r="X51" s="5"/>
      <c r="Y51" s="5"/>
      <c r="Z51" s="5"/>
      <c r="AA51" s="5"/>
      <c r="AB51" s="5"/>
      <c r="AC51" s="5"/>
      <c r="AD51" s="5"/>
      <c r="AE51" s="5"/>
      <c r="AF51" s="5"/>
      <c r="AG51" s="5"/>
      <c r="AH51" s="5"/>
      <c r="AI51" s="5"/>
      <c r="AJ51" s="5"/>
      <c r="AK51" s="5"/>
      <c r="AL51" s="5"/>
      <c r="AM51" s="5"/>
      <c r="AN51" s="5"/>
      <c r="AO51" s="5"/>
    </row>
    <row r="52">
      <c r="A52" s="11">
        <v>44456</v>
      </c>
      <c r="B52" s="14"/>
      <c r="C52" s="14"/>
      <c r="D52" s="14"/>
      <c r="E52" s="14"/>
      <c r="F52" s="14"/>
      <c r="G52" s="14"/>
      <c r="H52" s="14"/>
      <c r="I52" s="14"/>
      <c r="J52" s="14"/>
      <c r="K52" s="14"/>
      <c r="L52" s="14"/>
      <c r="M52" s="14"/>
      <c r="N52" s="14"/>
      <c r="O52" s="14"/>
      <c r="P52" s="14"/>
      <c r="Q52" s="14"/>
      <c r="R52" s="14"/>
      <c r="S52" s="14"/>
      <c r="W52" s="11">
        <v>44456</v>
      </c>
      <c r="X52" s="14"/>
      <c r="Y52" s="14"/>
      <c r="Z52" s="14"/>
      <c r="AA52" s="14"/>
      <c r="AB52" s="14"/>
      <c r="AC52" s="14"/>
      <c r="AD52" s="14"/>
      <c r="AE52" s="14"/>
      <c r="AF52" s="14"/>
      <c r="AG52" s="14"/>
      <c r="AH52" s="14"/>
      <c r="AI52" s="14"/>
      <c r="AJ52" s="14"/>
      <c r="AK52" s="14"/>
      <c r="AL52" s="14"/>
      <c r="AM52" s="14"/>
      <c r="AN52" s="14"/>
      <c r="AO52" s="14"/>
    </row>
    <row r="53">
      <c r="A53" s="11">
        <v>44457</v>
      </c>
      <c r="B53" s="5"/>
      <c r="C53" s="5"/>
      <c r="D53" s="5"/>
      <c r="E53" s="5"/>
      <c r="F53" s="5"/>
      <c r="G53" s="5"/>
      <c r="H53" s="5"/>
      <c r="I53" s="5"/>
      <c r="J53" s="5"/>
      <c r="K53" s="5"/>
      <c r="L53" s="5"/>
      <c r="M53" s="5"/>
      <c r="N53" s="5"/>
      <c r="O53" s="5"/>
      <c r="P53" s="5"/>
      <c r="Q53" s="5"/>
      <c r="R53" s="5"/>
      <c r="S53" s="5"/>
      <c r="W53" s="11">
        <v>44457</v>
      </c>
      <c r="X53" s="5"/>
      <c r="Y53" s="5"/>
      <c r="Z53" s="5"/>
      <c r="AA53" s="5"/>
      <c r="AB53" s="5"/>
      <c r="AC53" s="5"/>
      <c r="AD53" s="5"/>
      <c r="AE53" s="5"/>
      <c r="AF53" s="5"/>
      <c r="AG53" s="5"/>
      <c r="AH53" s="5"/>
      <c r="AI53" s="5"/>
      <c r="AJ53" s="5"/>
      <c r="AK53" s="5"/>
      <c r="AL53" s="5"/>
      <c r="AM53" s="5"/>
      <c r="AN53" s="5"/>
      <c r="AO53" s="5"/>
    </row>
    <row r="54">
      <c r="A54" s="11">
        <v>44458</v>
      </c>
      <c r="B54" s="14"/>
      <c r="C54" s="14"/>
      <c r="D54" s="14"/>
      <c r="E54" s="14"/>
      <c r="F54" s="14"/>
      <c r="G54" s="14"/>
      <c r="H54" s="14"/>
      <c r="I54" s="14"/>
      <c r="J54" s="14"/>
      <c r="K54" s="14"/>
      <c r="L54" s="14"/>
      <c r="M54" s="14"/>
      <c r="N54" s="14"/>
      <c r="O54" s="14"/>
      <c r="P54" s="14"/>
      <c r="Q54" s="14"/>
      <c r="R54" s="14"/>
      <c r="S54" s="14"/>
      <c r="W54" s="11">
        <v>44458</v>
      </c>
      <c r="X54" s="14"/>
      <c r="Y54" s="14"/>
      <c r="Z54" s="14"/>
      <c r="AA54" s="14"/>
      <c r="AB54" s="14"/>
      <c r="AC54" s="14"/>
      <c r="AD54" s="14"/>
      <c r="AE54" s="14"/>
      <c r="AF54" s="14"/>
      <c r="AG54" s="14"/>
      <c r="AH54" s="14"/>
      <c r="AI54" s="14"/>
      <c r="AJ54" s="14"/>
      <c r="AK54" s="14"/>
      <c r="AL54" s="14"/>
      <c r="AM54" s="14"/>
      <c r="AN54" s="14"/>
      <c r="AO54" s="14"/>
    </row>
    <row r="55">
      <c r="A55" s="11">
        <v>44459</v>
      </c>
      <c r="B55" s="5"/>
      <c r="C55" s="5"/>
      <c r="D55" s="5"/>
      <c r="E55" s="5"/>
      <c r="F55" s="5"/>
      <c r="G55" s="5"/>
      <c r="H55" s="5"/>
      <c r="I55" s="5"/>
      <c r="J55" s="5"/>
      <c r="K55" s="5"/>
      <c r="L55" s="5"/>
      <c r="M55" s="5"/>
      <c r="N55" s="5"/>
      <c r="O55" s="5"/>
      <c r="P55" s="5"/>
      <c r="Q55" s="5"/>
      <c r="R55" s="5"/>
      <c r="S55" s="5"/>
      <c r="W55" s="11">
        <v>44459</v>
      </c>
      <c r="X55" s="5"/>
      <c r="Y55" s="5"/>
      <c r="Z55" s="5"/>
      <c r="AA55" s="5"/>
      <c r="AB55" s="5"/>
      <c r="AC55" s="5"/>
      <c r="AD55" s="5"/>
      <c r="AE55" s="5"/>
      <c r="AF55" s="5"/>
      <c r="AG55" s="5"/>
      <c r="AH55" s="5"/>
      <c r="AI55" s="5"/>
      <c r="AJ55" s="5"/>
      <c r="AK55" s="5"/>
      <c r="AL55" s="5"/>
      <c r="AM55" s="5"/>
      <c r="AN55" s="5"/>
      <c r="AO55" s="5"/>
    </row>
    <row r="56">
      <c r="A56" s="11">
        <v>44460</v>
      </c>
      <c r="B56" s="14"/>
      <c r="C56" s="14"/>
      <c r="D56" s="14"/>
      <c r="E56" s="14"/>
      <c r="F56" s="14"/>
      <c r="G56" s="14"/>
      <c r="H56" s="14"/>
      <c r="I56" s="14"/>
      <c r="J56" s="14"/>
      <c r="K56" s="14"/>
      <c r="L56" s="14"/>
      <c r="M56" s="14"/>
      <c r="N56" s="14"/>
      <c r="O56" s="14"/>
      <c r="P56" s="14"/>
      <c r="Q56" s="14"/>
      <c r="R56" s="14"/>
      <c r="S56" s="14"/>
      <c r="W56" s="11">
        <v>44460</v>
      </c>
      <c r="X56" s="14"/>
      <c r="Y56" s="14"/>
      <c r="Z56" s="14"/>
      <c r="AA56" s="14"/>
      <c r="AB56" s="14"/>
      <c r="AC56" s="14"/>
      <c r="AD56" s="14"/>
      <c r="AE56" s="14"/>
      <c r="AF56" s="14"/>
      <c r="AG56" s="14"/>
      <c r="AH56" s="14"/>
      <c r="AI56" s="14"/>
      <c r="AJ56" s="14"/>
      <c r="AK56" s="14"/>
      <c r="AL56" s="14"/>
      <c r="AM56" s="14"/>
      <c r="AN56" s="14"/>
      <c r="AO56" s="14"/>
    </row>
    <row r="57">
      <c r="A57" s="11">
        <v>44461</v>
      </c>
      <c r="B57" s="5"/>
      <c r="C57" s="5"/>
      <c r="D57" s="5"/>
      <c r="E57" s="5"/>
      <c r="F57" s="5"/>
      <c r="G57" s="5"/>
      <c r="H57" s="5"/>
      <c r="I57" s="5"/>
      <c r="J57" s="5"/>
      <c r="K57" s="5"/>
      <c r="L57" s="5"/>
      <c r="M57" s="5"/>
      <c r="N57" s="5"/>
      <c r="O57" s="5"/>
      <c r="P57" s="5"/>
      <c r="Q57" s="5"/>
      <c r="R57" s="5"/>
      <c r="S57" s="5"/>
      <c r="W57" s="11">
        <v>44461</v>
      </c>
      <c r="X57" s="5"/>
      <c r="Y57" s="5"/>
      <c r="Z57" s="5"/>
      <c r="AA57" s="5"/>
      <c r="AB57" s="5"/>
      <c r="AC57" s="5"/>
      <c r="AD57" s="5"/>
      <c r="AE57" s="5"/>
      <c r="AF57" s="5"/>
      <c r="AG57" s="5"/>
      <c r="AH57" s="5"/>
      <c r="AI57" s="5"/>
      <c r="AJ57" s="5"/>
      <c r="AK57" s="5"/>
      <c r="AL57" s="5"/>
      <c r="AM57" s="5"/>
      <c r="AN57" s="5"/>
      <c r="AO57" s="5"/>
    </row>
    <row r="58">
      <c r="A58" s="11">
        <v>44462</v>
      </c>
      <c r="B58" s="14"/>
      <c r="C58" s="14"/>
      <c r="D58" s="14"/>
      <c r="E58" s="14"/>
      <c r="F58" s="14"/>
      <c r="G58" s="14"/>
      <c r="H58" s="14"/>
      <c r="I58" s="14"/>
      <c r="J58" s="14"/>
      <c r="K58" s="14"/>
      <c r="L58" s="14"/>
      <c r="M58" s="14"/>
      <c r="N58" s="14"/>
      <c r="O58" s="14"/>
      <c r="P58" s="14"/>
      <c r="Q58" s="14"/>
      <c r="R58" s="14"/>
      <c r="S58" s="14"/>
      <c r="W58" s="11">
        <v>44462</v>
      </c>
      <c r="X58" s="14"/>
      <c r="Y58" s="14"/>
      <c r="Z58" s="14"/>
      <c r="AA58" s="14"/>
      <c r="AB58" s="14"/>
      <c r="AC58" s="14"/>
      <c r="AD58" s="14"/>
      <c r="AE58" s="14"/>
      <c r="AF58" s="14"/>
      <c r="AG58" s="14"/>
      <c r="AH58" s="14"/>
      <c r="AI58" s="14"/>
      <c r="AJ58" s="14"/>
      <c r="AK58" s="14"/>
      <c r="AL58" s="14"/>
      <c r="AM58" s="14"/>
      <c r="AN58" s="14"/>
      <c r="AO58" s="14"/>
    </row>
    <row r="59">
      <c r="A59" s="11">
        <v>44463</v>
      </c>
      <c r="B59" s="5">
        <v>10877.5</v>
      </c>
      <c r="C59" s="5"/>
      <c r="D59" s="5"/>
      <c r="E59" s="5"/>
      <c r="F59" s="5">
        <v>52000</v>
      </c>
      <c r="G59" s="5"/>
      <c r="H59" s="5"/>
      <c r="I59" s="5"/>
      <c r="J59" s="5"/>
      <c r="K59" s="5"/>
      <c r="L59" s="5"/>
      <c r="M59" s="5"/>
      <c r="N59" s="5"/>
      <c r="O59" s="5"/>
      <c r="P59" s="5"/>
      <c r="Q59" s="5"/>
      <c r="R59" s="5"/>
      <c r="S59" s="5"/>
      <c r="W59" s="11">
        <v>44463</v>
      </c>
      <c r="X59" s="5"/>
      <c r="Y59" s="5"/>
      <c r="Z59" s="5"/>
      <c r="AA59" s="5"/>
      <c r="AB59" s="5"/>
      <c r="AC59" s="5"/>
      <c r="AD59" s="5"/>
      <c r="AE59" s="5"/>
      <c r="AF59" s="5"/>
      <c r="AG59" s="5"/>
      <c r="AH59" s="5"/>
      <c r="AI59" s="5"/>
      <c r="AJ59" s="5"/>
      <c r="AK59" s="5"/>
      <c r="AL59" s="5"/>
      <c r="AM59" s="5"/>
      <c r="AN59" s="5"/>
      <c r="AO59" s="5"/>
    </row>
    <row r="60">
      <c r="A60" s="11">
        <v>44464</v>
      </c>
      <c r="B60" s="14"/>
      <c r="C60" s="14"/>
      <c r="D60" s="14"/>
      <c r="E60" s="14"/>
      <c r="F60" s="14"/>
      <c r="G60" s="14"/>
      <c r="H60" s="14"/>
      <c r="I60" s="14"/>
      <c r="J60" s="14"/>
      <c r="K60" s="14"/>
      <c r="L60" s="14"/>
      <c r="M60" s="14"/>
      <c r="N60" s="14"/>
      <c r="O60" s="14"/>
      <c r="P60" s="14"/>
      <c r="Q60" s="14"/>
      <c r="R60" s="14"/>
      <c r="S60" s="14"/>
      <c r="W60" s="11">
        <v>44464</v>
      </c>
      <c r="X60" s="14"/>
      <c r="Y60" s="14"/>
      <c r="Z60" s="14"/>
      <c r="AA60" s="14"/>
      <c r="AB60" s="14"/>
      <c r="AC60" s="14"/>
      <c r="AD60" s="14"/>
      <c r="AE60" s="14"/>
      <c r="AF60" s="14"/>
      <c r="AG60" s="14"/>
      <c r="AH60" s="14"/>
      <c r="AI60" s="14"/>
      <c r="AJ60" s="14"/>
      <c r="AK60" s="14"/>
      <c r="AL60" s="14"/>
      <c r="AM60" s="14"/>
      <c r="AN60" s="14"/>
      <c r="AO60" s="14"/>
    </row>
    <row r="61">
      <c r="A61" s="11">
        <v>44465</v>
      </c>
      <c r="B61" s="5"/>
      <c r="C61" s="5"/>
      <c r="D61" s="5"/>
      <c r="E61" s="5"/>
      <c r="F61" s="5"/>
      <c r="G61" s="5"/>
      <c r="H61" s="5"/>
      <c r="I61" s="5"/>
      <c r="J61" s="5"/>
      <c r="K61" s="5"/>
      <c r="L61" s="5"/>
      <c r="M61" s="5"/>
      <c r="N61" s="5"/>
      <c r="O61" s="5"/>
      <c r="P61" s="5"/>
      <c r="Q61" s="5"/>
      <c r="R61" s="5"/>
      <c r="S61" s="5"/>
      <c r="W61" s="11">
        <v>44465</v>
      </c>
      <c r="X61" s="5"/>
      <c r="Y61" s="5"/>
      <c r="Z61" s="5"/>
      <c r="AA61" s="5"/>
      <c r="AB61" s="5"/>
      <c r="AC61" s="5"/>
      <c r="AD61" s="5"/>
      <c r="AE61" s="5"/>
      <c r="AF61" s="5"/>
      <c r="AG61" s="5"/>
      <c r="AH61" s="5"/>
      <c r="AI61" s="5"/>
      <c r="AJ61" s="5"/>
      <c r="AK61" s="5"/>
      <c r="AL61" s="5"/>
      <c r="AM61" s="5"/>
      <c r="AN61" s="5"/>
      <c r="AO61" s="5"/>
    </row>
    <row r="62">
      <c r="A62" s="11">
        <v>44466</v>
      </c>
      <c r="B62" s="14"/>
      <c r="C62" s="14"/>
      <c r="D62" s="14"/>
      <c r="E62" s="14"/>
      <c r="F62" s="14"/>
      <c r="G62" s="14"/>
      <c r="H62" s="14"/>
      <c r="I62" s="14"/>
      <c r="J62" s="14"/>
      <c r="K62" s="14"/>
      <c r="L62" s="14"/>
      <c r="M62" s="14"/>
      <c r="N62" s="14"/>
      <c r="O62" s="14"/>
      <c r="P62" s="14"/>
      <c r="Q62" s="14"/>
      <c r="R62" s="14"/>
      <c r="S62" s="14"/>
      <c r="W62" s="11">
        <v>44466</v>
      </c>
      <c r="X62" s="14"/>
      <c r="Y62" s="14"/>
      <c r="Z62" s="14"/>
      <c r="AA62" s="14"/>
      <c r="AB62" s="14"/>
      <c r="AC62" s="14"/>
      <c r="AD62" s="14"/>
      <c r="AE62" s="14"/>
      <c r="AF62" s="14"/>
      <c r="AG62" s="14"/>
      <c r="AH62" s="14"/>
      <c r="AI62" s="14"/>
      <c r="AJ62" s="14"/>
      <c r="AK62" s="14"/>
      <c r="AL62" s="14"/>
      <c r="AM62" s="14"/>
      <c r="AN62" s="14"/>
      <c r="AO62" s="14"/>
    </row>
    <row r="63">
      <c r="A63" s="11">
        <v>44467</v>
      </c>
      <c r="B63" s="5"/>
      <c r="C63" s="5"/>
      <c r="D63" s="5"/>
      <c r="E63" s="5"/>
      <c r="F63" s="5"/>
      <c r="G63" s="5"/>
      <c r="H63" s="5"/>
      <c r="I63" s="5"/>
      <c r="J63" s="5"/>
      <c r="K63" s="5"/>
      <c r="L63" s="5"/>
      <c r="M63" s="5"/>
      <c r="N63" s="5"/>
      <c r="O63" s="5"/>
      <c r="P63" s="5"/>
      <c r="Q63" s="5"/>
      <c r="R63" s="48"/>
      <c r="S63" s="5"/>
      <c r="W63" s="11">
        <v>44467</v>
      </c>
      <c r="X63" s="5">
        <v>7863.9399999999996</v>
      </c>
      <c r="Y63" s="5"/>
      <c r="Z63" s="5"/>
      <c r="AA63" s="5"/>
      <c r="AB63" s="5"/>
      <c r="AC63" s="5"/>
      <c r="AD63" s="5"/>
      <c r="AE63" s="5"/>
      <c r="AF63" s="5"/>
      <c r="AG63" s="5"/>
      <c r="AH63" s="5"/>
      <c r="AI63" s="5"/>
      <c r="AJ63" s="5"/>
      <c r="AK63" s="5"/>
      <c r="AL63" s="5"/>
      <c r="AM63" s="5"/>
      <c r="AN63" s="48"/>
      <c r="AO63" s="5"/>
    </row>
    <row r="64">
      <c r="A64" s="11">
        <v>44468</v>
      </c>
      <c r="B64" s="22"/>
      <c r="C64" s="22"/>
      <c r="D64" s="22"/>
      <c r="E64" s="22"/>
      <c r="F64" s="22"/>
      <c r="G64" s="22"/>
      <c r="H64" s="22"/>
      <c r="I64" s="22"/>
      <c r="J64" s="14"/>
      <c r="K64" s="14"/>
      <c r="L64" s="14"/>
      <c r="M64" s="14"/>
      <c r="N64" s="14"/>
      <c r="O64" s="14"/>
      <c r="P64" s="14"/>
      <c r="Q64" s="14"/>
      <c r="R64" s="80"/>
      <c r="S64" s="14"/>
      <c r="W64" s="11">
        <v>44468</v>
      </c>
      <c r="X64" s="22"/>
      <c r="Y64" s="22"/>
      <c r="Z64" s="22"/>
      <c r="AA64" s="22"/>
      <c r="AB64" s="22"/>
      <c r="AC64" s="22"/>
      <c r="AD64" s="22"/>
      <c r="AE64" s="22"/>
      <c r="AF64" s="14"/>
      <c r="AG64" s="14"/>
      <c r="AH64" s="14"/>
      <c r="AI64" s="14"/>
      <c r="AJ64" s="14"/>
      <c r="AK64" s="14"/>
      <c r="AL64" s="14"/>
      <c r="AM64" s="14"/>
      <c r="AN64" s="80"/>
      <c r="AO64" s="14"/>
    </row>
    <row r="65">
      <c r="A65" s="11">
        <v>44469</v>
      </c>
      <c r="B65" s="5"/>
      <c r="C65" s="5"/>
      <c r="D65" s="5"/>
      <c r="E65" s="5">
        <v>604.85000000000002</v>
      </c>
      <c r="F65" s="5"/>
      <c r="G65" s="5"/>
      <c r="H65" s="5"/>
      <c r="I65" s="5"/>
      <c r="J65" s="5"/>
      <c r="K65" s="5"/>
      <c r="L65" s="5"/>
      <c r="M65" s="5"/>
      <c r="N65" s="5"/>
      <c r="O65" s="5"/>
      <c r="P65" s="5"/>
      <c r="Q65" s="5"/>
      <c r="R65" s="48"/>
      <c r="S65" s="5"/>
      <c r="W65" s="11">
        <v>44469</v>
      </c>
      <c r="X65" s="5"/>
      <c r="Y65" s="5"/>
      <c r="Z65" s="5"/>
      <c r="AA65" s="5"/>
      <c r="AB65" s="5"/>
      <c r="AC65" s="5"/>
      <c r="AD65" s="5"/>
      <c r="AE65" s="5"/>
      <c r="AF65" s="5"/>
      <c r="AG65" s="5"/>
      <c r="AH65" s="5"/>
      <c r="AI65" s="5"/>
      <c r="AJ65" s="5"/>
      <c r="AK65" s="5"/>
      <c r="AL65" s="5"/>
      <c r="AM65" s="5"/>
      <c r="AN65" s="48"/>
      <c r="AO65" s="5"/>
    </row>
    <row r="66">
      <c r="A66" s="11"/>
      <c r="B66" s="22"/>
      <c r="C66" s="22"/>
      <c r="D66" s="22"/>
      <c r="E66" s="22"/>
      <c r="F66" s="22"/>
      <c r="G66" s="22"/>
      <c r="H66" s="22"/>
      <c r="I66" s="22"/>
      <c r="J66" s="14"/>
      <c r="K66" s="14"/>
      <c r="L66" s="14"/>
      <c r="M66" s="14"/>
      <c r="N66" s="14"/>
      <c r="O66" s="14"/>
      <c r="P66" s="14"/>
      <c r="Q66" s="14"/>
      <c r="R66" s="80"/>
      <c r="S66" s="14"/>
      <c r="W66" s="11"/>
      <c r="X66" s="22"/>
      <c r="Y66" s="22"/>
      <c r="Z66" s="22"/>
      <c r="AA66" s="22"/>
      <c r="AB66" s="22"/>
      <c r="AC66" s="22"/>
      <c r="AD66" s="22"/>
      <c r="AE66" s="22"/>
      <c r="AF66" s="14"/>
      <c r="AG66" s="14"/>
      <c r="AH66" s="14"/>
      <c r="AI66" s="14"/>
      <c r="AJ66" s="14"/>
      <c r="AK66" s="14"/>
      <c r="AL66" s="14"/>
      <c r="AM66" s="14"/>
      <c r="AN66" s="80"/>
      <c r="AO66" s="14"/>
    </row>
    <row r="67">
      <c r="A67" s="74"/>
      <c r="B67" s="74">
        <f t="shared" ref="B67:E67" si="81">SUM(B36:B66)</f>
        <v>37050.449999999997</v>
      </c>
      <c r="C67" s="74">
        <f>SUM(C36:C66)</f>
        <v>0</v>
      </c>
      <c r="D67" s="74">
        <f t="shared" si="81"/>
        <v>0</v>
      </c>
      <c r="E67" s="74">
        <f t="shared" si="81"/>
        <v>872.92000000000007</v>
      </c>
      <c r="F67" s="74">
        <f>SUM(F36:F66)</f>
        <v>19002</v>
      </c>
      <c r="G67" s="74">
        <f t="shared" ref="G67:R67" si="82">SUM(G36:G66)</f>
        <v>0</v>
      </c>
      <c r="H67" s="74">
        <f t="shared" si="82"/>
        <v>0</v>
      </c>
      <c r="I67" s="74">
        <f t="shared" si="82"/>
        <v>5000</v>
      </c>
      <c r="J67" s="74">
        <f>SUM(J36:J66)</f>
        <v>0</v>
      </c>
      <c r="K67" s="74">
        <f t="shared" si="82"/>
        <v>0</v>
      </c>
      <c r="L67" s="74">
        <f t="shared" si="82"/>
        <v>0</v>
      </c>
      <c r="M67" s="74">
        <f t="shared" si="82"/>
        <v>0</v>
      </c>
      <c r="N67" s="74">
        <f t="shared" si="82"/>
        <v>0</v>
      </c>
      <c r="O67" s="74">
        <f t="shared" si="82"/>
        <v>0</v>
      </c>
      <c r="P67" s="74">
        <f t="shared" si="82"/>
        <v>0</v>
      </c>
      <c r="Q67" s="74">
        <f t="shared" si="82"/>
        <v>0</v>
      </c>
      <c r="R67" s="74">
        <f t="shared" si="82"/>
        <v>0</v>
      </c>
      <c r="S67" s="74">
        <f>SUM(B67:R67)</f>
        <v>61925.369999999995</v>
      </c>
      <c r="W67" s="74"/>
      <c r="X67" s="74">
        <f t="shared" ref="X67:AN67" si="83">SUM(X36:X66)</f>
        <v>32736.329999999998</v>
      </c>
      <c r="Y67" s="74">
        <f t="shared" si="83"/>
        <v>0</v>
      </c>
      <c r="Z67" s="74">
        <f t="shared" si="83"/>
        <v>0</v>
      </c>
      <c r="AA67" s="74">
        <f t="shared" si="83"/>
        <v>0</v>
      </c>
      <c r="AB67" s="74">
        <f t="shared" si="83"/>
        <v>0</v>
      </c>
      <c r="AC67" s="74">
        <f t="shared" si="83"/>
        <v>0</v>
      </c>
      <c r="AD67" s="74">
        <f t="shared" si="83"/>
        <v>0</v>
      </c>
      <c r="AE67" s="74">
        <f t="shared" si="83"/>
        <v>0</v>
      </c>
      <c r="AF67" s="74">
        <f t="shared" si="83"/>
        <v>0</v>
      </c>
      <c r="AG67" s="74">
        <f t="shared" si="83"/>
        <v>0</v>
      </c>
      <c r="AH67" s="74">
        <f t="shared" si="83"/>
        <v>0</v>
      </c>
      <c r="AI67" s="74">
        <f t="shared" si="83"/>
        <v>0</v>
      </c>
      <c r="AJ67" s="74">
        <f t="shared" si="83"/>
        <v>0</v>
      </c>
      <c r="AK67" s="74">
        <f t="shared" si="83"/>
        <v>0</v>
      </c>
      <c r="AL67" s="74">
        <f t="shared" si="83"/>
        <v>0</v>
      </c>
      <c r="AM67" s="74">
        <f t="shared" si="83"/>
        <v>0</v>
      </c>
      <c r="AN67" s="74">
        <f t="shared" si="83"/>
        <v>0</v>
      </c>
      <c r="AO67" s="74">
        <f>SUM(X67:AN67)</f>
        <v>32736.329999999998</v>
      </c>
    </row>
    <row r="68">
      <c r="A68" s="52"/>
      <c r="B68" s="52"/>
      <c r="C68" s="52"/>
      <c r="D68" s="52"/>
      <c r="E68" s="52"/>
      <c r="F68" s="52"/>
      <c r="G68" s="52"/>
      <c r="H68" s="52"/>
      <c r="I68" s="52"/>
      <c r="J68" s="52"/>
      <c r="K68" s="52"/>
      <c r="L68" s="52"/>
      <c r="M68" s="52"/>
      <c r="N68" s="52"/>
      <c r="O68" s="52"/>
      <c r="P68" s="52"/>
      <c r="Q68" s="52"/>
      <c r="R68" s="52"/>
      <c r="S68" s="52"/>
      <c r="W68" s="52"/>
      <c r="X68" s="52"/>
      <c r="Y68" s="52"/>
      <c r="Z68" s="52"/>
      <c r="AA68" s="52"/>
      <c r="AB68" s="52"/>
      <c r="AC68" s="52"/>
      <c r="AD68" s="52"/>
      <c r="AE68" s="52"/>
      <c r="AF68" s="52"/>
      <c r="AG68" s="52"/>
      <c r="AH68" s="52"/>
      <c r="AI68" s="52"/>
      <c r="AJ68" s="52"/>
      <c r="AK68" s="52"/>
      <c r="AL68" s="52"/>
      <c r="AM68" s="52"/>
      <c r="AN68" s="52"/>
      <c r="AO68" s="52"/>
    </row>
    <row r="69">
      <c r="A69" s="26" t="s">
        <v>67</v>
      </c>
      <c r="B69" s="26"/>
      <c r="C69" s="26"/>
      <c r="D69" s="26"/>
      <c r="E69" s="26"/>
      <c r="F69" s="26"/>
      <c r="G69" s="26"/>
      <c r="H69" s="26"/>
      <c r="I69" s="26"/>
      <c r="J69" s="26"/>
      <c r="K69" s="26"/>
      <c r="L69" s="26"/>
      <c r="M69" s="26"/>
      <c r="N69" s="26"/>
      <c r="O69" s="26"/>
      <c r="P69" s="26"/>
      <c r="Q69" s="26"/>
      <c r="R69" s="26"/>
      <c r="S69" s="26"/>
    </row>
    <row r="70">
      <c r="A70" s="5" t="s">
        <v>68</v>
      </c>
      <c r="B70" s="81">
        <f>21000-344+2039+(23000-23000)-344-344+8164.1-4600-3300+(3000-3000)+80000+2000+(5500-5000)+(5650-5100)+1000+300</f>
        <v>106621.10000000001</v>
      </c>
      <c r="C70" s="5"/>
      <c r="D70" s="5"/>
      <c r="E70" s="5"/>
      <c r="F70" s="5"/>
      <c r="G70" s="5"/>
      <c r="H70" s="5"/>
      <c r="I70" s="5"/>
      <c r="J70" s="5"/>
      <c r="K70" s="5"/>
      <c r="L70" s="5"/>
      <c r="M70" s="5"/>
      <c r="N70" s="5"/>
      <c r="O70" s="5"/>
      <c r="P70" s="5"/>
      <c r="Q70" s="5"/>
      <c r="R70" s="5"/>
      <c r="S70" s="5"/>
    </row>
    <row r="71">
      <c r="A71" s="5" t="s">
        <v>69</v>
      </c>
      <c r="B71" s="5"/>
      <c r="C71" s="5"/>
      <c r="D71" s="5"/>
      <c r="E71" s="5"/>
      <c r="F71" s="5"/>
      <c r="G71" s="5"/>
      <c r="H71" s="5"/>
      <c r="I71" s="5"/>
      <c r="J71" s="5"/>
      <c r="K71" s="5"/>
      <c r="L71" s="5"/>
      <c r="M71" s="5"/>
      <c r="N71" s="5"/>
      <c r="O71" s="5"/>
      <c r="P71" s="5"/>
      <c r="Q71" s="5"/>
      <c r="R71" s="5"/>
      <c r="S71" s="5"/>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3" activeCellId="0" sqref="B33"/>
    </sheetView>
  </sheetViews>
  <sheetFormatPr defaultRowHeight="14.25"/>
  <cols>
    <col bestFit="1" customWidth="1" min="1" max="1" width="13.7109375"/>
    <col bestFit="1" customWidth="1" min="2" max="2" width="10.7109375"/>
    <col bestFit="1" customWidth="1" min="7" max="7" width="10.7109375"/>
    <col bestFit="1" customWidth="1" min="9" max="9" width="19"/>
    <col bestFit="1" customWidth="1" min="10" max="10" width="12.85546875"/>
    <col bestFit="1" customWidth="1" min="15" max="15" width="17.42578125"/>
    <col bestFit="1" customWidth="1" min="16" max="16" width="12.8554687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
      <c r="R1" s="1"/>
      <c r="S1" s="1"/>
    </row>
    <row r="2">
      <c r="A2" s="2">
        <v>43647</v>
      </c>
      <c r="B2" s="3">
        <v>2170</v>
      </c>
      <c r="C2" s="3"/>
      <c r="D2" s="3"/>
      <c r="E2" s="3"/>
      <c r="F2" s="3"/>
      <c r="G2" s="3"/>
      <c r="H2" s="3"/>
      <c r="I2" s="3"/>
      <c r="J2" s="3"/>
      <c r="K2" s="3"/>
      <c r="L2" s="3"/>
      <c r="M2" s="3"/>
      <c r="N2" s="3"/>
      <c r="O2" s="3"/>
      <c r="P2" s="3"/>
      <c r="Q2" s="3"/>
      <c r="R2" s="3"/>
      <c r="S2" s="3"/>
    </row>
    <row r="3">
      <c r="A3" s="2">
        <v>43648</v>
      </c>
      <c r="B3" s="5"/>
      <c r="C3" s="5"/>
      <c r="D3" s="5">
        <v>290</v>
      </c>
      <c r="E3" s="5"/>
      <c r="F3" s="5"/>
      <c r="G3" s="5"/>
      <c r="H3" s="5"/>
      <c r="I3" s="5"/>
      <c r="J3" s="5"/>
      <c r="K3" s="5"/>
      <c r="L3" s="5"/>
      <c r="M3" s="5"/>
      <c r="N3" s="5"/>
      <c r="O3" s="5"/>
      <c r="P3" s="5"/>
      <c r="Q3" s="5"/>
      <c r="R3" s="5"/>
      <c r="S3" s="5"/>
    </row>
    <row r="4">
      <c r="A4" s="2">
        <v>43649</v>
      </c>
      <c r="B4" s="3">
        <v>242</v>
      </c>
      <c r="C4" s="3">
        <v>224.46000000000001</v>
      </c>
      <c r="D4" s="3"/>
      <c r="E4" s="3"/>
      <c r="F4" s="3"/>
      <c r="G4" s="3"/>
      <c r="H4" s="3"/>
      <c r="I4" s="3"/>
      <c r="J4" s="3"/>
      <c r="K4" s="3"/>
      <c r="L4" s="3"/>
      <c r="M4" s="3">
        <v>275</v>
      </c>
      <c r="N4" s="3"/>
      <c r="O4" s="3"/>
      <c r="P4" s="3"/>
      <c r="Q4" s="3"/>
      <c r="R4" s="3"/>
      <c r="S4" s="3"/>
    </row>
    <row r="5">
      <c r="A5" s="2">
        <v>43650</v>
      </c>
      <c r="B5" s="5"/>
      <c r="C5" s="5"/>
      <c r="D5" s="5"/>
      <c r="E5" s="5"/>
      <c r="F5" s="5"/>
      <c r="G5" s="5"/>
      <c r="H5" s="5"/>
      <c r="I5" s="5"/>
      <c r="J5" s="5"/>
      <c r="K5" s="5"/>
      <c r="L5" s="5"/>
      <c r="M5" s="5"/>
      <c r="N5" s="5"/>
      <c r="O5" s="5"/>
      <c r="P5" s="5"/>
      <c r="Q5" s="5"/>
      <c r="R5" s="5"/>
      <c r="S5" s="5"/>
    </row>
    <row r="6">
      <c r="A6" s="2">
        <v>43651</v>
      </c>
      <c r="B6" s="3"/>
      <c r="C6" s="3"/>
      <c r="D6" s="3">
        <v>380</v>
      </c>
      <c r="E6" s="3"/>
      <c r="F6" s="3">
        <v>3154.04</v>
      </c>
      <c r="G6" s="3"/>
      <c r="H6" s="3"/>
      <c r="I6" s="3"/>
      <c r="J6" s="3"/>
      <c r="K6" s="3"/>
      <c r="L6" s="3"/>
      <c r="M6" s="3">
        <v>275</v>
      </c>
      <c r="N6" s="3"/>
      <c r="O6" s="3"/>
      <c r="P6" s="3"/>
      <c r="Q6" s="3"/>
      <c r="R6" s="3"/>
      <c r="S6" s="3"/>
    </row>
    <row r="7">
      <c r="A7" s="2">
        <v>43652</v>
      </c>
      <c r="B7" s="5"/>
      <c r="C7" s="5">
        <v>951.92999999999995</v>
      </c>
      <c r="D7" s="5"/>
      <c r="E7" s="5"/>
      <c r="F7" s="5">
        <v>2.75</v>
      </c>
      <c r="G7" s="5"/>
      <c r="H7" s="5"/>
      <c r="I7" s="5"/>
      <c r="J7" s="5"/>
      <c r="K7" s="5">
        <v>9855.5100000000002</v>
      </c>
      <c r="L7" s="5"/>
      <c r="M7" s="5"/>
      <c r="N7" s="5"/>
      <c r="O7" s="5"/>
      <c r="P7" s="5"/>
      <c r="Q7" s="5"/>
      <c r="R7" s="5"/>
      <c r="S7" s="5"/>
    </row>
    <row r="8">
      <c r="A8" s="2">
        <v>43653</v>
      </c>
      <c r="B8" s="3"/>
      <c r="C8" s="3"/>
      <c r="D8" s="3"/>
      <c r="E8" s="3"/>
      <c r="F8" s="3"/>
      <c r="G8" s="3"/>
      <c r="H8" s="3"/>
      <c r="I8" s="3"/>
      <c r="J8" s="3"/>
      <c r="K8" s="3"/>
      <c r="L8" s="3"/>
      <c r="M8" s="3"/>
      <c r="N8" s="3"/>
      <c r="O8" s="3"/>
      <c r="P8" s="3"/>
      <c r="Q8" s="3"/>
      <c r="R8" s="3"/>
      <c r="S8" s="3"/>
    </row>
    <row r="9">
      <c r="A9" s="2">
        <v>43654</v>
      </c>
      <c r="B9" s="5"/>
      <c r="C9" s="5"/>
      <c r="D9" s="5"/>
      <c r="E9" s="5"/>
      <c r="F9" s="5"/>
      <c r="G9" s="5"/>
      <c r="H9" s="5"/>
      <c r="I9" s="5"/>
      <c r="J9" s="5"/>
      <c r="K9" s="5"/>
      <c r="L9" s="5"/>
      <c r="M9" s="5"/>
      <c r="N9" s="5"/>
      <c r="O9" s="5"/>
      <c r="P9" s="5"/>
      <c r="Q9" s="5"/>
      <c r="R9" s="5"/>
      <c r="S9" s="5"/>
    </row>
    <row r="10">
      <c r="A10" s="2">
        <v>43655</v>
      </c>
      <c r="B10" s="3"/>
      <c r="C10" s="3">
        <v>301.19999999999999</v>
      </c>
      <c r="D10" s="3">
        <v>533</v>
      </c>
      <c r="E10" s="3"/>
      <c r="F10" s="3"/>
      <c r="G10" s="3"/>
      <c r="H10" s="3"/>
      <c r="I10" s="3">
        <v>700</v>
      </c>
      <c r="J10" s="3"/>
      <c r="K10" s="3"/>
      <c r="L10" s="3"/>
      <c r="M10" s="3"/>
      <c r="N10" s="3">
        <v>350</v>
      </c>
      <c r="O10" s="3"/>
      <c r="P10" s="3"/>
      <c r="Q10" s="3"/>
      <c r="R10" s="3"/>
      <c r="S10" s="3"/>
    </row>
    <row r="11">
      <c r="A11" s="2">
        <v>43656</v>
      </c>
      <c r="B11" s="5"/>
      <c r="C11" s="5"/>
      <c r="D11" s="5"/>
      <c r="E11" s="5"/>
      <c r="F11" s="5"/>
      <c r="G11" s="5"/>
      <c r="H11" s="5"/>
      <c r="I11" s="5"/>
      <c r="J11" s="5"/>
      <c r="K11" s="5"/>
      <c r="L11" s="5"/>
      <c r="M11" s="5"/>
      <c r="N11" s="5"/>
      <c r="O11" s="5"/>
      <c r="P11" s="5"/>
      <c r="Q11" s="5"/>
      <c r="R11" s="5"/>
      <c r="S11" s="5"/>
    </row>
    <row r="12">
      <c r="A12" s="2">
        <v>43657</v>
      </c>
      <c r="B12" s="3"/>
      <c r="C12" s="3"/>
      <c r="D12" s="3"/>
      <c r="E12" s="3"/>
      <c r="F12" s="3"/>
      <c r="G12" s="3"/>
      <c r="H12" s="3"/>
      <c r="I12" s="3"/>
      <c r="J12" s="3"/>
      <c r="K12" s="3"/>
      <c r="L12" s="3"/>
      <c r="M12" s="3"/>
      <c r="N12" s="3"/>
      <c r="O12" s="3"/>
      <c r="P12" s="3"/>
      <c r="Q12" s="3"/>
      <c r="R12" s="3"/>
      <c r="S12" s="3"/>
    </row>
    <row r="13">
      <c r="A13" s="2">
        <v>43658</v>
      </c>
      <c r="B13" s="5">
        <v>2807.9000000000001</v>
      </c>
      <c r="C13" s="5">
        <v>699.29999999999995</v>
      </c>
      <c r="D13" s="5">
        <v>498</v>
      </c>
      <c r="E13" s="5"/>
      <c r="F13" s="5"/>
      <c r="G13" s="5"/>
      <c r="H13" s="5"/>
      <c r="I13" s="5"/>
      <c r="J13" s="5"/>
      <c r="K13" s="5"/>
      <c r="L13" s="5"/>
      <c r="M13" s="5"/>
      <c r="N13" s="5">
        <v>548</v>
      </c>
      <c r="O13" s="5"/>
      <c r="P13" s="5"/>
      <c r="Q13" s="5"/>
      <c r="R13" s="5"/>
      <c r="S13" s="5"/>
    </row>
    <row r="14">
      <c r="A14" s="2">
        <v>43659</v>
      </c>
      <c r="B14" s="3">
        <v>2157.5</v>
      </c>
      <c r="C14" s="3"/>
      <c r="D14" s="3"/>
      <c r="E14" s="3"/>
      <c r="F14" s="3"/>
      <c r="G14" s="3"/>
      <c r="H14" s="3"/>
      <c r="I14" s="3"/>
      <c r="J14" s="3"/>
      <c r="K14" s="3"/>
      <c r="L14" s="3"/>
      <c r="M14" s="3"/>
      <c r="N14" s="3"/>
      <c r="O14" s="3"/>
      <c r="P14" s="3"/>
      <c r="Q14" s="3"/>
      <c r="R14" s="3"/>
      <c r="S14" s="3"/>
    </row>
    <row r="15">
      <c r="A15" s="2">
        <v>43660</v>
      </c>
      <c r="B15" s="5"/>
      <c r="C15" s="5"/>
      <c r="D15" s="5">
        <v>261</v>
      </c>
      <c r="E15" s="5"/>
      <c r="F15" s="5"/>
      <c r="G15" s="5"/>
      <c r="H15" s="5"/>
      <c r="I15" s="5"/>
      <c r="J15" s="5"/>
      <c r="K15" s="5"/>
      <c r="L15" s="5"/>
      <c r="M15" s="5"/>
      <c r="N15" s="5"/>
      <c r="O15" s="5"/>
      <c r="P15" s="5"/>
      <c r="Q15" s="5"/>
      <c r="R15" s="5"/>
      <c r="S15" s="5"/>
    </row>
    <row r="16">
      <c r="A16" s="2">
        <v>43661</v>
      </c>
      <c r="B16" s="3"/>
      <c r="C16" s="3"/>
      <c r="D16" s="3"/>
      <c r="E16" s="3"/>
      <c r="F16" s="3"/>
      <c r="G16" s="3"/>
      <c r="H16" s="3"/>
      <c r="I16" s="3"/>
      <c r="J16" s="3"/>
      <c r="K16" s="3"/>
      <c r="L16" s="3"/>
      <c r="M16" s="3"/>
      <c r="N16" s="3"/>
      <c r="O16" s="3"/>
      <c r="P16" s="3"/>
      <c r="Q16" s="3"/>
      <c r="R16" s="3"/>
      <c r="S16" s="3"/>
    </row>
    <row r="17">
      <c r="A17" s="2">
        <v>43662</v>
      </c>
      <c r="B17" s="5"/>
      <c r="C17" s="5">
        <v>35.890000000000001</v>
      </c>
      <c r="D17" s="5"/>
      <c r="E17" s="5"/>
      <c r="F17" s="5"/>
      <c r="G17" s="5"/>
      <c r="H17" s="5"/>
      <c r="I17" s="5"/>
      <c r="J17" s="5"/>
      <c r="K17" s="5"/>
      <c r="L17" s="5"/>
      <c r="M17" s="5"/>
      <c r="N17" s="5"/>
      <c r="O17" s="5"/>
      <c r="P17" s="5"/>
      <c r="Q17" s="5"/>
      <c r="R17" s="5"/>
      <c r="S17" s="5"/>
    </row>
    <row r="18">
      <c r="A18" s="2">
        <v>43663</v>
      </c>
      <c r="B18" s="3"/>
      <c r="C18" s="3"/>
      <c r="D18" s="3"/>
      <c r="E18" s="3"/>
      <c r="F18" s="3"/>
      <c r="G18" s="3"/>
      <c r="H18" s="3"/>
      <c r="I18" s="3"/>
      <c r="J18" s="3"/>
      <c r="K18" s="3"/>
      <c r="L18" s="3"/>
      <c r="M18" s="3"/>
      <c r="N18" s="3"/>
      <c r="O18" s="3"/>
      <c r="P18" s="3"/>
      <c r="Q18" s="3"/>
      <c r="R18" s="3"/>
      <c r="S18" s="3"/>
    </row>
    <row r="19">
      <c r="A19" s="2">
        <v>43664</v>
      </c>
      <c r="B19" s="5"/>
      <c r="C19" s="5"/>
      <c r="D19" s="5"/>
      <c r="E19" s="5"/>
      <c r="F19" s="5"/>
      <c r="G19" s="5"/>
      <c r="H19" s="5"/>
      <c r="I19" s="5"/>
      <c r="J19" s="5"/>
      <c r="K19" s="5"/>
      <c r="L19" s="5"/>
      <c r="M19" s="5"/>
      <c r="N19" s="5"/>
      <c r="O19" s="5"/>
      <c r="P19" s="5"/>
      <c r="Q19" s="5"/>
      <c r="R19" s="5"/>
      <c r="S19" s="5"/>
    </row>
    <row r="20">
      <c r="A20" s="2">
        <v>43665</v>
      </c>
      <c r="B20" s="3"/>
      <c r="C20" s="3"/>
      <c r="D20" s="3">
        <v>148</v>
      </c>
      <c r="E20" s="3"/>
      <c r="F20" s="3"/>
      <c r="G20" s="3"/>
      <c r="H20" s="3"/>
      <c r="I20" s="3"/>
      <c r="J20" s="3"/>
      <c r="K20" s="3"/>
      <c r="L20" s="3"/>
      <c r="M20" s="3"/>
      <c r="N20" s="3"/>
      <c r="O20" s="3"/>
      <c r="P20" s="3"/>
      <c r="Q20" s="3"/>
      <c r="R20" s="3"/>
      <c r="S20" s="3"/>
    </row>
    <row r="21">
      <c r="A21" s="2">
        <v>43666</v>
      </c>
      <c r="B21" s="5"/>
      <c r="C21" s="5">
        <v>57.75</v>
      </c>
      <c r="D21" s="5">
        <v>205</v>
      </c>
      <c r="E21" s="5"/>
      <c r="F21" s="5"/>
      <c r="G21" s="5"/>
      <c r="H21" s="5"/>
      <c r="I21" s="5"/>
      <c r="J21" s="5"/>
      <c r="K21" s="5"/>
      <c r="L21" s="5"/>
      <c r="M21" s="5"/>
      <c r="N21" s="5"/>
      <c r="O21" s="5"/>
      <c r="P21" s="5"/>
      <c r="Q21" s="5"/>
      <c r="R21" s="5"/>
      <c r="S21" s="5"/>
    </row>
    <row r="22">
      <c r="A22" s="2">
        <v>43667</v>
      </c>
      <c r="B22" s="3">
        <v>60</v>
      </c>
      <c r="C22" s="3"/>
      <c r="D22" s="3">
        <v>452</v>
      </c>
      <c r="E22" s="3"/>
      <c r="F22" s="3"/>
      <c r="G22" s="3"/>
      <c r="H22" s="3"/>
      <c r="I22" s="3"/>
      <c r="J22" s="3"/>
      <c r="K22" s="3"/>
      <c r="L22" s="3"/>
      <c r="M22" s="3"/>
      <c r="N22" s="3"/>
      <c r="O22" s="3"/>
      <c r="P22" s="3"/>
      <c r="Q22" s="3"/>
      <c r="R22" s="3"/>
      <c r="S22" s="3"/>
    </row>
    <row r="23">
      <c r="A23" s="2">
        <v>43668</v>
      </c>
      <c r="B23" s="5"/>
      <c r="C23" s="5"/>
      <c r="D23" s="5"/>
      <c r="E23" s="5"/>
      <c r="F23" s="5"/>
      <c r="G23" s="5"/>
      <c r="H23" s="5"/>
      <c r="I23" s="5"/>
      <c r="J23" s="5"/>
      <c r="K23" s="5"/>
      <c r="L23" s="5"/>
      <c r="M23" s="5"/>
      <c r="N23" s="5"/>
      <c r="O23" s="5"/>
      <c r="P23" s="5">
        <v>420</v>
      </c>
      <c r="Q23" s="5"/>
      <c r="R23" s="5"/>
      <c r="S23" s="5"/>
    </row>
    <row r="24">
      <c r="A24" s="2">
        <v>43669</v>
      </c>
      <c r="B24" s="3">
        <v>88</v>
      </c>
      <c r="C24" s="3"/>
      <c r="D24" s="3">
        <v>140</v>
      </c>
      <c r="E24" s="3">
        <v>1500</v>
      </c>
      <c r="F24" s="3"/>
      <c r="G24" s="3"/>
      <c r="H24" s="3"/>
      <c r="I24" s="3"/>
      <c r="J24" s="3"/>
      <c r="K24" s="3"/>
      <c r="L24" s="3"/>
      <c r="M24" s="3"/>
      <c r="N24" s="3"/>
      <c r="O24" s="3"/>
      <c r="P24" s="3"/>
      <c r="Q24" s="3"/>
      <c r="R24" s="3"/>
      <c r="S24" s="3"/>
    </row>
    <row r="25">
      <c r="A25" s="2">
        <v>43670</v>
      </c>
      <c r="C25" s="5">
        <v>1438.4400000000001</v>
      </c>
      <c r="D25" s="5"/>
      <c r="E25" s="5"/>
      <c r="F25" s="5"/>
      <c r="G25" s="5"/>
      <c r="H25" s="5"/>
      <c r="I25" s="5"/>
      <c r="J25" s="5"/>
      <c r="K25" s="5"/>
      <c r="L25" s="5"/>
      <c r="M25" s="5"/>
      <c r="N25" s="5"/>
      <c r="O25" s="5"/>
      <c r="P25" s="5"/>
      <c r="Q25" s="5"/>
      <c r="R25" s="5"/>
      <c r="S25" s="5"/>
    </row>
    <row r="26">
      <c r="A26" s="2">
        <v>43671</v>
      </c>
      <c r="B26" s="3"/>
      <c r="C26" s="3"/>
      <c r="D26" s="3">
        <v>184</v>
      </c>
      <c r="E26" s="3"/>
      <c r="F26" s="3"/>
      <c r="G26" s="3"/>
      <c r="H26" s="3"/>
      <c r="I26" s="3">
        <v>420</v>
      </c>
      <c r="J26" s="3"/>
      <c r="K26" s="3"/>
      <c r="L26" s="3"/>
      <c r="M26" s="3"/>
      <c r="N26" s="3"/>
      <c r="O26" s="3"/>
      <c r="P26" s="3"/>
      <c r="Q26" s="3"/>
      <c r="R26" s="3"/>
      <c r="S26" s="3"/>
    </row>
    <row r="27">
      <c r="A27" s="2">
        <v>43672</v>
      </c>
      <c r="B27" s="5"/>
      <c r="C27" s="5"/>
      <c r="D27" s="5"/>
      <c r="E27" s="5"/>
      <c r="F27" s="5"/>
      <c r="G27" s="5"/>
      <c r="H27" s="5"/>
      <c r="I27" s="5"/>
      <c r="J27" s="5"/>
      <c r="K27" s="5"/>
      <c r="L27" s="5"/>
      <c r="M27" s="5"/>
      <c r="N27" s="5"/>
      <c r="O27" s="5"/>
      <c r="P27" s="5"/>
      <c r="Q27" s="5"/>
      <c r="R27" s="5"/>
      <c r="S27" s="5"/>
    </row>
    <row r="28">
      <c r="A28" s="2">
        <v>43673</v>
      </c>
      <c r="B28" s="3"/>
      <c r="C28" s="3"/>
      <c r="D28" s="3"/>
      <c r="E28" s="3"/>
      <c r="F28" s="3"/>
      <c r="G28" s="3"/>
      <c r="H28" s="3"/>
      <c r="I28" s="3"/>
      <c r="J28" s="3"/>
      <c r="K28" s="3"/>
      <c r="L28" s="3"/>
      <c r="M28" s="3"/>
      <c r="N28" s="3"/>
      <c r="O28" s="3"/>
      <c r="P28" s="3"/>
      <c r="Q28" s="3"/>
      <c r="R28" s="3"/>
      <c r="S28" s="3"/>
    </row>
    <row r="29">
      <c r="A29" s="2">
        <v>43674</v>
      </c>
      <c r="B29" s="5"/>
      <c r="C29" s="5"/>
      <c r="D29" s="5"/>
      <c r="E29" s="5"/>
      <c r="F29" s="5"/>
      <c r="G29" s="5"/>
      <c r="H29" s="5"/>
      <c r="I29" s="5"/>
      <c r="J29" s="5"/>
      <c r="K29" s="5"/>
      <c r="L29" s="5"/>
      <c r="M29" s="5"/>
      <c r="N29" s="5"/>
      <c r="O29" s="5"/>
      <c r="P29" s="5"/>
      <c r="Q29" s="5"/>
      <c r="R29" s="5"/>
      <c r="S29" s="5"/>
    </row>
    <row r="30">
      <c r="A30" s="2">
        <v>43675</v>
      </c>
      <c r="B30" s="3"/>
      <c r="C30" s="3">
        <v>169.90000000000001</v>
      </c>
      <c r="D30" s="3">
        <v>457</v>
      </c>
      <c r="E30" s="3">
        <v>9000</v>
      </c>
      <c r="F30" s="3"/>
      <c r="G30" s="3"/>
      <c r="H30" s="3"/>
      <c r="I30" s="3"/>
      <c r="J30" s="3"/>
      <c r="K30" s="3"/>
      <c r="L30" s="3"/>
      <c r="M30" s="3"/>
      <c r="N30" s="3"/>
      <c r="O30" s="3"/>
      <c r="P30" s="3"/>
      <c r="Q30" s="3"/>
      <c r="R30" s="3"/>
      <c r="S30" s="3"/>
    </row>
    <row r="31">
      <c r="A31" s="2">
        <v>43676</v>
      </c>
      <c r="B31" s="3"/>
      <c r="C31" s="3"/>
      <c r="D31" s="3"/>
      <c r="E31" s="3">
        <v>-10000</v>
      </c>
      <c r="F31" s="3"/>
      <c r="G31" s="3"/>
      <c r="H31" s="3"/>
      <c r="I31" s="3"/>
      <c r="J31" s="3"/>
      <c r="K31" s="3"/>
      <c r="L31" s="3"/>
      <c r="M31" s="3"/>
      <c r="N31" s="3"/>
      <c r="O31" s="3"/>
      <c r="P31" s="3"/>
      <c r="Q31" s="3"/>
      <c r="R31" s="3"/>
      <c r="S31" s="3"/>
    </row>
    <row r="32">
      <c r="A32" s="2">
        <v>43677</v>
      </c>
      <c r="B32" s="5"/>
      <c r="C32" s="5"/>
      <c r="D32" s="5"/>
      <c r="E32" s="5"/>
      <c r="F32" s="5"/>
      <c r="G32" s="5"/>
      <c r="H32" s="5"/>
      <c r="I32" s="5"/>
      <c r="J32" s="5"/>
      <c r="K32" s="5"/>
      <c r="L32" s="5"/>
      <c r="M32" s="5"/>
      <c r="N32" s="5"/>
      <c r="O32" s="5"/>
      <c r="P32" s="5"/>
      <c r="Q32" s="5"/>
      <c r="R32" s="5"/>
      <c r="S32" s="5"/>
    </row>
    <row r="33">
      <c r="A33" s="7"/>
      <c r="B33" s="7">
        <f>SUM(B2:B32)</f>
        <v>7525.3999999999996</v>
      </c>
      <c r="C33" s="7">
        <f>SUM(C2:C32)</f>
        <v>3878.8699999999999</v>
      </c>
      <c r="D33" s="7">
        <f t="shared" ref="D33:Q33" si="4">SUM(D2:D32)</f>
        <v>3548</v>
      </c>
      <c r="E33" s="7">
        <f>SUM(E2:E32)</f>
        <v>500</v>
      </c>
      <c r="F33" s="7">
        <f t="shared" si="4"/>
        <v>3156.79</v>
      </c>
      <c r="G33" s="7">
        <f t="shared" si="4"/>
        <v>0</v>
      </c>
      <c r="H33" s="7">
        <f t="shared" si="4"/>
        <v>0</v>
      </c>
      <c r="I33" s="7">
        <f t="shared" si="4"/>
        <v>1120</v>
      </c>
      <c r="J33" s="7">
        <f t="shared" si="4"/>
        <v>0</v>
      </c>
      <c r="K33" s="7">
        <f t="shared" si="4"/>
        <v>9855.5100000000002</v>
      </c>
      <c r="L33" s="7">
        <f t="shared" si="4"/>
        <v>0</v>
      </c>
      <c r="M33" s="7">
        <f t="shared" si="4"/>
        <v>550</v>
      </c>
      <c r="N33" s="7">
        <f t="shared" si="4"/>
        <v>898</v>
      </c>
      <c r="O33" s="7">
        <f t="shared" si="4"/>
        <v>0</v>
      </c>
      <c r="P33" s="7">
        <f t="shared" si="4"/>
        <v>420</v>
      </c>
      <c r="Q33" s="7">
        <f t="shared" si="4"/>
        <v>0</v>
      </c>
      <c r="R33" s="7" t="s">
        <v>14</v>
      </c>
      <c r="S33" s="7">
        <f>SUM(B33:Q33)</f>
        <v>31452.57</v>
      </c>
    </row>
    <row r="34">
      <c r="A34" s="8"/>
      <c r="B34" s="8"/>
      <c r="C34" s="8"/>
      <c r="D34" s="8"/>
      <c r="E34" s="8"/>
      <c r="F34" s="8"/>
      <c r="G34" s="8"/>
      <c r="H34" s="8"/>
      <c r="I34" s="8"/>
      <c r="J34" s="9"/>
      <c r="K34" s="9"/>
      <c r="L34" s="9"/>
      <c r="M34" s="9"/>
      <c r="N34" s="9"/>
      <c r="O34" s="9"/>
      <c r="P34" s="9"/>
      <c r="Q34" s="9"/>
      <c r="R34" s="9"/>
      <c r="S34" s="9"/>
    </row>
    <row r="35">
      <c r="A35" s="10" t="s">
        <v>0</v>
      </c>
      <c r="B35" s="10" t="s">
        <v>15</v>
      </c>
      <c r="C35" s="10" t="s">
        <v>16</v>
      </c>
      <c r="D35" s="10" t="s">
        <v>17</v>
      </c>
      <c r="E35" s="10" t="s">
        <v>18</v>
      </c>
      <c r="F35" s="1"/>
      <c r="G35" s="1"/>
      <c r="H35" s="1"/>
      <c r="I35" s="1"/>
    </row>
    <row r="36">
      <c r="A36" s="11">
        <v>43647</v>
      </c>
      <c r="B36" s="3"/>
      <c r="C36" s="3"/>
      <c r="D36" s="3"/>
      <c r="E36" s="3"/>
      <c r="F36" s="3"/>
      <c r="G36" s="3"/>
      <c r="H36" s="3"/>
      <c r="I36" s="3"/>
    </row>
    <row r="37">
      <c r="A37" s="11">
        <v>43648</v>
      </c>
      <c r="B37" s="5"/>
      <c r="C37" s="5"/>
      <c r="D37" s="5"/>
      <c r="E37" s="5"/>
      <c r="F37" s="5"/>
      <c r="G37" s="5"/>
      <c r="H37" s="5"/>
      <c r="I37" s="5"/>
    </row>
    <row r="38">
      <c r="A38" s="11">
        <v>43649</v>
      </c>
      <c r="B38" s="3"/>
      <c r="C38" s="3"/>
      <c r="D38" s="3"/>
      <c r="E38" s="3"/>
      <c r="F38" s="3"/>
      <c r="G38" s="3"/>
      <c r="H38" s="3"/>
      <c r="I38" s="3"/>
    </row>
    <row r="39">
      <c r="A39" s="11">
        <v>43650</v>
      </c>
      <c r="B39" s="5"/>
      <c r="C39" s="5"/>
      <c r="D39" s="5"/>
      <c r="E39" s="5"/>
      <c r="F39" s="5"/>
      <c r="G39" s="5"/>
      <c r="H39" s="5"/>
      <c r="I39" s="5"/>
    </row>
    <row r="40">
      <c r="A40" s="11">
        <v>43651</v>
      </c>
      <c r="B40" s="3"/>
      <c r="C40" s="3"/>
      <c r="D40" s="3"/>
      <c r="E40" s="3"/>
      <c r="F40" s="3"/>
      <c r="G40" s="3"/>
      <c r="H40" s="3"/>
      <c r="I40" s="3"/>
    </row>
    <row r="41">
      <c r="A41" s="11">
        <v>43652</v>
      </c>
      <c r="B41" s="5"/>
      <c r="C41" s="5"/>
      <c r="D41" s="5"/>
      <c r="E41" s="5"/>
      <c r="F41" s="5"/>
      <c r="G41" s="5"/>
      <c r="H41" s="5"/>
      <c r="I41" s="5"/>
    </row>
    <row r="42">
      <c r="A42" s="11">
        <v>43653</v>
      </c>
      <c r="B42" s="3"/>
      <c r="C42" s="3"/>
      <c r="D42" s="3"/>
      <c r="E42" s="3"/>
      <c r="F42" s="3"/>
      <c r="G42" s="3"/>
      <c r="H42" s="3"/>
      <c r="I42" s="3"/>
    </row>
    <row r="43">
      <c r="A43" s="11">
        <v>43654</v>
      </c>
      <c r="B43" s="5"/>
      <c r="C43" s="5"/>
      <c r="D43" s="5"/>
      <c r="E43" s="5"/>
      <c r="F43" s="5"/>
      <c r="G43" s="5"/>
      <c r="H43" s="5"/>
      <c r="I43" s="5"/>
    </row>
    <row r="44">
      <c r="A44" s="11">
        <v>43655</v>
      </c>
      <c r="B44" s="3"/>
      <c r="C44" s="3"/>
      <c r="D44" s="3"/>
      <c r="E44" s="3"/>
      <c r="F44" s="3"/>
      <c r="G44" s="3"/>
      <c r="H44" s="3"/>
      <c r="I44" s="3"/>
    </row>
    <row r="45">
      <c r="A45" s="11">
        <v>43656</v>
      </c>
      <c r="B45" s="5">
        <v>46800</v>
      </c>
      <c r="C45" s="5"/>
      <c r="D45" s="5"/>
      <c r="E45" s="5"/>
      <c r="F45" s="5"/>
      <c r="G45" s="5"/>
      <c r="H45" s="5"/>
      <c r="I45" s="5"/>
    </row>
    <row r="46">
      <c r="A46" s="11">
        <v>43657</v>
      </c>
      <c r="B46" s="3"/>
      <c r="C46" s="3"/>
      <c r="D46" s="3"/>
      <c r="E46" s="3"/>
      <c r="F46" s="3"/>
      <c r="G46" s="3"/>
      <c r="H46" s="3"/>
      <c r="I46" s="3"/>
    </row>
    <row r="47">
      <c r="A47" s="11">
        <v>43658</v>
      </c>
      <c r="B47" s="5"/>
      <c r="C47" s="5"/>
      <c r="D47" s="5"/>
      <c r="E47" s="5"/>
      <c r="F47" s="5"/>
      <c r="G47" s="5"/>
      <c r="H47" s="5"/>
      <c r="I47" s="5"/>
    </row>
    <row r="48">
      <c r="A48" s="11">
        <v>43659</v>
      </c>
      <c r="B48" s="3"/>
      <c r="C48" s="3"/>
      <c r="D48" s="3"/>
      <c r="E48" s="3"/>
      <c r="F48" s="3"/>
      <c r="G48" s="3"/>
      <c r="H48" s="3"/>
      <c r="I48" s="3"/>
    </row>
    <row r="49">
      <c r="A49" s="11">
        <v>43660</v>
      </c>
      <c r="B49" s="5"/>
      <c r="C49" s="5"/>
      <c r="D49" s="5"/>
      <c r="E49" s="5"/>
      <c r="F49" s="5"/>
      <c r="G49" s="5"/>
      <c r="H49" s="5"/>
      <c r="I49" s="5"/>
    </row>
    <row r="50">
      <c r="A50" s="11">
        <v>43661</v>
      </c>
      <c r="B50" s="3"/>
      <c r="C50" s="3"/>
      <c r="D50" s="3"/>
      <c r="E50" s="3"/>
      <c r="F50" s="3"/>
      <c r="G50" s="3"/>
      <c r="H50" s="3"/>
      <c r="I50" s="3"/>
    </row>
    <row r="51">
      <c r="A51" s="11">
        <v>43662</v>
      </c>
      <c r="B51" s="5"/>
      <c r="C51" s="5"/>
      <c r="D51" s="5"/>
      <c r="E51" s="5"/>
      <c r="F51" s="5"/>
      <c r="G51" s="5"/>
      <c r="H51" s="5"/>
      <c r="I51" s="5"/>
    </row>
    <row r="52">
      <c r="A52" s="11">
        <v>43663</v>
      </c>
      <c r="B52" s="3"/>
      <c r="C52" s="3"/>
      <c r="D52" s="3"/>
      <c r="E52" s="3"/>
      <c r="F52" s="3"/>
      <c r="G52" s="3"/>
      <c r="H52" s="3"/>
      <c r="I52" s="3"/>
    </row>
    <row r="53">
      <c r="A53" s="11">
        <v>43664</v>
      </c>
      <c r="B53" s="5"/>
      <c r="C53" s="5"/>
      <c r="D53" s="5"/>
      <c r="E53" s="5"/>
      <c r="F53" s="5"/>
      <c r="G53" s="5"/>
      <c r="H53" s="5"/>
      <c r="I53" s="5"/>
    </row>
    <row r="54">
      <c r="A54" s="11">
        <v>43665</v>
      </c>
      <c r="B54" s="3"/>
      <c r="C54" s="3"/>
      <c r="D54" s="3"/>
      <c r="E54" s="3"/>
      <c r="F54" s="3"/>
      <c r="G54" s="3"/>
      <c r="H54" s="3"/>
      <c r="I54" s="3"/>
    </row>
    <row r="55">
      <c r="A55" s="11">
        <v>43666</v>
      </c>
      <c r="B55" s="5"/>
      <c r="C55" s="5"/>
      <c r="D55" s="5"/>
      <c r="E55" s="5"/>
      <c r="F55" s="5"/>
      <c r="G55" s="5"/>
      <c r="H55" s="5"/>
      <c r="I55" s="5"/>
    </row>
    <row r="56">
      <c r="A56" s="11">
        <v>43667</v>
      </c>
      <c r="B56" s="3"/>
      <c r="C56" s="3"/>
      <c r="D56" s="3"/>
      <c r="E56" s="3"/>
      <c r="F56" s="3"/>
      <c r="G56" s="3"/>
      <c r="H56" s="3"/>
      <c r="I56" s="3"/>
    </row>
    <row r="57">
      <c r="A57" s="11">
        <v>43668</v>
      </c>
      <c r="B57" s="5"/>
      <c r="C57" s="5">
        <v>190</v>
      </c>
      <c r="D57" s="5"/>
      <c r="E57" s="5"/>
      <c r="F57" s="5"/>
      <c r="G57" s="5"/>
      <c r="H57" s="5"/>
      <c r="I57" s="5"/>
    </row>
    <row r="58">
      <c r="A58" s="11">
        <v>43669</v>
      </c>
      <c r="B58" s="3"/>
      <c r="C58" s="3"/>
      <c r="D58" s="3"/>
      <c r="E58" s="3"/>
      <c r="F58" s="3"/>
      <c r="G58" s="3"/>
      <c r="H58" s="3"/>
      <c r="I58" s="3"/>
    </row>
    <row r="59">
      <c r="A59" s="11">
        <v>43670</v>
      </c>
      <c r="B59" s="5"/>
      <c r="C59" s="5"/>
      <c r="D59" s="5"/>
      <c r="E59" s="5"/>
      <c r="F59" s="5"/>
      <c r="G59" s="5"/>
      <c r="H59" s="5"/>
      <c r="I59" s="5"/>
    </row>
    <row r="60">
      <c r="A60" s="11">
        <v>43671</v>
      </c>
      <c r="B60" s="3">
        <v>9500</v>
      </c>
      <c r="C60" s="3"/>
      <c r="D60" s="3"/>
      <c r="E60" s="3"/>
      <c r="F60" s="3"/>
      <c r="G60" s="3"/>
      <c r="H60" s="3"/>
      <c r="I60" s="3"/>
    </row>
    <row r="61">
      <c r="A61" s="11">
        <v>43672</v>
      </c>
      <c r="B61" s="5"/>
      <c r="C61" s="5"/>
      <c r="D61" s="5"/>
      <c r="E61" s="5"/>
      <c r="F61" s="5"/>
      <c r="G61" s="5"/>
      <c r="H61" s="5"/>
      <c r="I61" s="5"/>
    </row>
    <row r="62">
      <c r="A62" s="11">
        <v>43673</v>
      </c>
      <c r="B62" s="3"/>
      <c r="C62" s="3"/>
      <c r="D62" s="3"/>
      <c r="E62" s="3"/>
      <c r="F62" s="3"/>
      <c r="G62" s="3"/>
      <c r="H62" s="3"/>
      <c r="I62" s="3"/>
    </row>
    <row r="63">
      <c r="A63" s="11">
        <v>43674</v>
      </c>
      <c r="B63" s="5"/>
      <c r="C63" s="5"/>
      <c r="D63" s="5"/>
      <c r="E63" s="5"/>
      <c r="F63" s="5"/>
      <c r="G63" s="5"/>
      <c r="H63" s="5"/>
      <c r="I63" s="5"/>
    </row>
    <row r="64">
      <c r="A64" s="11">
        <v>43675</v>
      </c>
      <c r="B64" s="3"/>
      <c r="C64" s="3"/>
      <c r="D64" s="3"/>
      <c r="E64" s="3"/>
      <c r="F64" s="3"/>
      <c r="G64" s="3"/>
      <c r="H64" s="3"/>
      <c r="I64" s="3"/>
    </row>
    <row r="65">
      <c r="A65" s="11">
        <v>43676</v>
      </c>
      <c r="B65" s="5"/>
      <c r="C65" s="5"/>
      <c r="D65" s="5"/>
      <c r="E65" s="5"/>
      <c r="F65" s="5"/>
      <c r="G65" s="5"/>
      <c r="H65" s="5"/>
      <c r="I65" s="5"/>
    </row>
    <row r="66">
      <c r="A66" s="11">
        <v>43677</v>
      </c>
      <c r="B66" s="5"/>
      <c r="C66" s="5"/>
      <c r="D66" s="5"/>
      <c r="E66" s="5">
        <v>1002.61</v>
      </c>
      <c r="F66" s="5"/>
      <c r="G66" s="5"/>
      <c r="H66" s="5"/>
      <c r="I66" s="5"/>
    </row>
    <row r="67">
      <c r="A67" s="7"/>
      <c r="B67" s="7">
        <f>SUM(B36:B66)</f>
        <v>56300</v>
      </c>
      <c r="C67" s="7">
        <f>SUM(C36:C66)</f>
        <v>190</v>
      </c>
      <c r="D67" s="7">
        <f>SUM(D36:D66)</f>
        <v>0</v>
      </c>
      <c r="E67" s="7">
        <f>SUM(E36:E66)</f>
        <v>1002.61</v>
      </c>
      <c r="F67" s="7">
        <f>SUM(F36:F65)</f>
        <v>0</v>
      </c>
      <c r="G67" s="7">
        <f>SUM(G36:G65)</f>
        <v>0</v>
      </c>
      <c r="H67" s="7">
        <f>SUM(H36:H65)</f>
        <v>0</v>
      </c>
      <c r="I67" s="7">
        <f>SUM(B67:H67)</f>
        <v>57492.610000000001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N37" zoomScale="100" workbookViewId="0">
      <selection activeCell="B36" activeCellId="0" sqref="B36:S66"/>
    </sheetView>
  </sheetViews>
  <sheetFormatPr defaultRowHeight="14.25"/>
  <cols>
    <col bestFit="1" customWidth="1" min="1" max="1" width="13.140625"/>
    <col bestFit="1" customWidth="1" min="11" max="11" width="10.85546875"/>
    <col customWidth="1" min="23" max="23" width="11.7109375"/>
  </cols>
  <sheetData>
    <row r="1">
      <c r="A1" s="82" t="s">
        <v>0</v>
      </c>
      <c r="B1" s="83" t="s">
        <v>70</v>
      </c>
      <c r="C1" s="83" t="s">
        <v>71</v>
      </c>
      <c r="D1" s="83" t="s">
        <v>72</v>
      </c>
      <c r="E1" s="83" t="s">
        <v>3</v>
      </c>
      <c r="F1" s="83" t="s">
        <v>4</v>
      </c>
      <c r="G1" s="83" t="s">
        <v>5</v>
      </c>
      <c r="H1" s="83" t="s">
        <v>6</v>
      </c>
      <c r="I1" s="83" t="s">
        <v>7</v>
      </c>
      <c r="J1" s="83" t="s">
        <v>8</v>
      </c>
      <c r="K1" s="83" t="s">
        <v>9</v>
      </c>
      <c r="L1" s="83" t="s">
        <v>10</v>
      </c>
      <c r="M1" s="83" t="s">
        <v>11</v>
      </c>
      <c r="N1" s="83" t="s">
        <v>12</v>
      </c>
      <c r="O1" s="83" t="s">
        <v>13</v>
      </c>
      <c r="P1" s="83" t="s">
        <v>19</v>
      </c>
      <c r="Q1" s="83" t="s">
        <v>20</v>
      </c>
      <c r="R1" s="83" t="s">
        <v>73</v>
      </c>
      <c r="S1" s="83" t="s">
        <v>62</v>
      </c>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19</v>
      </c>
      <c r="AM1" s="83" t="s">
        <v>20</v>
      </c>
      <c r="AN1" s="83" t="s">
        <v>73</v>
      </c>
      <c r="AO1" s="83" t="s">
        <v>62</v>
      </c>
    </row>
    <row r="2">
      <c r="A2" s="11">
        <v>44470</v>
      </c>
      <c r="B2" s="14"/>
      <c r="C2" s="14"/>
      <c r="D2" s="14"/>
      <c r="E2" s="14"/>
      <c r="F2" s="14"/>
      <c r="G2" s="14"/>
      <c r="H2" s="14"/>
      <c r="I2" s="14"/>
      <c r="J2" s="14"/>
      <c r="K2" s="14">
        <v>137</v>
      </c>
      <c r="L2" s="14">
        <v>600</v>
      </c>
      <c r="M2" s="14"/>
      <c r="N2" s="14"/>
      <c r="O2" s="14"/>
      <c r="P2" s="14"/>
      <c r="Q2" s="14"/>
      <c r="R2" s="14"/>
      <c r="S2" s="14"/>
      <c r="W2" s="11">
        <v>44470</v>
      </c>
      <c r="X2" s="14"/>
      <c r="Y2" s="14"/>
      <c r="Z2" s="14"/>
      <c r="AA2" s="14"/>
      <c r="AB2" s="14"/>
      <c r="AC2" s="14"/>
      <c r="AD2" s="14"/>
      <c r="AE2" s="14"/>
      <c r="AF2" s="14"/>
      <c r="AG2" s="14"/>
      <c r="AH2" s="14"/>
      <c r="AI2" s="14"/>
      <c r="AJ2" s="14"/>
      <c r="AK2" s="14"/>
      <c r="AL2" s="14"/>
      <c r="AM2" s="14"/>
      <c r="AN2" s="14"/>
      <c r="AO2" s="14"/>
    </row>
    <row r="3">
      <c r="A3" s="11">
        <v>44471</v>
      </c>
      <c r="B3" s="5">
        <f>42+564+40</f>
        <v>646</v>
      </c>
      <c r="C3" s="5">
        <v>29.989999999999998</v>
      </c>
      <c r="D3" s="5"/>
      <c r="E3" s="5">
        <f>680</f>
        <v>680</v>
      </c>
      <c r="F3" s="5"/>
      <c r="G3" s="5"/>
      <c r="H3" s="5"/>
      <c r="I3" s="5">
        <f>9999+7098</f>
        <v>17097</v>
      </c>
      <c r="J3" s="5">
        <f>71+578</f>
        <v>649</v>
      </c>
      <c r="K3" s="5"/>
      <c r="L3" s="5"/>
      <c r="M3" s="5"/>
      <c r="N3" s="5"/>
      <c r="O3" s="5"/>
      <c r="P3" s="5"/>
      <c r="Q3" s="5"/>
      <c r="R3" s="5"/>
      <c r="S3" s="5"/>
      <c r="W3" s="11">
        <v>44471</v>
      </c>
      <c r="X3" s="5"/>
      <c r="Y3" s="5"/>
      <c r="Z3" s="5"/>
      <c r="AA3" s="5"/>
      <c r="AB3" s="5"/>
      <c r="AC3" s="5"/>
      <c r="AD3" s="5"/>
      <c r="AE3" s="5"/>
      <c r="AF3" s="5"/>
      <c r="AG3" s="5"/>
      <c r="AH3" s="5"/>
      <c r="AI3" s="5"/>
      <c r="AJ3" s="5"/>
      <c r="AK3" s="5"/>
      <c r="AL3" s="5"/>
      <c r="AM3" s="5"/>
      <c r="AN3" s="5"/>
      <c r="AO3" s="5"/>
    </row>
    <row r="4">
      <c r="A4" s="11">
        <v>44472</v>
      </c>
      <c r="B4" s="14"/>
      <c r="C4" s="14">
        <v>1201.1800000000001</v>
      </c>
      <c r="D4" s="14"/>
      <c r="E4" s="14"/>
      <c r="F4" s="14"/>
      <c r="G4" s="14"/>
      <c r="H4" s="14"/>
      <c r="I4" s="14"/>
      <c r="J4" s="14"/>
      <c r="K4" s="14"/>
      <c r="L4" s="14"/>
      <c r="M4" s="14"/>
      <c r="N4" s="14"/>
      <c r="O4" s="14"/>
      <c r="P4" s="14"/>
      <c r="Q4" s="14"/>
      <c r="R4" s="14"/>
      <c r="S4" s="14"/>
      <c r="W4" s="11">
        <v>44472</v>
      </c>
      <c r="X4" s="14"/>
      <c r="Y4" s="14"/>
      <c r="Z4" s="14"/>
      <c r="AA4" s="14"/>
      <c r="AB4" s="14"/>
      <c r="AC4" s="14"/>
      <c r="AD4" s="14"/>
      <c r="AE4" s="14"/>
      <c r="AF4" s="14"/>
      <c r="AG4" s="14"/>
      <c r="AH4" s="14"/>
      <c r="AI4" s="14"/>
      <c r="AJ4" s="14"/>
      <c r="AK4" s="14"/>
      <c r="AL4" s="14"/>
      <c r="AM4" s="14"/>
      <c r="AN4" s="14"/>
      <c r="AO4" s="14"/>
    </row>
    <row r="5">
      <c r="A5" s="11">
        <v>44473</v>
      </c>
      <c r="B5" s="5">
        <v>20</v>
      </c>
      <c r="C5" s="5"/>
      <c r="D5" s="5"/>
      <c r="E5" s="5"/>
      <c r="F5" s="5"/>
      <c r="G5" s="5"/>
      <c r="H5" s="5"/>
      <c r="I5" s="5"/>
      <c r="J5" s="5"/>
      <c r="K5" s="5"/>
      <c r="L5" s="5"/>
      <c r="M5" s="5"/>
      <c r="N5" s="5"/>
      <c r="O5" s="5"/>
      <c r="P5" s="5"/>
      <c r="Q5" s="5"/>
      <c r="R5" s="5"/>
      <c r="S5" s="5"/>
      <c r="W5" s="11">
        <v>44473</v>
      </c>
      <c r="X5" s="5"/>
      <c r="Y5" s="5"/>
      <c r="Z5" s="5"/>
      <c r="AA5" s="5"/>
      <c r="AB5" s="5"/>
      <c r="AC5" s="5"/>
      <c r="AD5" s="5"/>
      <c r="AE5" s="5"/>
      <c r="AF5" s="5"/>
      <c r="AG5" s="5"/>
      <c r="AH5" s="5"/>
      <c r="AI5" s="5"/>
      <c r="AJ5" s="5"/>
      <c r="AK5" s="5"/>
      <c r="AL5" s="5"/>
      <c r="AM5" s="5"/>
      <c r="AN5" s="5"/>
      <c r="AO5" s="5"/>
    </row>
    <row r="6">
      <c r="A6" s="11">
        <v>44474</v>
      </c>
      <c r="B6" s="14"/>
      <c r="C6" s="14">
        <v>206.96000000000001</v>
      </c>
      <c r="D6" s="14"/>
      <c r="E6" s="14"/>
      <c r="F6" s="14"/>
      <c r="G6" s="14"/>
      <c r="H6" s="14"/>
      <c r="I6" s="14"/>
      <c r="J6" s="14"/>
      <c r="K6" s="14"/>
      <c r="L6" s="14"/>
      <c r="M6" s="14"/>
      <c r="N6" s="14"/>
      <c r="O6" s="14"/>
      <c r="P6" s="14"/>
      <c r="Q6" s="14">
        <v>460</v>
      </c>
      <c r="R6" s="14"/>
      <c r="S6" s="14"/>
      <c r="W6" s="11">
        <v>44474</v>
      </c>
      <c r="X6" s="14"/>
      <c r="Y6" s="14"/>
      <c r="Z6" s="14"/>
      <c r="AA6" s="14"/>
      <c r="AB6" s="14"/>
      <c r="AC6" s="14"/>
      <c r="AD6" s="14"/>
      <c r="AE6" s="14"/>
      <c r="AF6" s="14"/>
      <c r="AG6" s="14"/>
      <c r="AH6" s="14"/>
      <c r="AI6" s="14"/>
      <c r="AJ6" s="14"/>
      <c r="AK6" s="14"/>
      <c r="AL6" s="14"/>
      <c r="AM6" s="14"/>
      <c r="AN6" s="14"/>
      <c r="AO6" s="14"/>
    </row>
    <row r="7">
      <c r="A7" s="11">
        <v>44475</v>
      </c>
      <c r="B7" s="5"/>
      <c r="C7" s="5"/>
      <c r="D7" s="5"/>
      <c r="E7" s="5"/>
      <c r="F7" s="5"/>
      <c r="G7" s="5"/>
      <c r="H7" s="5"/>
      <c r="I7" s="5"/>
      <c r="J7" s="5"/>
      <c r="K7" s="5"/>
      <c r="L7" s="5">
        <v>790.83000000000004</v>
      </c>
      <c r="M7" s="5"/>
      <c r="N7" s="5"/>
      <c r="O7" s="5"/>
      <c r="P7" s="5"/>
      <c r="Q7" s="5"/>
      <c r="R7" s="5"/>
      <c r="S7" s="5"/>
      <c r="W7" s="11">
        <v>44475</v>
      </c>
      <c r="X7" s="5"/>
      <c r="Y7" s="5"/>
      <c r="Z7" s="5"/>
      <c r="AA7" s="5"/>
      <c r="AB7" s="5"/>
      <c r="AC7" s="5"/>
      <c r="AD7" s="5"/>
      <c r="AE7" s="5"/>
      <c r="AF7" s="5"/>
      <c r="AG7" s="5"/>
      <c r="AH7" s="5"/>
      <c r="AI7" s="5"/>
      <c r="AJ7" s="5"/>
      <c r="AK7" s="5"/>
      <c r="AL7" s="5"/>
      <c r="AM7" s="5"/>
      <c r="AN7" s="5"/>
      <c r="AO7" s="5"/>
    </row>
    <row r="8">
      <c r="A8" s="11">
        <v>44476</v>
      </c>
      <c r="B8" s="14"/>
      <c r="C8" s="14"/>
      <c r="D8" s="14"/>
      <c r="E8" s="14">
        <v>690</v>
      </c>
      <c r="F8" s="14"/>
      <c r="G8" s="14"/>
      <c r="H8" s="14"/>
      <c r="I8" s="14"/>
      <c r="J8" s="14"/>
      <c r="K8" s="14"/>
      <c r="L8" s="14"/>
      <c r="M8" s="14"/>
      <c r="N8" s="14"/>
      <c r="O8" s="14"/>
      <c r="P8" s="14"/>
      <c r="Q8" s="14"/>
      <c r="R8" s="14"/>
      <c r="S8" s="14"/>
      <c r="W8" s="11">
        <v>44476</v>
      </c>
      <c r="X8" s="14"/>
      <c r="Y8" s="14"/>
      <c r="Z8" s="14"/>
      <c r="AA8" s="14"/>
      <c r="AB8" s="14"/>
      <c r="AC8" s="14"/>
      <c r="AD8" s="14"/>
      <c r="AE8" s="14"/>
      <c r="AF8" s="14"/>
      <c r="AG8" s="14"/>
      <c r="AH8" s="14"/>
      <c r="AI8" s="14"/>
      <c r="AJ8" s="14"/>
      <c r="AK8" s="14"/>
      <c r="AL8" s="14"/>
      <c r="AM8" s="14"/>
      <c r="AN8" s="14"/>
      <c r="AO8" s="14"/>
    </row>
    <row r="9">
      <c r="A9" s="11">
        <v>44477</v>
      </c>
      <c r="B9" s="5">
        <f>20+54</f>
        <v>74</v>
      </c>
      <c r="C9" s="5">
        <v>278.16000000000003</v>
      </c>
      <c r="D9" s="5">
        <v>208</v>
      </c>
      <c r="E9" s="5"/>
      <c r="F9" s="5"/>
      <c r="G9" s="5"/>
      <c r="H9" s="5"/>
      <c r="I9" s="5"/>
      <c r="J9" s="5"/>
      <c r="K9" s="5"/>
      <c r="L9" s="5"/>
      <c r="M9" s="5"/>
      <c r="N9" s="5"/>
      <c r="O9" s="5"/>
      <c r="P9" s="5"/>
      <c r="Q9" s="5"/>
      <c r="R9" s="5"/>
      <c r="S9" s="5"/>
      <c r="W9" s="11">
        <v>44477</v>
      </c>
      <c r="X9" s="5"/>
      <c r="Y9" s="5"/>
      <c r="Z9" s="5"/>
      <c r="AA9" s="5"/>
      <c r="AB9" s="5"/>
      <c r="AC9" s="5"/>
      <c r="AD9" s="5"/>
      <c r="AE9" s="5"/>
      <c r="AF9" s="5"/>
      <c r="AG9" s="5"/>
      <c r="AH9" s="5"/>
      <c r="AI9" s="5"/>
      <c r="AJ9" s="5"/>
      <c r="AK9" s="5"/>
      <c r="AL9" s="5"/>
      <c r="AM9" s="5"/>
      <c r="AN9" s="5"/>
      <c r="AO9" s="5"/>
    </row>
    <row r="10">
      <c r="A10" s="11">
        <v>44478</v>
      </c>
      <c r="B10" s="14"/>
      <c r="C10" s="14"/>
      <c r="D10" s="14"/>
      <c r="E10" s="14"/>
      <c r="F10" s="14"/>
      <c r="G10" s="14"/>
      <c r="H10" s="14"/>
      <c r="I10" s="14"/>
      <c r="J10" s="14"/>
      <c r="K10" s="14"/>
      <c r="L10" s="14"/>
      <c r="M10" s="14"/>
      <c r="N10" s="14"/>
      <c r="O10" s="14"/>
      <c r="P10" s="14"/>
      <c r="Q10" s="14"/>
      <c r="R10" s="14"/>
      <c r="S10" s="14"/>
      <c r="W10" s="11">
        <v>44478</v>
      </c>
      <c r="X10" s="14"/>
      <c r="Y10" s="14"/>
      <c r="Z10" s="14"/>
      <c r="AA10" s="14"/>
      <c r="AB10" s="14"/>
      <c r="AC10" s="14"/>
      <c r="AD10" s="14"/>
      <c r="AE10" s="14"/>
      <c r="AF10" s="14"/>
      <c r="AG10" s="14"/>
      <c r="AH10" s="14"/>
      <c r="AI10" s="14"/>
      <c r="AJ10" s="14"/>
      <c r="AK10" s="14"/>
      <c r="AL10" s="14"/>
      <c r="AM10" s="14"/>
      <c r="AN10" s="14"/>
      <c r="AO10" s="14"/>
    </row>
    <row r="11">
      <c r="A11" s="11">
        <v>44479</v>
      </c>
      <c r="B11" s="5"/>
      <c r="C11" s="5">
        <f>50+169</f>
        <v>219</v>
      </c>
      <c r="D11" s="5"/>
      <c r="E11" s="5"/>
      <c r="F11" s="5"/>
      <c r="G11" s="5"/>
      <c r="H11" s="5"/>
      <c r="I11" s="5"/>
      <c r="J11" s="5"/>
      <c r="K11" s="5"/>
      <c r="M11" s="5"/>
      <c r="N11" s="5"/>
      <c r="O11" s="5"/>
      <c r="P11" s="5"/>
      <c r="Q11" s="5"/>
      <c r="R11" s="5"/>
      <c r="S11" s="5"/>
      <c r="W11" s="11">
        <v>44479</v>
      </c>
      <c r="X11" s="5"/>
      <c r="Y11" s="5"/>
      <c r="Z11" s="5"/>
      <c r="AA11" s="5"/>
      <c r="AB11" s="5"/>
      <c r="AC11" s="5"/>
      <c r="AD11" s="5"/>
      <c r="AE11" s="5"/>
      <c r="AF11" s="5"/>
      <c r="AG11" s="5"/>
      <c r="AH11" s="5"/>
      <c r="AI11" s="5"/>
      <c r="AJ11" s="5"/>
      <c r="AK11" s="5"/>
      <c r="AL11" s="5"/>
      <c r="AM11" s="5"/>
      <c r="AN11" s="5"/>
      <c r="AO11" s="5"/>
    </row>
    <row r="12">
      <c r="A12" s="11">
        <v>44480</v>
      </c>
      <c r="B12" s="14"/>
      <c r="C12" s="14">
        <v>732.40999999999997</v>
      </c>
      <c r="D12" s="14">
        <f>37+17</f>
        <v>54</v>
      </c>
      <c r="E12" s="14"/>
      <c r="F12" s="14"/>
      <c r="G12" s="14"/>
      <c r="H12" s="14"/>
      <c r="I12" s="14"/>
      <c r="J12" s="14"/>
      <c r="K12" s="14"/>
      <c r="L12" s="14"/>
      <c r="M12" s="14"/>
      <c r="N12" s="14"/>
      <c r="O12" s="14"/>
      <c r="P12" s="14"/>
      <c r="Q12" s="14"/>
      <c r="R12" s="14"/>
      <c r="S12" s="14"/>
      <c r="W12" s="11">
        <v>44480</v>
      </c>
      <c r="X12" s="14"/>
      <c r="Y12" s="14"/>
      <c r="Z12" s="14"/>
      <c r="AA12" s="14"/>
      <c r="AB12" s="14"/>
      <c r="AC12" s="14"/>
      <c r="AD12" s="14"/>
      <c r="AE12" s="14"/>
      <c r="AF12" s="14"/>
      <c r="AG12" s="14"/>
      <c r="AH12" s="14"/>
      <c r="AI12" s="14"/>
      <c r="AJ12" s="14"/>
      <c r="AK12" s="14"/>
      <c r="AL12" s="14"/>
      <c r="AM12" s="14"/>
      <c r="AN12" s="14"/>
      <c r="AO12" s="14"/>
    </row>
    <row r="13">
      <c r="A13" s="11">
        <v>44481</v>
      </c>
      <c r="B13" s="5">
        <v>54</v>
      </c>
      <c r="C13" s="5">
        <v>305</v>
      </c>
      <c r="D13" s="5">
        <v>156</v>
      </c>
      <c r="E13" s="5"/>
      <c r="F13" s="5"/>
      <c r="G13" s="5"/>
      <c r="H13" s="5"/>
      <c r="I13" s="5"/>
      <c r="J13" s="5"/>
      <c r="K13" s="5"/>
      <c r="L13" s="5"/>
      <c r="M13" s="5"/>
      <c r="N13" s="5"/>
      <c r="O13" s="5"/>
      <c r="P13" s="5"/>
      <c r="Q13" s="5"/>
      <c r="R13" s="5"/>
      <c r="S13" s="5"/>
      <c r="W13" s="11">
        <v>44481</v>
      </c>
      <c r="X13" s="5"/>
      <c r="Y13" s="5"/>
      <c r="Z13" s="5"/>
      <c r="AA13" s="5"/>
      <c r="AB13" s="5"/>
      <c r="AC13" s="5"/>
      <c r="AD13" s="5"/>
      <c r="AE13" s="5"/>
      <c r="AF13" s="5"/>
      <c r="AG13" s="5"/>
      <c r="AH13" s="5"/>
      <c r="AI13" s="5"/>
      <c r="AJ13" s="5"/>
      <c r="AK13" s="5"/>
      <c r="AL13" s="5"/>
      <c r="AM13" s="5"/>
      <c r="AN13" s="5"/>
      <c r="AO13" s="5"/>
    </row>
    <row r="14">
      <c r="A14" s="11">
        <v>44482</v>
      </c>
      <c r="B14" s="14"/>
      <c r="C14" s="14"/>
      <c r="D14" s="14">
        <v>151</v>
      </c>
      <c r="E14" s="14"/>
      <c r="F14" s="14"/>
      <c r="G14" s="14"/>
      <c r="H14" s="14"/>
      <c r="I14" s="14"/>
      <c r="J14" s="14">
        <v>210</v>
      </c>
      <c r="K14" s="14"/>
      <c r="L14" s="14"/>
      <c r="M14" s="14"/>
      <c r="N14" s="14"/>
      <c r="O14" s="14"/>
      <c r="P14" s="14"/>
      <c r="Q14" s="14"/>
      <c r="R14" s="14"/>
      <c r="S14" s="14"/>
      <c r="W14" s="11">
        <v>44482</v>
      </c>
      <c r="X14" s="14"/>
      <c r="Y14" s="14"/>
      <c r="Z14" s="14"/>
      <c r="AA14" s="14"/>
      <c r="AB14" s="14"/>
      <c r="AC14" s="14"/>
      <c r="AD14" s="14"/>
      <c r="AE14" s="14"/>
      <c r="AF14" s="14"/>
      <c r="AG14" s="14"/>
      <c r="AH14" s="14"/>
      <c r="AI14" s="14"/>
      <c r="AJ14" s="14"/>
      <c r="AK14" s="14"/>
      <c r="AL14" s="14"/>
      <c r="AM14" s="14"/>
      <c r="AN14" s="14"/>
      <c r="AO14" s="14"/>
    </row>
    <row r="15">
      <c r="A15" s="11">
        <v>44483</v>
      </c>
      <c r="B15" s="5"/>
      <c r="C15" s="5"/>
      <c r="D15" s="5">
        <v>144</v>
      </c>
      <c r="E15" s="5"/>
      <c r="F15" s="5"/>
      <c r="G15" s="5"/>
      <c r="H15" s="5"/>
      <c r="I15" s="5"/>
      <c r="J15" s="5"/>
      <c r="K15" s="5"/>
      <c r="L15" s="5"/>
      <c r="M15" s="5"/>
      <c r="N15" s="5"/>
      <c r="O15" s="5"/>
      <c r="P15" s="5"/>
      <c r="Q15" s="5"/>
      <c r="R15" s="5"/>
      <c r="S15" s="5"/>
      <c r="W15" s="11">
        <v>44483</v>
      </c>
      <c r="X15" s="5"/>
      <c r="Y15" s="5"/>
      <c r="Z15" s="5"/>
      <c r="AA15" s="5"/>
      <c r="AB15" s="5"/>
      <c r="AC15" s="5"/>
      <c r="AD15" s="5"/>
      <c r="AE15" s="5"/>
      <c r="AF15" s="5"/>
      <c r="AG15" s="5"/>
      <c r="AH15" s="5"/>
      <c r="AI15" s="5"/>
      <c r="AJ15" s="5"/>
      <c r="AK15" s="5"/>
      <c r="AL15" s="5"/>
      <c r="AM15" s="5"/>
      <c r="AN15" s="5"/>
      <c r="AO15" s="5"/>
    </row>
    <row r="16">
      <c r="A16" s="11">
        <v>44484</v>
      </c>
      <c r="B16" s="14"/>
      <c r="C16" s="14">
        <v>356.23000000000002</v>
      </c>
      <c r="D16" s="14">
        <v>164</v>
      </c>
      <c r="E16" s="14"/>
      <c r="F16" s="14"/>
      <c r="G16" s="14"/>
      <c r="H16" s="14"/>
      <c r="I16" s="14"/>
      <c r="J16" s="14"/>
      <c r="K16" s="14"/>
      <c r="L16" s="14"/>
      <c r="M16" s="14"/>
      <c r="N16" s="14"/>
      <c r="O16" s="14"/>
      <c r="P16" s="14"/>
      <c r="Q16" s="14"/>
      <c r="R16" s="14"/>
      <c r="S16" s="14"/>
      <c r="W16" s="11">
        <v>44484</v>
      </c>
      <c r="X16" s="14"/>
      <c r="Y16" s="14"/>
      <c r="Z16" s="14"/>
      <c r="AA16" s="14"/>
      <c r="AB16" s="14"/>
      <c r="AC16" s="14"/>
      <c r="AD16" s="14"/>
      <c r="AE16" s="14"/>
      <c r="AF16" s="14"/>
      <c r="AG16" s="14"/>
      <c r="AH16" s="14"/>
      <c r="AI16" s="14"/>
      <c r="AJ16" s="14"/>
      <c r="AK16" s="14"/>
      <c r="AL16" s="14"/>
      <c r="AM16" s="14"/>
      <c r="AN16" s="14"/>
      <c r="AO16" s="14"/>
    </row>
    <row r="17">
      <c r="A17" s="11">
        <v>44485</v>
      </c>
      <c r="B17" s="5"/>
      <c r="C17" s="5"/>
      <c r="D17" s="5"/>
      <c r="E17" s="5"/>
      <c r="F17" s="5"/>
      <c r="G17" s="5"/>
      <c r="H17" s="5"/>
      <c r="I17" s="5"/>
      <c r="J17" s="5"/>
      <c r="K17" s="5"/>
      <c r="L17" s="5"/>
      <c r="M17" s="5"/>
      <c r="N17" s="5"/>
      <c r="O17" s="5"/>
      <c r="P17" s="5"/>
      <c r="Q17" s="5"/>
      <c r="R17" s="5"/>
      <c r="S17" s="5"/>
      <c r="W17" s="11">
        <v>44485</v>
      </c>
      <c r="X17" s="5"/>
      <c r="Y17" s="5"/>
      <c r="Z17" s="5"/>
      <c r="AA17" s="5"/>
      <c r="AB17" s="5"/>
      <c r="AC17" s="5"/>
      <c r="AD17" s="5"/>
      <c r="AE17" s="5"/>
      <c r="AF17" s="5"/>
      <c r="AG17" s="5"/>
      <c r="AH17" s="5"/>
      <c r="AI17" s="5"/>
      <c r="AJ17" s="5"/>
      <c r="AK17" s="5"/>
      <c r="AL17" s="5"/>
      <c r="AM17" s="5"/>
      <c r="AN17" s="5"/>
      <c r="AO17" s="5"/>
    </row>
    <row r="18">
      <c r="A18" s="11">
        <v>44486</v>
      </c>
      <c r="B18" s="14"/>
      <c r="C18" s="14">
        <v>528.13999999999999</v>
      </c>
      <c r="D18" s="14">
        <v>229.97999999999999</v>
      </c>
      <c r="E18" s="14"/>
      <c r="F18" s="14"/>
      <c r="G18" s="14"/>
      <c r="H18" s="14"/>
      <c r="I18" s="14"/>
      <c r="J18" s="14">
        <f>597.8+552</f>
        <v>1149.8</v>
      </c>
      <c r="K18" s="14"/>
      <c r="L18" s="14"/>
      <c r="M18" s="14"/>
      <c r="N18" s="14"/>
      <c r="O18" s="14"/>
      <c r="P18" s="14"/>
      <c r="Q18" s="14"/>
      <c r="R18" s="14"/>
      <c r="S18" s="14"/>
      <c r="W18" s="11">
        <v>44486</v>
      </c>
      <c r="X18" s="14"/>
      <c r="Y18" s="14"/>
      <c r="Z18" s="14"/>
      <c r="AA18" s="14"/>
      <c r="AB18" s="14"/>
      <c r="AC18" s="14"/>
      <c r="AD18" s="14"/>
      <c r="AE18" s="14"/>
      <c r="AF18" s="14"/>
      <c r="AG18" s="14"/>
      <c r="AH18" s="14"/>
      <c r="AI18" s="14"/>
      <c r="AJ18" s="14"/>
      <c r="AK18" s="14"/>
      <c r="AL18" s="14"/>
      <c r="AM18" s="14"/>
      <c r="AN18" s="14"/>
      <c r="AO18" s="14"/>
    </row>
    <row r="19">
      <c r="A19" s="11">
        <v>44487</v>
      </c>
      <c r="B19" s="5">
        <v>54</v>
      </c>
      <c r="C19" s="5"/>
      <c r="D19" s="5">
        <v>151</v>
      </c>
      <c r="E19" s="5">
        <v>480</v>
      </c>
      <c r="F19" s="5"/>
      <c r="G19" s="5"/>
      <c r="H19" s="5"/>
      <c r="I19" s="5"/>
      <c r="J19" s="5"/>
      <c r="K19" s="5"/>
      <c r="L19" s="5"/>
      <c r="M19" s="5"/>
      <c r="N19" s="5"/>
      <c r="O19" s="5"/>
      <c r="P19" s="5"/>
      <c r="Q19" s="5"/>
      <c r="R19" s="5"/>
      <c r="S19" s="5"/>
      <c r="W19" s="11">
        <v>44487</v>
      </c>
      <c r="X19" s="5"/>
      <c r="Y19" s="5"/>
      <c r="Z19" s="5"/>
      <c r="AA19" s="5"/>
      <c r="AB19" s="5"/>
      <c r="AC19" s="5"/>
      <c r="AD19" s="5"/>
      <c r="AE19" s="5"/>
      <c r="AF19" s="5"/>
      <c r="AG19" s="5"/>
      <c r="AH19" s="5"/>
      <c r="AI19" s="5"/>
      <c r="AJ19" s="5"/>
      <c r="AK19" s="5"/>
      <c r="AL19" s="5"/>
      <c r="AM19" s="5"/>
      <c r="AN19" s="5"/>
      <c r="AO19" s="5"/>
    </row>
    <row r="20">
      <c r="A20" s="11">
        <v>44488</v>
      </c>
      <c r="B20" s="14">
        <v>54</v>
      </c>
      <c r="C20" s="14"/>
      <c r="D20" s="14">
        <v>139</v>
      </c>
      <c r="E20" s="14"/>
      <c r="F20" s="14"/>
      <c r="G20" s="14"/>
      <c r="H20" s="14"/>
      <c r="I20" s="14"/>
      <c r="J20" s="14"/>
      <c r="K20" s="14"/>
      <c r="L20" s="14"/>
      <c r="M20" s="14"/>
      <c r="N20" s="14"/>
      <c r="O20" s="14"/>
      <c r="P20" s="34"/>
      <c r="Q20" s="14"/>
      <c r="R20" s="14"/>
      <c r="S20" s="14"/>
      <c r="W20" s="11">
        <v>44488</v>
      </c>
      <c r="X20" s="14"/>
      <c r="Y20" s="14"/>
      <c r="Z20" s="14"/>
      <c r="AA20" s="14"/>
      <c r="AB20" s="14"/>
      <c r="AC20" s="14"/>
      <c r="AD20" s="14"/>
      <c r="AE20" s="14"/>
      <c r="AF20" s="14"/>
      <c r="AG20" s="14"/>
      <c r="AH20" s="14"/>
      <c r="AI20" s="14"/>
      <c r="AJ20" s="14"/>
      <c r="AK20" s="14"/>
      <c r="AL20" s="34"/>
      <c r="AM20" s="14"/>
      <c r="AN20" s="14"/>
      <c r="AO20" s="14"/>
    </row>
    <row r="21">
      <c r="A21" s="11">
        <v>44489</v>
      </c>
      <c r="B21" s="69"/>
      <c r="C21" s="5"/>
      <c r="D21" s="5">
        <v>161</v>
      </c>
      <c r="E21" s="5"/>
      <c r="F21" s="5"/>
      <c r="G21" s="5">
        <v>300</v>
      </c>
      <c r="H21" s="5"/>
      <c r="I21" s="5"/>
      <c r="J21" s="5"/>
      <c r="K21" s="5"/>
      <c r="L21" s="5"/>
      <c r="M21" s="5"/>
      <c r="N21" s="5"/>
      <c r="O21" s="5"/>
      <c r="P21" s="5"/>
      <c r="Q21" s="5"/>
      <c r="R21" s="5"/>
      <c r="S21" s="5"/>
      <c r="W21" s="11">
        <v>44489</v>
      </c>
      <c r="X21" s="69"/>
      <c r="Y21" s="5"/>
      <c r="Z21" s="5"/>
      <c r="AA21" s="5"/>
      <c r="AB21" s="5"/>
      <c r="AC21" s="5"/>
      <c r="AD21" s="5"/>
      <c r="AE21" s="5"/>
      <c r="AF21" s="5"/>
      <c r="AG21" s="5"/>
      <c r="AH21" s="5"/>
      <c r="AI21" s="5"/>
      <c r="AJ21" s="5"/>
      <c r="AK21" s="5"/>
      <c r="AL21" s="5"/>
      <c r="AM21" s="5"/>
      <c r="AN21" s="5"/>
      <c r="AO21" s="5"/>
    </row>
    <row r="22">
      <c r="A22" s="11">
        <v>44490</v>
      </c>
      <c r="B22" s="22"/>
      <c r="C22" s="14"/>
      <c r="D22" s="14"/>
      <c r="E22" s="14"/>
      <c r="F22" s="14"/>
      <c r="G22" s="14"/>
      <c r="H22" s="14"/>
      <c r="I22" s="14"/>
      <c r="J22" s="14"/>
      <c r="K22" s="14"/>
      <c r="L22" s="14"/>
      <c r="M22" s="14"/>
      <c r="N22" s="14"/>
      <c r="O22" s="14"/>
      <c r="P22" s="14"/>
      <c r="Q22" s="14"/>
      <c r="R22" s="14"/>
      <c r="S22" s="14"/>
      <c r="W22" s="11">
        <v>44490</v>
      </c>
      <c r="X22" s="22"/>
      <c r="Y22" s="14"/>
      <c r="Z22" s="14"/>
      <c r="AA22" s="14"/>
      <c r="AB22" s="14"/>
      <c r="AC22" s="14"/>
      <c r="AD22" s="14"/>
      <c r="AE22" s="14"/>
      <c r="AF22" s="14"/>
      <c r="AG22" s="14"/>
      <c r="AH22" s="14"/>
      <c r="AI22" s="14"/>
      <c r="AJ22" s="14"/>
      <c r="AK22" s="14"/>
      <c r="AL22" s="14"/>
      <c r="AM22" s="14"/>
      <c r="AN22" s="14"/>
      <c r="AO22" s="14"/>
    </row>
    <row r="23">
      <c r="A23" s="11">
        <v>44491</v>
      </c>
      <c r="B23" s="5"/>
      <c r="C23" s="5"/>
      <c r="D23" s="5">
        <v>82</v>
      </c>
      <c r="E23" s="5"/>
      <c r="F23" s="5"/>
      <c r="G23" s="5"/>
      <c r="H23" s="5"/>
      <c r="I23" s="5"/>
      <c r="J23" s="5"/>
      <c r="K23" s="5"/>
      <c r="L23" s="5"/>
      <c r="M23" s="5"/>
      <c r="N23" s="5"/>
      <c r="O23" s="5"/>
      <c r="P23" s="5"/>
      <c r="Q23" s="5"/>
      <c r="R23" s="5"/>
      <c r="S23" s="5"/>
      <c r="W23" s="11">
        <v>44491</v>
      </c>
      <c r="X23" s="5"/>
      <c r="Y23" s="5"/>
      <c r="Z23" s="5"/>
      <c r="AA23" s="5"/>
      <c r="AB23" s="5"/>
      <c r="AC23" s="5"/>
      <c r="AD23" s="5"/>
      <c r="AE23" s="5"/>
      <c r="AF23" s="5"/>
      <c r="AG23" s="5"/>
      <c r="AH23" s="5"/>
      <c r="AI23" s="5"/>
      <c r="AJ23" s="5"/>
      <c r="AK23" s="5"/>
      <c r="AL23" s="5"/>
      <c r="AM23" s="5"/>
      <c r="AN23" s="5"/>
      <c r="AO23" s="5"/>
    </row>
    <row r="24">
      <c r="A24" s="11">
        <v>44492</v>
      </c>
      <c r="B24" s="14"/>
      <c r="C24" s="14"/>
      <c r="D24" s="14"/>
      <c r="E24" s="14"/>
      <c r="F24" s="14"/>
      <c r="G24" s="14"/>
      <c r="H24" s="14"/>
      <c r="I24" s="14"/>
      <c r="J24" s="14">
        <f>1020+6109.7</f>
        <v>7129.6999999999998</v>
      </c>
      <c r="K24" s="14"/>
      <c r="L24" s="14"/>
      <c r="M24" s="14"/>
      <c r="N24" s="14"/>
      <c r="O24" s="14"/>
      <c r="P24" s="14"/>
      <c r="Q24" s="14"/>
      <c r="R24" s="14"/>
      <c r="S24" s="14"/>
      <c r="W24" s="11">
        <v>44492</v>
      </c>
      <c r="X24" s="14"/>
      <c r="Y24" s="14"/>
      <c r="Z24" s="14"/>
      <c r="AA24" s="14"/>
      <c r="AB24" s="14"/>
      <c r="AC24" s="14"/>
      <c r="AD24" s="14"/>
      <c r="AE24" s="14"/>
      <c r="AF24" s="14"/>
      <c r="AG24" s="14"/>
      <c r="AH24" s="14"/>
      <c r="AI24" s="14"/>
      <c r="AJ24" s="14"/>
      <c r="AK24" s="14"/>
      <c r="AL24" s="14"/>
      <c r="AM24" s="14"/>
      <c r="AN24" s="14"/>
      <c r="AO24" s="14"/>
    </row>
    <row r="25">
      <c r="A25" s="11">
        <v>44493</v>
      </c>
      <c r="B25" s="28"/>
      <c r="C25" s="5"/>
      <c r="D25" s="5"/>
      <c r="E25" s="5"/>
      <c r="F25" s="5"/>
      <c r="G25" s="5"/>
      <c r="H25" s="5"/>
      <c r="I25" s="5"/>
      <c r="J25" s="5">
        <v>994.64999999999998</v>
      </c>
      <c r="K25" s="5"/>
      <c r="L25" s="5"/>
      <c r="M25" s="5"/>
      <c r="N25" s="5"/>
      <c r="O25" s="5"/>
      <c r="P25" s="5"/>
      <c r="Q25" s="5"/>
      <c r="R25" s="5"/>
      <c r="S25" s="5"/>
      <c r="W25" s="11">
        <v>44493</v>
      </c>
      <c r="X25" s="28"/>
      <c r="Y25" s="5"/>
      <c r="Z25" s="5"/>
      <c r="AA25" s="5"/>
      <c r="AB25" s="5"/>
      <c r="AC25" s="5"/>
      <c r="AD25" s="5"/>
      <c r="AE25" s="5"/>
      <c r="AF25" s="5"/>
      <c r="AG25" s="5"/>
      <c r="AH25" s="5"/>
      <c r="AI25" s="5"/>
      <c r="AJ25" s="5"/>
      <c r="AK25" s="5"/>
      <c r="AL25" s="5"/>
      <c r="AM25" s="5"/>
      <c r="AN25" s="5"/>
      <c r="AO25" s="5"/>
    </row>
    <row r="26">
      <c r="A26" s="11">
        <v>44494</v>
      </c>
      <c r="B26" s="14"/>
      <c r="C26" s="14"/>
      <c r="D26" s="14"/>
      <c r="E26" s="14"/>
      <c r="F26" s="14"/>
      <c r="G26" s="14"/>
      <c r="H26" s="14"/>
      <c r="I26" s="14"/>
      <c r="J26" s="14"/>
      <c r="K26" s="14"/>
      <c r="L26" s="14"/>
      <c r="M26" s="14"/>
      <c r="N26" s="14"/>
      <c r="O26" s="14"/>
      <c r="P26" s="14"/>
      <c r="Q26" s="14"/>
      <c r="R26" s="14"/>
      <c r="S26" s="14"/>
      <c r="W26" s="11">
        <v>44494</v>
      </c>
      <c r="X26" s="14"/>
      <c r="Y26" s="14"/>
      <c r="Z26" s="14"/>
      <c r="AA26" s="14"/>
      <c r="AB26" s="14"/>
      <c r="AC26" s="14"/>
      <c r="AD26" s="14"/>
      <c r="AE26" s="14"/>
      <c r="AF26" s="14"/>
      <c r="AG26" s="14"/>
      <c r="AH26" s="14"/>
      <c r="AI26" s="14"/>
      <c r="AJ26" s="14"/>
      <c r="AK26" s="14"/>
      <c r="AL26" s="14"/>
      <c r="AM26" s="14"/>
      <c r="AN26" s="14"/>
      <c r="AO26" s="14"/>
    </row>
    <row r="27">
      <c r="A27" s="11">
        <v>44495</v>
      </c>
      <c r="B27" s="5">
        <v>50</v>
      </c>
      <c r="C27" s="5">
        <v>914</v>
      </c>
      <c r="D27" s="5">
        <v>77</v>
      </c>
      <c r="E27" s="5"/>
      <c r="F27" s="5"/>
      <c r="G27" s="5">
        <v>550</v>
      </c>
      <c r="H27" s="5"/>
      <c r="I27" s="5"/>
      <c r="J27" s="5"/>
      <c r="K27" s="5"/>
      <c r="L27" s="5"/>
      <c r="M27" s="5"/>
      <c r="N27" s="5"/>
      <c r="O27" s="5"/>
      <c r="P27" s="5"/>
      <c r="Q27" s="5">
        <v>199</v>
      </c>
      <c r="R27" s="5"/>
      <c r="S27" s="5"/>
      <c r="W27" s="11">
        <v>44495</v>
      </c>
      <c r="X27" s="5"/>
      <c r="Y27" s="5"/>
      <c r="Z27" s="5"/>
      <c r="AA27" s="5"/>
      <c r="AB27" s="5"/>
      <c r="AC27" s="5"/>
      <c r="AD27" s="5"/>
      <c r="AE27" s="5"/>
      <c r="AF27" s="5"/>
      <c r="AG27" s="5"/>
      <c r="AH27" s="5"/>
      <c r="AI27" s="5"/>
      <c r="AJ27" s="5"/>
      <c r="AK27" s="5"/>
      <c r="AL27" s="5"/>
      <c r="AM27" s="5"/>
      <c r="AN27" s="5"/>
      <c r="AO27" s="5"/>
    </row>
    <row r="28">
      <c r="A28" s="11">
        <v>44496</v>
      </c>
      <c r="B28" s="14">
        <v>50</v>
      </c>
      <c r="C28" s="14">
        <v>37</v>
      </c>
      <c r="D28" s="14">
        <f>40+76</f>
        <v>116</v>
      </c>
      <c r="E28" s="14"/>
      <c r="F28" s="14"/>
      <c r="G28" s="14"/>
      <c r="H28" s="14"/>
      <c r="I28" s="14"/>
      <c r="J28" s="14"/>
      <c r="K28" s="14"/>
      <c r="L28" s="14"/>
      <c r="M28" s="14"/>
      <c r="N28" s="14"/>
      <c r="O28" s="14"/>
      <c r="P28" s="14"/>
      <c r="Q28" s="14"/>
      <c r="R28" s="14"/>
      <c r="S28" s="14"/>
      <c r="W28" s="11">
        <v>44496</v>
      </c>
      <c r="X28" s="14"/>
      <c r="Y28" s="14"/>
      <c r="Z28" s="14"/>
      <c r="AA28" s="14"/>
      <c r="AB28" s="14"/>
      <c r="AC28" s="14"/>
      <c r="AD28" s="14"/>
      <c r="AE28" s="14"/>
      <c r="AF28" s="14"/>
      <c r="AG28" s="14"/>
      <c r="AH28" s="14"/>
      <c r="AI28" s="14"/>
      <c r="AJ28" s="14"/>
      <c r="AK28" s="14"/>
      <c r="AL28" s="14"/>
      <c r="AM28" s="14"/>
      <c r="AN28" s="14"/>
      <c r="AO28" s="14"/>
    </row>
    <row r="29">
      <c r="A29" s="11">
        <v>44497</v>
      </c>
      <c r="B29" s="5">
        <v>50</v>
      </c>
      <c r="C29" s="5"/>
      <c r="D29" s="5">
        <v>158</v>
      </c>
      <c r="E29" s="5"/>
      <c r="F29" s="5">
        <v>199</v>
      </c>
      <c r="G29" s="5"/>
      <c r="H29" s="5"/>
      <c r="I29" s="5"/>
      <c r="J29" s="5"/>
      <c r="K29" s="5"/>
      <c r="L29" s="5"/>
      <c r="M29" s="5"/>
      <c r="N29" s="5"/>
      <c r="O29" s="5"/>
      <c r="P29" s="5"/>
      <c r="Q29" s="5"/>
      <c r="R29" s="5"/>
      <c r="S29" s="5"/>
      <c r="W29" s="11">
        <v>44497</v>
      </c>
      <c r="X29" s="5"/>
      <c r="Y29" s="5"/>
      <c r="Z29" s="5"/>
      <c r="AA29" s="5"/>
      <c r="AB29" s="5"/>
      <c r="AC29" s="5"/>
      <c r="AD29" s="5"/>
      <c r="AE29" s="5"/>
      <c r="AF29" s="5"/>
      <c r="AG29" s="5"/>
      <c r="AH29" s="5"/>
      <c r="AI29" s="5"/>
      <c r="AJ29" s="5"/>
      <c r="AK29" s="5"/>
      <c r="AL29" s="5"/>
      <c r="AM29" s="5"/>
      <c r="AN29" s="5"/>
      <c r="AO29" s="5"/>
    </row>
    <row r="30">
      <c r="A30" s="11">
        <v>44498</v>
      </c>
      <c r="B30" s="22"/>
      <c r="C30" s="22"/>
      <c r="D30" s="22"/>
      <c r="E30" s="22"/>
      <c r="F30" s="22"/>
      <c r="G30" s="22"/>
      <c r="H30" s="22"/>
      <c r="I30" s="22"/>
      <c r="J30" s="22"/>
      <c r="K30" s="22"/>
      <c r="L30" s="22"/>
      <c r="M30" s="22"/>
      <c r="N30" s="22"/>
      <c r="O30" s="22"/>
      <c r="P30" s="22"/>
      <c r="Q30" s="22"/>
      <c r="R30" s="22"/>
      <c r="S30" s="22"/>
      <c r="W30" s="11">
        <v>44498</v>
      </c>
      <c r="X30" s="22"/>
      <c r="Y30" s="22"/>
      <c r="Z30" s="22"/>
      <c r="AA30" s="22"/>
      <c r="AB30" s="22"/>
      <c r="AC30" s="22"/>
      <c r="AD30" s="22"/>
      <c r="AE30" s="22"/>
      <c r="AF30" s="22"/>
      <c r="AG30" s="22"/>
      <c r="AH30" s="22"/>
      <c r="AI30" s="22"/>
      <c r="AJ30" s="22"/>
      <c r="AK30" s="22"/>
      <c r="AL30" s="22"/>
      <c r="AM30" s="22"/>
      <c r="AN30" s="22"/>
      <c r="AO30" s="22"/>
    </row>
    <row r="31">
      <c r="A31" s="11">
        <v>44499</v>
      </c>
      <c r="B31" s="5"/>
      <c r="C31" s="5"/>
      <c r="D31" s="5"/>
      <c r="E31" s="5"/>
      <c r="F31" s="5"/>
      <c r="G31" s="5"/>
      <c r="H31" s="5"/>
      <c r="I31" s="5"/>
      <c r="J31" s="5"/>
      <c r="K31" s="5"/>
      <c r="L31" s="5"/>
      <c r="M31" s="5"/>
      <c r="N31" s="5"/>
      <c r="O31" s="5"/>
      <c r="P31" s="5"/>
      <c r="Q31" s="5"/>
      <c r="R31" s="5"/>
      <c r="S31" s="5"/>
      <c r="W31" s="11">
        <v>44499</v>
      </c>
      <c r="X31" s="5"/>
      <c r="Y31" s="5"/>
      <c r="Z31" s="5"/>
      <c r="AA31" s="5"/>
      <c r="AB31" s="5"/>
      <c r="AC31" s="5"/>
      <c r="AD31" s="5"/>
      <c r="AE31" s="5"/>
      <c r="AF31" s="5"/>
      <c r="AG31" s="5"/>
      <c r="AH31" s="5"/>
      <c r="AI31" s="5"/>
      <c r="AJ31" s="5"/>
      <c r="AK31" s="5"/>
      <c r="AL31" s="5"/>
      <c r="AM31" s="5"/>
      <c r="AN31" s="5"/>
      <c r="AO31" s="5"/>
    </row>
    <row r="32">
      <c r="A32" s="11">
        <v>44500</v>
      </c>
      <c r="B32" s="22"/>
      <c r="C32" s="22"/>
      <c r="D32" s="22"/>
      <c r="E32" s="22"/>
      <c r="F32" s="22"/>
      <c r="G32" s="22"/>
      <c r="H32" s="22"/>
      <c r="I32" s="22"/>
      <c r="J32" s="22">
        <v>1000</v>
      </c>
      <c r="K32" s="22"/>
      <c r="L32" s="22"/>
      <c r="M32" s="22"/>
      <c r="N32" s="22"/>
      <c r="O32" s="22"/>
      <c r="P32" s="22"/>
      <c r="Q32" s="22"/>
      <c r="R32" s="22"/>
      <c r="S32" s="22"/>
      <c r="W32" s="11">
        <v>44500</v>
      </c>
      <c r="X32" s="22"/>
      <c r="Y32" s="22"/>
      <c r="Z32" s="22"/>
      <c r="AA32" s="22"/>
      <c r="AB32" s="22"/>
      <c r="AC32" s="22"/>
      <c r="AD32" s="22"/>
      <c r="AE32" s="22"/>
      <c r="AF32" s="22"/>
      <c r="AG32" s="22"/>
      <c r="AH32" s="22"/>
      <c r="AI32" s="22"/>
      <c r="AJ32" s="22"/>
      <c r="AK32" s="22"/>
      <c r="AL32" s="22"/>
      <c r="AM32" s="22"/>
      <c r="AN32" s="22"/>
      <c r="AO32" s="22"/>
    </row>
    <row r="33">
      <c r="A33" s="74"/>
      <c r="B33" s="75">
        <f>SUM(B2:B32)</f>
        <v>1052</v>
      </c>
      <c r="C33" s="75">
        <f>SUM(C2:C32)</f>
        <v>4808.0699999999997</v>
      </c>
      <c r="D33" s="75">
        <f>SUM(D2:D32)</f>
        <v>1990.98</v>
      </c>
      <c r="E33" s="75">
        <f>SUM(E2:E32)</f>
        <v>1850</v>
      </c>
      <c r="F33" s="75">
        <f t="shared" ref="F33:R33" si="84">SUM(F2:F32)</f>
        <v>199</v>
      </c>
      <c r="G33" s="75">
        <f t="shared" si="84"/>
        <v>850</v>
      </c>
      <c r="H33" s="75">
        <f t="shared" si="84"/>
        <v>0</v>
      </c>
      <c r="I33" s="75">
        <f t="shared" si="84"/>
        <v>17097</v>
      </c>
      <c r="J33" s="75">
        <f t="shared" si="84"/>
        <v>11133.15</v>
      </c>
      <c r="K33" s="75">
        <f t="shared" si="84"/>
        <v>137</v>
      </c>
      <c r="L33" s="75">
        <f t="shared" si="84"/>
        <v>1390.8299999999999</v>
      </c>
      <c r="M33" s="75">
        <f t="shared" si="84"/>
        <v>0</v>
      </c>
      <c r="N33" s="75">
        <f t="shared" si="84"/>
        <v>0</v>
      </c>
      <c r="O33" s="75">
        <f t="shared" si="84"/>
        <v>0</v>
      </c>
      <c r="P33" s="75">
        <f t="shared" si="84"/>
        <v>0</v>
      </c>
      <c r="Q33" s="75">
        <f t="shared" si="84"/>
        <v>659</v>
      </c>
      <c r="R33" s="75">
        <f t="shared" si="84"/>
        <v>0</v>
      </c>
      <c r="S33" s="75">
        <f>SUM(B33:R33)</f>
        <v>41167.029999999999</v>
      </c>
      <c r="W33" s="74"/>
      <c r="X33" s="75">
        <f t="shared" ref="X33:AN33" si="85">SUM(X2:X32)</f>
        <v>0</v>
      </c>
      <c r="Y33" s="75">
        <f t="shared" si="85"/>
        <v>0</v>
      </c>
      <c r="Z33" s="75">
        <f t="shared" si="85"/>
        <v>0</v>
      </c>
      <c r="AA33" s="75">
        <f t="shared" si="85"/>
        <v>0</v>
      </c>
      <c r="AB33" s="75">
        <f t="shared" si="85"/>
        <v>0</v>
      </c>
      <c r="AC33" s="75">
        <f t="shared" si="85"/>
        <v>0</v>
      </c>
      <c r="AD33" s="75">
        <f t="shared" si="85"/>
        <v>0</v>
      </c>
      <c r="AE33" s="75">
        <f t="shared" si="85"/>
        <v>0</v>
      </c>
      <c r="AF33" s="75">
        <f t="shared" si="85"/>
        <v>0</v>
      </c>
      <c r="AG33" s="75">
        <f t="shared" si="85"/>
        <v>0</v>
      </c>
      <c r="AH33" s="75">
        <f t="shared" si="85"/>
        <v>0</v>
      </c>
      <c r="AI33" s="75">
        <f t="shared" si="85"/>
        <v>0</v>
      </c>
      <c r="AJ33" s="75">
        <f t="shared" si="85"/>
        <v>0</v>
      </c>
      <c r="AK33" s="75">
        <f t="shared" si="85"/>
        <v>0</v>
      </c>
      <c r="AL33" s="75">
        <f t="shared" si="85"/>
        <v>0</v>
      </c>
      <c r="AM33" s="75">
        <f t="shared" si="85"/>
        <v>0</v>
      </c>
      <c r="AN33" s="75">
        <f t="shared" si="85"/>
        <v>0</v>
      </c>
      <c r="AO33" s="75">
        <f>SUM(X33:AN33)</f>
        <v>0</v>
      </c>
    </row>
    <row r="34">
      <c r="A34" s="84"/>
      <c r="B34" s="84"/>
      <c r="C34" s="84"/>
      <c r="D34" s="84"/>
      <c r="E34" s="84"/>
      <c r="F34" s="84"/>
      <c r="G34" s="84"/>
      <c r="H34" s="84"/>
      <c r="I34" s="84"/>
      <c r="J34" s="84"/>
      <c r="K34" s="84"/>
      <c r="L34" s="84"/>
      <c r="M34" s="84"/>
      <c r="N34" s="84"/>
      <c r="O34" s="84"/>
      <c r="P34" s="84"/>
      <c r="Q34" s="84"/>
      <c r="R34" s="84"/>
      <c r="S34" s="84"/>
      <c r="W34" s="84"/>
      <c r="X34" s="84"/>
      <c r="Y34" s="84"/>
      <c r="Z34" s="84"/>
      <c r="AA34" s="84"/>
      <c r="AB34" s="84"/>
      <c r="AC34" s="84"/>
      <c r="AD34" s="84"/>
      <c r="AE34" s="84"/>
      <c r="AF34" s="84"/>
      <c r="AG34" s="84"/>
      <c r="AH34" s="84"/>
      <c r="AI34" s="84"/>
      <c r="AJ34" s="84"/>
      <c r="AK34" s="84"/>
      <c r="AL34" s="84"/>
      <c r="AM34" s="84"/>
      <c r="AN34" s="84"/>
      <c r="AO34" s="84"/>
    </row>
    <row r="35">
      <c r="A35" s="85" t="s">
        <v>0</v>
      </c>
      <c r="B35" s="85" t="s">
        <v>50</v>
      </c>
      <c r="C35" s="85" t="s">
        <v>13</v>
      </c>
      <c r="D35" s="85" t="s">
        <v>11</v>
      </c>
      <c r="E35" s="85" t="s">
        <v>51</v>
      </c>
      <c r="F35" s="85" t="s">
        <v>52</v>
      </c>
      <c r="G35" s="85" t="s">
        <v>53</v>
      </c>
      <c r="H35" s="85" t="s">
        <v>54</v>
      </c>
      <c r="I35" s="85" t="s">
        <v>55</v>
      </c>
      <c r="J35" s="85" t="s">
        <v>61</v>
      </c>
      <c r="K35" s="85" t="s">
        <v>74</v>
      </c>
      <c r="L35" s="86"/>
      <c r="M35" s="86"/>
      <c r="N35" s="86"/>
      <c r="O35" s="86"/>
      <c r="P35" s="86"/>
      <c r="Q35" s="86"/>
      <c r="R35" s="86"/>
      <c r="S35" s="86"/>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44470</v>
      </c>
      <c r="B36" s="14"/>
      <c r="C36" s="14"/>
      <c r="D36" s="14"/>
      <c r="E36" s="14"/>
      <c r="F36" s="14"/>
      <c r="G36" s="14"/>
      <c r="H36" s="14"/>
      <c r="I36" s="14"/>
      <c r="J36" s="22"/>
      <c r="K36" s="22"/>
      <c r="L36" s="22"/>
      <c r="M36" s="22"/>
      <c r="N36" s="22"/>
      <c r="O36" s="22"/>
      <c r="P36" s="22"/>
      <c r="Q36" s="22"/>
      <c r="R36" s="22"/>
      <c r="S36" s="22"/>
      <c r="W36" s="11">
        <v>44470</v>
      </c>
      <c r="X36" s="14"/>
      <c r="Y36" s="14"/>
      <c r="Z36" s="14"/>
      <c r="AA36" s="14"/>
      <c r="AB36" s="14"/>
      <c r="AC36" s="14"/>
      <c r="AD36" s="14"/>
      <c r="AE36" s="14"/>
      <c r="AF36" s="22"/>
      <c r="AG36" s="22"/>
      <c r="AH36" s="22"/>
      <c r="AI36" s="22"/>
      <c r="AJ36" s="22"/>
      <c r="AK36" s="22"/>
      <c r="AL36" s="22"/>
      <c r="AM36" s="22"/>
      <c r="AN36" s="22"/>
      <c r="AO36" s="22"/>
    </row>
    <row r="37">
      <c r="A37" s="11">
        <v>44471</v>
      </c>
      <c r="B37" s="5"/>
      <c r="C37" s="5"/>
      <c r="D37" s="5"/>
      <c r="E37" s="5"/>
      <c r="F37" s="5"/>
      <c r="G37" s="5"/>
      <c r="H37" s="5"/>
      <c r="I37" s="5"/>
      <c r="J37" s="5">
        <v>4522.3699999999999</v>
      </c>
      <c r="K37" s="5"/>
      <c r="L37" s="5"/>
      <c r="M37" s="5"/>
      <c r="N37" s="5"/>
      <c r="O37" s="5"/>
      <c r="P37" s="5"/>
      <c r="Q37" s="5"/>
      <c r="R37" s="5"/>
      <c r="S37" s="5"/>
      <c r="W37" s="11">
        <v>44471</v>
      </c>
      <c r="X37" s="5"/>
      <c r="Y37" s="5"/>
      <c r="Z37" s="5"/>
      <c r="AA37" s="5"/>
      <c r="AB37" s="5"/>
      <c r="AC37" s="5"/>
      <c r="AD37" s="5"/>
      <c r="AE37" s="5"/>
      <c r="AF37" s="5"/>
      <c r="AG37" s="5"/>
      <c r="AH37" s="5"/>
      <c r="AI37" s="5"/>
      <c r="AJ37" s="5"/>
      <c r="AK37" s="5"/>
      <c r="AL37" s="5"/>
      <c r="AM37" s="5"/>
      <c r="AN37" s="5"/>
      <c r="AO37" s="5"/>
    </row>
    <row r="38">
      <c r="A38" s="11">
        <v>44472</v>
      </c>
      <c r="B38" s="14"/>
      <c r="C38" s="14"/>
      <c r="D38" s="14"/>
      <c r="E38" s="14"/>
      <c r="F38" s="14"/>
      <c r="G38" s="14"/>
      <c r="H38" s="14"/>
      <c r="I38" s="14"/>
      <c r="J38" s="22"/>
      <c r="K38" s="22"/>
      <c r="L38" s="22"/>
      <c r="M38" s="22"/>
      <c r="N38" s="22"/>
      <c r="O38" s="22"/>
      <c r="P38" s="22"/>
      <c r="Q38" s="22"/>
      <c r="R38" s="22"/>
      <c r="S38" s="22"/>
      <c r="W38" s="11">
        <v>44472</v>
      </c>
      <c r="X38" s="14"/>
      <c r="Y38" s="14"/>
      <c r="Z38" s="14"/>
      <c r="AA38" s="14"/>
      <c r="AB38" s="14"/>
      <c r="AC38" s="14"/>
      <c r="AD38" s="14"/>
      <c r="AE38" s="14"/>
      <c r="AF38" s="22"/>
      <c r="AG38" s="22"/>
      <c r="AH38" s="22"/>
      <c r="AI38" s="22"/>
      <c r="AJ38" s="22"/>
      <c r="AK38" s="22"/>
      <c r="AL38" s="22"/>
      <c r="AM38" s="22"/>
      <c r="AN38" s="22"/>
      <c r="AO38" s="22"/>
    </row>
    <row r="39">
      <c r="A39" s="11">
        <v>44473</v>
      </c>
      <c r="B39" s="5"/>
      <c r="C39" s="5"/>
      <c r="D39" s="5"/>
      <c r="E39" s="71">
        <v>86.709999999999994</v>
      </c>
      <c r="F39" s="5"/>
      <c r="G39" s="5"/>
      <c r="H39" s="5"/>
      <c r="I39" s="5">
        <f>693+72</f>
        <v>765</v>
      </c>
      <c r="J39" s="5"/>
      <c r="K39" s="5"/>
      <c r="L39" s="5"/>
      <c r="M39" s="5"/>
      <c r="N39" s="5"/>
      <c r="O39" s="5"/>
      <c r="P39" s="5"/>
      <c r="Q39" s="5"/>
      <c r="R39" s="5"/>
      <c r="S39" s="5"/>
      <c r="W39" s="11">
        <v>44473</v>
      </c>
      <c r="X39" s="5"/>
      <c r="Y39" s="5"/>
      <c r="Z39" s="5"/>
      <c r="AA39" s="71"/>
      <c r="AB39" s="5"/>
      <c r="AC39" s="5"/>
      <c r="AD39" s="5"/>
      <c r="AE39" s="5"/>
      <c r="AF39" s="5"/>
      <c r="AG39" s="5"/>
      <c r="AH39" s="5"/>
      <c r="AI39" s="5"/>
      <c r="AJ39" s="5"/>
      <c r="AK39" s="5"/>
      <c r="AL39" s="5"/>
      <c r="AM39" s="5"/>
      <c r="AN39" s="5"/>
      <c r="AO39" s="5"/>
    </row>
    <row r="40">
      <c r="A40" s="11">
        <v>44474</v>
      </c>
      <c r="B40" s="14"/>
      <c r="C40" s="14"/>
      <c r="D40" s="14"/>
      <c r="E40" s="14"/>
      <c r="F40" s="14"/>
      <c r="G40" s="14"/>
      <c r="H40" s="14"/>
      <c r="I40" s="14"/>
      <c r="J40" s="14"/>
      <c r="K40" s="14"/>
      <c r="L40" s="14"/>
      <c r="M40" s="14"/>
      <c r="N40" s="14"/>
      <c r="O40" s="14"/>
      <c r="P40" s="14"/>
      <c r="Q40" s="14"/>
      <c r="R40" s="14"/>
      <c r="S40" s="14"/>
      <c r="W40" s="11">
        <v>44474</v>
      </c>
      <c r="X40" s="14"/>
      <c r="Y40" s="14"/>
      <c r="Z40" s="14"/>
      <c r="AA40" s="14"/>
      <c r="AB40" s="14"/>
      <c r="AC40" s="14"/>
      <c r="AD40" s="14"/>
      <c r="AE40" s="14"/>
      <c r="AF40" s="14"/>
      <c r="AG40" s="14"/>
      <c r="AH40" s="14"/>
      <c r="AI40" s="14"/>
      <c r="AJ40" s="14"/>
      <c r="AK40" s="14"/>
      <c r="AL40" s="14"/>
      <c r="AM40" s="14"/>
      <c r="AN40" s="14"/>
      <c r="AO40" s="14"/>
    </row>
    <row r="41">
      <c r="A41" s="11">
        <v>44475</v>
      </c>
      <c r="B41" s="5"/>
      <c r="C41" s="5"/>
      <c r="D41" s="5"/>
      <c r="E41" s="5"/>
      <c r="F41" s="5"/>
      <c r="G41" s="5"/>
      <c r="H41" s="5"/>
      <c r="I41" s="5"/>
      <c r="J41" s="5"/>
      <c r="K41" s="5"/>
      <c r="L41" s="5"/>
      <c r="M41" s="5"/>
      <c r="N41" s="5"/>
      <c r="O41" s="5"/>
      <c r="P41" s="5"/>
      <c r="Q41" s="5"/>
      <c r="R41" s="5"/>
      <c r="S41" s="5"/>
      <c r="W41" s="11">
        <v>44475</v>
      </c>
      <c r="X41" s="5"/>
      <c r="Y41" s="5"/>
      <c r="Z41" s="5"/>
      <c r="AA41" s="5"/>
      <c r="AB41" s="5"/>
      <c r="AC41" s="5"/>
      <c r="AD41" s="5"/>
      <c r="AE41" s="5"/>
      <c r="AF41" s="5"/>
      <c r="AG41" s="5"/>
      <c r="AH41" s="5"/>
      <c r="AI41" s="5"/>
      <c r="AJ41" s="5"/>
      <c r="AK41" s="5"/>
      <c r="AL41" s="5"/>
      <c r="AM41" s="5"/>
      <c r="AN41" s="5"/>
      <c r="AO41" s="5"/>
    </row>
    <row r="42">
      <c r="A42" s="11">
        <v>44476</v>
      </c>
      <c r="B42" s="14"/>
      <c r="C42" s="14"/>
      <c r="D42" s="14"/>
      <c r="E42" s="14"/>
      <c r="F42" s="14"/>
      <c r="G42" s="14"/>
      <c r="H42" s="14"/>
      <c r="I42" s="14"/>
      <c r="J42" s="14"/>
      <c r="K42" s="14"/>
      <c r="L42" s="14"/>
      <c r="M42" s="14"/>
      <c r="N42" s="14"/>
      <c r="O42" s="14"/>
      <c r="P42" s="14"/>
      <c r="Q42" s="14"/>
      <c r="R42" s="14"/>
      <c r="S42" s="14"/>
      <c r="W42" s="11">
        <v>44476</v>
      </c>
      <c r="X42" s="14"/>
      <c r="Y42" s="14"/>
      <c r="Z42" s="14"/>
      <c r="AA42" s="14"/>
      <c r="AB42" s="14"/>
      <c r="AC42" s="14"/>
      <c r="AD42" s="14"/>
      <c r="AE42" s="14"/>
      <c r="AF42" s="14"/>
      <c r="AG42" s="14"/>
      <c r="AH42" s="14"/>
      <c r="AI42" s="14"/>
      <c r="AJ42" s="14"/>
      <c r="AK42" s="14"/>
      <c r="AL42" s="14"/>
      <c r="AM42" s="14"/>
      <c r="AN42" s="14"/>
      <c r="AO42" s="14"/>
    </row>
    <row r="43">
      <c r="A43" s="11">
        <v>44477</v>
      </c>
      <c r="B43" s="5">
        <v>4842.3199999999997</v>
      </c>
      <c r="C43" s="5"/>
      <c r="D43" s="5"/>
      <c r="E43" s="5"/>
      <c r="F43" s="5"/>
      <c r="G43" s="5"/>
      <c r="H43" s="5">
        <v>1000</v>
      </c>
      <c r="I43" s="5"/>
      <c r="J43" s="5"/>
      <c r="K43" s="5"/>
      <c r="L43" s="5"/>
      <c r="M43" s="5"/>
      <c r="N43" s="5"/>
      <c r="O43" s="5"/>
      <c r="P43" s="5"/>
      <c r="Q43" s="5"/>
      <c r="R43" s="5"/>
      <c r="S43" s="5"/>
      <c r="W43" s="11">
        <v>44477</v>
      </c>
      <c r="X43" s="5"/>
      <c r="Y43" s="5"/>
      <c r="Z43" s="5"/>
      <c r="AA43" s="5"/>
      <c r="AB43" s="5"/>
      <c r="AC43" s="5"/>
      <c r="AD43" s="5"/>
      <c r="AE43" s="5"/>
      <c r="AF43" s="5"/>
      <c r="AG43" s="5"/>
      <c r="AH43" s="5"/>
      <c r="AI43" s="5"/>
      <c r="AJ43" s="5"/>
      <c r="AK43" s="5"/>
      <c r="AL43" s="5"/>
      <c r="AM43" s="5"/>
      <c r="AN43" s="5"/>
      <c r="AO43" s="5"/>
    </row>
    <row r="44">
      <c r="A44" s="11">
        <v>44478</v>
      </c>
      <c r="B44" s="79"/>
      <c r="C44" s="14"/>
      <c r="D44" s="14"/>
      <c r="E44" s="14"/>
      <c r="F44" s="14"/>
      <c r="G44" s="14"/>
      <c r="H44" s="14"/>
      <c r="I44" s="14"/>
      <c r="J44" s="14"/>
      <c r="K44" s="14"/>
      <c r="L44" s="14"/>
      <c r="M44" s="14"/>
      <c r="N44" s="14"/>
      <c r="O44" s="14"/>
      <c r="P44" s="14"/>
      <c r="Q44" s="14"/>
      <c r="R44" s="14"/>
      <c r="S44" s="14"/>
      <c r="W44" s="11">
        <v>44478</v>
      </c>
      <c r="X44" s="79"/>
      <c r="Y44" s="14"/>
      <c r="Z44" s="14"/>
      <c r="AA44" s="14"/>
      <c r="AB44" s="14"/>
      <c r="AC44" s="14"/>
      <c r="AD44" s="14"/>
      <c r="AE44" s="14"/>
      <c r="AF44" s="14"/>
      <c r="AG44" s="14"/>
      <c r="AH44" s="14"/>
      <c r="AI44" s="14"/>
      <c r="AJ44" s="14"/>
      <c r="AK44" s="14"/>
      <c r="AL44" s="14"/>
      <c r="AM44" s="14"/>
      <c r="AN44" s="14"/>
      <c r="AO44" s="14"/>
    </row>
    <row r="45">
      <c r="A45" s="11">
        <v>44479</v>
      </c>
      <c r="B45" s="5"/>
      <c r="C45" s="5"/>
      <c r="D45" s="5"/>
      <c r="E45" s="5"/>
      <c r="F45" s="5"/>
      <c r="G45" s="5"/>
      <c r="H45" s="5"/>
      <c r="I45" s="5"/>
      <c r="J45" s="5"/>
      <c r="K45" s="5"/>
      <c r="L45" s="5"/>
      <c r="M45" s="5"/>
      <c r="N45" s="5"/>
      <c r="O45" s="5"/>
      <c r="P45" s="5"/>
      <c r="Q45" s="5"/>
      <c r="R45" s="5"/>
      <c r="S45" s="5"/>
      <c r="W45" s="11">
        <v>44479</v>
      </c>
      <c r="X45" s="5"/>
      <c r="Y45" s="5"/>
      <c r="Z45" s="5"/>
      <c r="AA45" s="5"/>
      <c r="AB45" s="5"/>
      <c r="AC45" s="5"/>
      <c r="AD45" s="5"/>
      <c r="AE45" s="5"/>
      <c r="AF45" s="5"/>
      <c r="AG45" s="5"/>
      <c r="AH45" s="5"/>
      <c r="AI45" s="5"/>
      <c r="AJ45" s="5"/>
      <c r="AK45" s="5"/>
      <c r="AL45" s="5"/>
      <c r="AM45" s="5"/>
      <c r="AN45" s="5"/>
      <c r="AO45" s="5"/>
    </row>
    <row r="46">
      <c r="A46" s="11">
        <v>44480</v>
      </c>
      <c r="B46" s="14"/>
      <c r="C46" s="14"/>
      <c r="D46" s="14"/>
      <c r="E46" s="14"/>
      <c r="F46" s="14"/>
      <c r="G46" s="14"/>
      <c r="H46" s="14"/>
      <c r="I46" s="14"/>
      <c r="J46" s="14"/>
      <c r="K46" s="14"/>
      <c r="L46" s="14"/>
      <c r="M46" s="14"/>
      <c r="N46" s="14"/>
      <c r="O46" s="14"/>
      <c r="P46" s="14"/>
      <c r="Q46" s="14"/>
      <c r="R46" s="14"/>
      <c r="S46" s="14"/>
      <c r="W46" s="11">
        <v>44480</v>
      </c>
      <c r="X46" s="14"/>
      <c r="Y46" s="14"/>
      <c r="Z46" s="14"/>
      <c r="AA46" s="14"/>
      <c r="AB46" s="14"/>
      <c r="AC46" s="14"/>
      <c r="AD46" s="14"/>
      <c r="AE46" s="14"/>
      <c r="AF46" s="14"/>
      <c r="AG46" s="14"/>
      <c r="AH46" s="14"/>
      <c r="AI46" s="14"/>
      <c r="AJ46" s="14"/>
      <c r="AK46" s="14"/>
      <c r="AL46" s="14"/>
      <c r="AM46" s="14"/>
      <c r="AN46" s="14"/>
      <c r="AO46" s="14"/>
    </row>
    <row r="47">
      <c r="A47" s="11">
        <v>44481</v>
      </c>
      <c r="B47" s="5"/>
      <c r="C47" s="5"/>
      <c r="D47" s="5"/>
      <c r="E47" s="5"/>
      <c r="F47" s="5"/>
      <c r="G47" s="5"/>
      <c r="H47" s="5"/>
      <c r="I47" s="5"/>
      <c r="J47" s="5"/>
      <c r="K47" s="5"/>
      <c r="L47" s="5"/>
      <c r="M47" s="5"/>
      <c r="N47" s="5"/>
      <c r="O47" s="5"/>
      <c r="P47" s="5"/>
      <c r="Q47" s="5"/>
      <c r="R47" s="5"/>
      <c r="S47" s="5"/>
      <c r="W47" s="11">
        <v>44481</v>
      </c>
      <c r="X47" s="5"/>
      <c r="Y47" s="5"/>
      <c r="Z47" s="5"/>
      <c r="AA47" s="5"/>
      <c r="AB47" s="5"/>
      <c r="AC47" s="5"/>
      <c r="AD47" s="5"/>
      <c r="AE47" s="5"/>
      <c r="AF47" s="5"/>
      <c r="AG47" s="5"/>
      <c r="AH47" s="5"/>
      <c r="AI47" s="5"/>
      <c r="AJ47" s="5"/>
      <c r="AK47" s="5"/>
      <c r="AL47" s="5"/>
      <c r="AM47" s="5"/>
      <c r="AN47" s="5"/>
      <c r="AO47" s="5"/>
    </row>
    <row r="48">
      <c r="A48" s="11">
        <v>44482</v>
      </c>
      <c r="B48" s="14"/>
      <c r="C48" s="14"/>
      <c r="D48" s="14"/>
      <c r="E48" s="14"/>
      <c r="F48" s="14"/>
      <c r="G48" s="14"/>
      <c r="H48" s="14"/>
      <c r="I48" s="14"/>
      <c r="J48" s="14"/>
      <c r="K48" s="14"/>
      <c r="L48" s="14"/>
      <c r="M48" s="14"/>
      <c r="N48" s="14"/>
      <c r="O48" s="14"/>
      <c r="P48" s="14"/>
      <c r="Q48" s="14"/>
      <c r="R48" s="14"/>
      <c r="S48" s="14"/>
      <c r="W48" s="11">
        <v>44482</v>
      </c>
      <c r="X48" s="14"/>
      <c r="Y48" s="14"/>
      <c r="Z48" s="14"/>
      <c r="AA48" s="14"/>
      <c r="AB48" s="14"/>
      <c r="AC48" s="14"/>
      <c r="AD48" s="14"/>
      <c r="AE48" s="14"/>
      <c r="AF48" s="14"/>
      <c r="AG48" s="14"/>
      <c r="AH48" s="14"/>
      <c r="AI48" s="14"/>
      <c r="AJ48" s="14"/>
      <c r="AK48" s="14"/>
      <c r="AL48" s="14"/>
      <c r="AM48" s="14"/>
      <c r="AN48" s="14"/>
      <c r="AO48" s="14"/>
    </row>
    <row r="49">
      <c r="A49" s="11">
        <v>44483</v>
      </c>
      <c r="B49" s="5">
        <v>8077.5500000000002</v>
      </c>
      <c r="C49" s="5"/>
      <c r="D49" s="5"/>
      <c r="E49" s="5"/>
      <c r="F49" s="5"/>
      <c r="G49" s="5"/>
      <c r="H49" s="5"/>
      <c r="I49" s="5"/>
      <c r="J49" s="5"/>
      <c r="K49" s="5"/>
      <c r="L49" s="5"/>
      <c r="M49" s="5"/>
      <c r="N49" s="5"/>
      <c r="O49" s="5"/>
      <c r="P49" s="5"/>
      <c r="Q49" s="5"/>
      <c r="R49" s="5"/>
      <c r="S49" s="5"/>
      <c r="W49" s="11">
        <v>44483</v>
      </c>
      <c r="X49" s="5">
        <v>24077.290000000001</v>
      </c>
      <c r="Y49" s="5"/>
      <c r="Z49" s="5"/>
      <c r="AA49" s="5"/>
      <c r="AB49" s="5"/>
      <c r="AC49" s="5"/>
      <c r="AD49" s="5"/>
      <c r="AE49" s="5"/>
      <c r="AF49" s="5"/>
      <c r="AG49" s="5"/>
      <c r="AH49" s="5"/>
      <c r="AI49" s="5"/>
      <c r="AJ49" s="5"/>
      <c r="AK49" s="5"/>
      <c r="AL49" s="5"/>
      <c r="AM49" s="5"/>
      <c r="AN49" s="5"/>
      <c r="AO49" s="5"/>
    </row>
    <row r="50">
      <c r="A50" s="11">
        <v>44484</v>
      </c>
      <c r="B50" s="14"/>
      <c r="C50" s="14"/>
      <c r="D50" s="14"/>
      <c r="E50" s="14"/>
      <c r="F50" s="14"/>
      <c r="G50" s="14"/>
      <c r="H50" s="14"/>
      <c r="I50" s="14"/>
      <c r="J50" s="14"/>
      <c r="K50" s="14"/>
      <c r="L50" s="14"/>
      <c r="M50" s="14"/>
      <c r="N50" s="14"/>
      <c r="O50" s="14"/>
      <c r="P50" s="14"/>
      <c r="Q50" s="14"/>
      <c r="R50" s="14"/>
      <c r="S50" s="14"/>
      <c r="W50" s="11">
        <v>44484</v>
      </c>
      <c r="X50" s="14"/>
      <c r="Y50" s="14"/>
      <c r="Z50" s="14"/>
      <c r="AA50" s="14"/>
      <c r="AB50" s="14"/>
      <c r="AC50" s="14"/>
      <c r="AD50" s="14"/>
      <c r="AE50" s="14"/>
      <c r="AF50" s="14"/>
      <c r="AG50" s="14"/>
      <c r="AH50" s="14"/>
      <c r="AI50" s="14"/>
      <c r="AJ50" s="14"/>
      <c r="AK50" s="14"/>
      <c r="AL50" s="14"/>
      <c r="AM50" s="14"/>
      <c r="AN50" s="14"/>
      <c r="AO50" s="14"/>
    </row>
    <row r="51">
      <c r="A51" s="11">
        <v>44485</v>
      </c>
      <c r="B51" s="5"/>
      <c r="C51" s="5"/>
      <c r="D51" s="5"/>
      <c r="E51" s="5"/>
      <c r="F51" s="5">
        <f>-56250+60000</f>
        <v>3750</v>
      </c>
      <c r="G51" s="5"/>
      <c r="H51" s="5"/>
      <c r="I51" s="5"/>
      <c r="J51" s="5"/>
      <c r="K51" s="5"/>
      <c r="L51" s="5"/>
      <c r="M51" s="5"/>
      <c r="N51" s="5"/>
      <c r="O51" s="5"/>
      <c r="P51" s="5"/>
      <c r="Q51" s="5"/>
      <c r="R51" s="5"/>
      <c r="S51" s="5"/>
      <c r="W51" s="11">
        <v>44485</v>
      </c>
      <c r="X51" s="5"/>
      <c r="Y51" s="5"/>
      <c r="Z51" s="5"/>
      <c r="AA51" s="5"/>
      <c r="AB51" s="5"/>
      <c r="AC51" s="5"/>
      <c r="AD51" s="5"/>
      <c r="AE51" s="5"/>
      <c r="AF51" s="5"/>
      <c r="AG51" s="5"/>
      <c r="AH51" s="5"/>
      <c r="AI51" s="5"/>
      <c r="AJ51" s="5"/>
      <c r="AK51" s="5"/>
      <c r="AL51" s="5"/>
      <c r="AM51" s="5"/>
      <c r="AN51" s="5"/>
      <c r="AO51" s="5"/>
    </row>
    <row r="52">
      <c r="A52" s="11">
        <v>44486</v>
      </c>
      <c r="B52" s="14"/>
      <c r="C52" s="14"/>
      <c r="D52" s="14"/>
      <c r="E52" s="14"/>
      <c r="F52" s="14"/>
      <c r="G52" s="14"/>
      <c r="H52" s="14"/>
      <c r="I52" s="14"/>
      <c r="J52" s="14"/>
      <c r="K52" s="14"/>
      <c r="L52" s="14"/>
      <c r="M52" s="14"/>
      <c r="N52" s="14"/>
      <c r="O52" s="14"/>
      <c r="P52" s="14"/>
      <c r="Q52" s="14"/>
      <c r="R52" s="14"/>
      <c r="S52" s="14"/>
      <c r="W52" s="11">
        <v>44486</v>
      </c>
      <c r="X52" s="14"/>
      <c r="Y52" s="14"/>
      <c r="Z52" s="14"/>
      <c r="AA52" s="14"/>
      <c r="AB52" s="14"/>
      <c r="AC52" s="14"/>
      <c r="AD52" s="14"/>
      <c r="AE52" s="14"/>
      <c r="AF52" s="14"/>
      <c r="AG52" s="14"/>
      <c r="AH52" s="14"/>
      <c r="AI52" s="14"/>
      <c r="AJ52" s="14"/>
      <c r="AK52" s="14"/>
      <c r="AL52" s="14"/>
      <c r="AM52" s="14"/>
      <c r="AN52" s="14"/>
      <c r="AO52" s="14"/>
    </row>
    <row r="53">
      <c r="A53" s="11">
        <v>44487</v>
      </c>
      <c r="B53" s="5"/>
      <c r="C53" s="5"/>
      <c r="D53" s="5"/>
      <c r="E53" s="5"/>
      <c r="F53" s="5"/>
      <c r="G53" s="5"/>
      <c r="H53" s="5"/>
      <c r="I53" s="5"/>
      <c r="J53" s="5"/>
      <c r="K53" s="5"/>
      <c r="L53" s="5"/>
      <c r="M53" s="5"/>
      <c r="N53" s="5"/>
      <c r="O53" s="5"/>
      <c r="P53" s="5"/>
      <c r="Q53" s="5"/>
      <c r="R53" s="5"/>
      <c r="S53" s="5"/>
      <c r="W53" s="11">
        <v>44487</v>
      </c>
      <c r="X53" s="5"/>
      <c r="Y53" s="5"/>
      <c r="Z53" s="5"/>
      <c r="AA53" s="5"/>
      <c r="AB53" s="5"/>
      <c r="AC53" s="5"/>
      <c r="AD53" s="5"/>
      <c r="AE53" s="5"/>
      <c r="AF53" s="5"/>
      <c r="AG53" s="5"/>
      <c r="AH53" s="5"/>
      <c r="AI53" s="5"/>
      <c r="AJ53" s="5"/>
      <c r="AK53" s="5"/>
      <c r="AL53" s="5"/>
      <c r="AM53" s="5"/>
      <c r="AN53" s="5"/>
      <c r="AO53" s="5"/>
    </row>
    <row r="54">
      <c r="A54" s="11">
        <v>44488</v>
      </c>
      <c r="B54" s="14"/>
      <c r="C54" s="14"/>
      <c r="D54" s="14"/>
      <c r="E54" s="14"/>
      <c r="F54" s="14"/>
      <c r="G54" s="14"/>
      <c r="H54" s="14"/>
      <c r="I54" s="14"/>
      <c r="J54" s="14"/>
      <c r="K54" s="14"/>
      <c r="L54" s="14"/>
      <c r="M54" s="14"/>
      <c r="N54" s="14"/>
      <c r="O54" s="14"/>
      <c r="P54" s="14"/>
      <c r="Q54" s="14"/>
      <c r="R54" s="14"/>
      <c r="S54" s="14"/>
      <c r="W54" s="11">
        <v>44488</v>
      </c>
      <c r="X54" s="14"/>
      <c r="Y54" s="14"/>
      <c r="Z54" s="14"/>
      <c r="AA54" s="14"/>
      <c r="AB54" s="14"/>
      <c r="AC54" s="14"/>
      <c r="AD54" s="14"/>
      <c r="AE54" s="14"/>
      <c r="AF54" s="14"/>
      <c r="AG54" s="14"/>
      <c r="AH54" s="14"/>
      <c r="AI54" s="14"/>
      <c r="AJ54" s="14"/>
      <c r="AK54" s="14"/>
      <c r="AL54" s="14"/>
      <c r="AM54" s="14"/>
      <c r="AN54" s="14"/>
      <c r="AO54" s="14"/>
    </row>
    <row r="55">
      <c r="A55" s="11">
        <v>44489</v>
      </c>
      <c r="B55" s="5"/>
      <c r="C55" s="5"/>
      <c r="D55" s="5"/>
      <c r="E55" s="5"/>
      <c r="F55" s="5"/>
      <c r="G55" s="5"/>
      <c r="H55" s="5"/>
      <c r="I55" s="5"/>
      <c r="J55" s="5"/>
      <c r="K55" s="5"/>
      <c r="L55" s="5"/>
      <c r="M55" s="5"/>
      <c r="N55" s="5"/>
      <c r="O55" s="5"/>
      <c r="P55" s="5"/>
      <c r="Q55" s="5"/>
      <c r="R55" s="5"/>
      <c r="S55" s="5"/>
      <c r="W55" s="11">
        <v>44489</v>
      </c>
      <c r="X55" s="5"/>
      <c r="Y55" s="5"/>
      <c r="Z55" s="5"/>
      <c r="AA55" s="5"/>
      <c r="AB55" s="5"/>
      <c r="AC55" s="5"/>
      <c r="AD55" s="5"/>
      <c r="AE55" s="5"/>
      <c r="AF55" s="5"/>
      <c r="AG55" s="5"/>
      <c r="AH55" s="5"/>
      <c r="AI55" s="5"/>
      <c r="AJ55" s="5"/>
      <c r="AK55" s="5"/>
      <c r="AL55" s="5"/>
      <c r="AM55" s="5"/>
      <c r="AN55" s="5"/>
      <c r="AO55" s="5"/>
    </row>
    <row r="56">
      <c r="A56" s="11">
        <v>44490</v>
      </c>
      <c r="B56" s="14"/>
      <c r="C56" s="14"/>
      <c r="D56" s="14"/>
      <c r="E56" s="14"/>
      <c r="F56" s="14"/>
      <c r="G56" s="14"/>
      <c r="H56" s="14"/>
      <c r="I56" s="14"/>
      <c r="J56" s="14"/>
      <c r="K56" s="14"/>
      <c r="L56" s="14"/>
      <c r="M56" s="14"/>
      <c r="N56" s="14"/>
      <c r="O56" s="14"/>
      <c r="P56" s="14"/>
      <c r="Q56" s="14"/>
      <c r="R56" s="14"/>
      <c r="S56" s="14"/>
      <c r="W56" s="11">
        <v>44490</v>
      </c>
      <c r="X56" s="14"/>
      <c r="Y56" s="14"/>
      <c r="Z56" s="14"/>
      <c r="AA56" s="14"/>
      <c r="AB56" s="14"/>
      <c r="AC56" s="14"/>
      <c r="AD56" s="14"/>
      <c r="AE56" s="14"/>
      <c r="AF56" s="14"/>
      <c r="AG56" s="14"/>
      <c r="AH56" s="14"/>
      <c r="AI56" s="14"/>
      <c r="AJ56" s="14"/>
      <c r="AK56" s="14"/>
      <c r="AL56" s="14"/>
      <c r="AM56" s="14"/>
      <c r="AN56" s="14"/>
      <c r="AO56" s="14"/>
    </row>
    <row r="57">
      <c r="A57" s="11">
        <v>44491</v>
      </c>
      <c r="B57" s="5">
        <f>5177+4398</f>
        <v>9575</v>
      </c>
      <c r="C57" s="5"/>
      <c r="D57" s="5"/>
      <c r="E57" s="5"/>
      <c r="F57" s="5"/>
      <c r="G57" s="5"/>
      <c r="H57" s="5"/>
      <c r="I57" s="5"/>
      <c r="J57" s="5"/>
      <c r="K57" s="5"/>
      <c r="L57" s="5"/>
      <c r="M57" s="5"/>
      <c r="N57" s="5"/>
      <c r="O57" s="5"/>
      <c r="P57" s="5"/>
      <c r="Q57" s="5"/>
      <c r="R57" s="5"/>
      <c r="S57" s="5"/>
      <c r="W57" s="11">
        <v>44491</v>
      </c>
      <c r="X57" s="5"/>
      <c r="Y57" s="5"/>
      <c r="Z57" s="5"/>
      <c r="AA57" s="5"/>
      <c r="AB57" s="5"/>
      <c r="AC57" s="5"/>
      <c r="AD57" s="5"/>
      <c r="AE57" s="5"/>
      <c r="AF57" s="5"/>
      <c r="AG57" s="5"/>
      <c r="AH57" s="5"/>
      <c r="AI57" s="5"/>
      <c r="AJ57" s="5"/>
      <c r="AK57" s="5"/>
      <c r="AL57" s="5"/>
      <c r="AM57" s="5"/>
      <c r="AN57" s="5"/>
      <c r="AO57" s="5"/>
    </row>
    <row r="58">
      <c r="A58" s="11">
        <v>44492</v>
      </c>
      <c r="B58" s="14"/>
      <c r="C58" s="14"/>
      <c r="D58" s="14"/>
      <c r="E58" s="14"/>
      <c r="F58" s="14"/>
      <c r="G58" s="14"/>
      <c r="H58" s="14"/>
      <c r="I58" s="14"/>
      <c r="J58" s="14"/>
      <c r="K58" s="14"/>
      <c r="L58" s="14"/>
      <c r="M58" s="14"/>
      <c r="N58" s="14"/>
      <c r="O58" s="14"/>
      <c r="P58" s="14"/>
      <c r="Q58" s="14"/>
      <c r="R58" s="14"/>
      <c r="S58" s="14"/>
      <c r="W58" s="11">
        <v>44492</v>
      </c>
      <c r="X58" s="14"/>
      <c r="Y58" s="14"/>
      <c r="Z58" s="14"/>
      <c r="AA58" s="14"/>
      <c r="AB58" s="14"/>
      <c r="AC58" s="14"/>
      <c r="AD58" s="14"/>
      <c r="AE58" s="14"/>
      <c r="AF58" s="14"/>
      <c r="AG58" s="14"/>
      <c r="AH58" s="14"/>
      <c r="AI58" s="14"/>
      <c r="AJ58" s="14"/>
      <c r="AK58" s="14"/>
      <c r="AL58" s="14"/>
      <c r="AM58" s="14"/>
      <c r="AN58" s="14"/>
      <c r="AO58" s="14"/>
    </row>
    <row r="59">
      <c r="A59" s="11">
        <v>44493</v>
      </c>
      <c r="B59" s="5"/>
      <c r="C59" s="5"/>
      <c r="D59" s="5"/>
      <c r="E59" s="5"/>
      <c r="F59" s="5">
        <v>400</v>
      </c>
      <c r="G59" s="5"/>
      <c r="H59" s="5">
        <v>1600</v>
      </c>
      <c r="I59" s="5"/>
      <c r="J59" s="5"/>
      <c r="K59" s="5"/>
      <c r="L59" s="5"/>
      <c r="M59" s="5"/>
      <c r="N59" s="5"/>
      <c r="O59" s="5"/>
      <c r="P59" s="5"/>
      <c r="Q59" s="5"/>
      <c r="R59" s="5"/>
      <c r="S59" s="5"/>
      <c r="W59" s="11">
        <v>44493</v>
      </c>
      <c r="X59" s="5"/>
      <c r="Y59" s="5"/>
      <c r="Z59" s="5"/>
      <c r="AA59" s="5"/>
      <c r="AB59" s="5"/>
      <c r="AC59" s="5"/>
      <c r="AD59" s="5"/>
      <c r="AE59" s="5"/>
      <c r="AF59" s="5"/>
      <c r="AG59" s="5"/>
      <c r="AH59" s="5"/>
      <c r="AI59" s="5"/>
      <c r="AJ59" s="5"/>
      <c r="AK59" s="5"/>
      <c r="AL59" s="5"/>
      <c r="AM59" s="5"/>
      <c r="AN59" s="5"/>
      <c r="AO59" s="5"/>
    </row>
    <row r="60">
      <c r="A60" s="11">
        <v>44494</v>
      </c>
      <c r="B60" s="14">
        <f>3593+6215.29+2408.11</f>
        <v>12216.400000000001</v>
      </c>
      <c r="C60" s="14"/>
      <c r="D60" s="14"/>
      <c r="E60" s="14"/>
      <c r="F60" s="14">
        <v>1770</v>
      </c>
      <c r="G60" s="14"/>
      <c r="H60" s="14">
        <v>730</v>
      </c>
      <c r="I60" s="14"/>
      <c r="J60" s="14"/>
      <c r="K60" s="14"/>
      <c r="L60" s="14"/>
      <c r="M60" s="14"/>
      <c r="N60" s="14"/>
      <c r="O60" s="14"/>
      <c r="P60" s="14"/>
      <c r="Q60" s="14"/>
      <c r="R60" s="14"/>
      <c r="S60" s="14"/>
      <c r="W60" s="11">
        <v>44494</v>
      </c>
      <c r="X60" s="14"/>
      <c r="Y60" s="14"/>
      <c r="Z60" s="14"/>
      <c r="AA60" s="14"/>
      <c r="AB60" s="14"/>
      <c r="AC60" s="14"/>
      <c r="AD60" s="14"/>
      <c r="AE60" s="14"/>
      <c r="AF60" s="14"/>
      <c r="AG60" s="14"/>
      <c r="AH60" s="14"/>
      <c r="AI60" s="14"/>
      <c r="AJ60" s="14"/>
      <c r="AK60" s="14"/>
      <c r="AL60" s="14"/>
      <c r="AM60" s="14"/>
      <c r="AN60" s="14"/>
      <c r="AO60" s="14"/>
    </row>
    <row r="61">
      <c r="A61" s="11">
        <v>44495</v>
      </c>
      <c r="B61" s="5"/>
      <c r="C61" s="5"/>
      <c r="D61" s="5"/>
      <c r="E61" s="5"/>
      <c r="F61" s="5"/>
      <c r="G61" s="5"/>
      <c r="H61" s="5"/>
      <c r="I61" s="5"/>
      <c r="J61" s="5"/>
      <c r="K61" s="5"/>
      <c r="L61" s="5"/>
      <c r="M61" s="5"/>
      <c r="N61" s="5"/>
      <c r="O61" s="5"/>
      <c r="P61" s="5"/>
      <c r="Q61" s="5"/>
      <c r="R61" s="5"/>
      <c r="S61" s="5"/>
      <c r="W61" s="11">
        <v>44495</v>
      </c>
      <c r="X61" s="5"/>
      <c r="Y61" s="5"/>
      <c r="Z61" s="5"/>
      <c r="AA61" s="5"/>
      <c r="AB61" s="5"/>
      <c r="AC61" s="5"/>
      <c r="AD61" s="5"/>
      <c r="AE61" s="5"/>
      <c r="AF61" s="5"/>
      <c r="AG61" s="5"/>
      <c r="AH61" s="5"/>
      <c r="AI61" s="5"/>
      <c r="AJ61" s="5"/>
      <c r="AK61" s="5"/>
      <c r="AL61" s="5"/>
      <c r="AM61" s="5"/>
      <c r="AN61" s="5"/>
      <c r="AO61" s="5"/>
    </row>
    <row r="62">
      <c r="A62" s="11">
        <v>44496</v>
      </c>
      <c r="B62" s="14"/>
      <c r="C62" s="14"/>
      <c r="D62" s="14"/>
      <c r="E62" s="14"/>
      <c r="F62" s="14"/>
      <c r="G62" s="14"/>
      <c r="H62" s="14"/>
      <c r="I62" s="14"/>
      <c r="J62" s="14"/>
      <c r="K62" s="14"/>
      <c r="L62" s="14"/>
      <c r="M62" s="14"/>
      <c r="N62" s="14"/>
      <c r="O62" s="14"/>
      <c r="P62" s="14"/>
      <c r="Q62" s="14"/>
      <c r="R62" s="14"/>
      <c r="S62" s="14"/>
      <c r="W62" s="11">
        <v>44496</v>
      </c>
      <c r="X62" s="14"/>
      <c r="Y62" s="14"/>
      <c r="Z62" s="14"/>
      <c r="AA62" s="14"/>
      <c r="AB62" s="14"/>
      <c r="AC62" s="14"/>
      <c r="AD62" s="14"/>
      <c r="AE62" s="14"/>
      <c r="AF62" s="14"/>
      <c r="AG62" s="14"/>
      <c r="AH62" s="14"/>
      <c r="AI62" s="14"/>
      <c r="AJ62" s="14"/>
      <c r="AK62" s="14"/>
      <c r="AL62" s="14"/>
      <c r="AM62" s="14"/>
      <c r="AN62" s="14"/>
      <c r="AO62" s="14"/>
    </row>
    <row r="63">
      <c r="A63" s="11">
        <v>44497</v>
      </c>
      <c r="B63" s="5"/>
      <c r="C63" s="5"/>
      <c r="D63" s="5"/>
      <c r="E63" s="5"/>
      <c r="F63" s="5"/>
      <c r="G63" s="5"/>
      <c r="H63" s="5"/>
      <c r="I63" s="5"/>
      <c r="J63" s="5"/>
      <c r="K63" s="5">
        <v>2000</v>
      </c>
      <c r="L63" s="5"/>
      <c r="M63" s="5"/>
      <c r="N63" s="5"/>
      <c r="O63" s="5"/>
      <c r="P63" s="5"/>
      <c r="Q63" s="5"/>
      <c r="R63" s="48"/>
      <c r="S63" s="5"/>
      <c r="W63" s="11">
        <v>44497</v>
      </c>
      <c r="X63" s="5">
        <v>6744.96</v>
      </c>
      <c r="Y63" s="5"/>
      <c r="Z63" s="5"/>
      <c r="AA63" s="5"/>
      <c r="AB63" s="5"/>
      <c r="AC63" s="5"/>
      <c r="AD63" s="5"/>
      <c r="AE63" s="5"/>
      <c r="AF63" s="5"/>
      <c r="AG63" s="5"/>
      <c r="AH63" s="5"/>
      <c r="AI63" s="5"/>
      <c r="AJ63" s="5"/>
      <c r="AK63" s="5"/>
      <c r="AL63" s="5"/>
      <c r="AM63" s="5"/>
      <c r="AN63" s="48"/>
      <c r="AO63" s="5"/>
    </row>
    <row r="64">
      <c r="A64" s="11">
        <v>44498</v>
      </c>
      <c r="B64" s="22"/>
      <c r="C64" s="22"/>
      <c r="D64" s="22"/>
      <c r="E64" s="22"/>
      <c r="F64" s="22"/>
      <c r="G64" s="22"/>
      <c r="H64" s="22"/>
      <c r="I64" s="22"/>
      <c r="J64" s="14"/>
      <c r="K64" s="14"/>
      <c r="L64" s="14"/>
      <c r="M64" s="14"/>
      <c r="N64" s="14"/>
      <c r="O64" s="14"/>
      <c r="P64" s="14"/>
      <c r="Q64" s="14"/>
      <c r="R64" s="80"/>
      <c r="S64" s="14"/>
      <c r="W64" s="11">
        <v>44498</v>
      </c>
      <c r="X64" s="22"/>
      <c r="Y64" s="22"/>
      <c r="Z64" s="22"/>
      <c r="AA64" s="22"/>
      <c r="AB64" s="22"/>
      <c r="AC64" s="22"/>
      <c r="AD64" s="22"/>
      <c r="AE64" s="22"/>
      <c r="AF64" s="14"/>
      <c r="AG64" s="14"/>
      <c r="AH64" s="14"/>
      <c r="AI64" s="14"/>
      <c r="AJ64" s="14"/>
      <c r="AK64" s="14"/>
      <c r="AL64" s="14"/>
      <c r="AM64" s="14"/>
      <c r="AN64" s="80"/>
      <c r="AO64" s="14"/>
    </row>
    <row r="65">
      <c r="A65" s="11">
        <v>44499</v>
      </c>
      <c r="B65" s="5"/>
      <c r="C65" s="5"/>
      <c r="D65" s="5"/>
      <c r="E65" s="5"/>
      <c r="F65" s="5"/>
      <c r="G65" s="5"/>
      <c r="H65" s="5"/>
      <c r="I65" s="5"/>
      <c r="J65" s="5"/>
      <c r="K65" s="5"/>
      <c r="L65" s="5"/>
      <c r="M65" s="5"/>
      <c r="N65" s="5"/>
      <c r="O65" s="5"/>
      <c r="P65" s="5"/>
      <c r="Q65" s="5"/>
      <c r="R65" s="48"/>
      <c r="S65" s="5"/>
      <c r="W65" s="11">
        <v>44499</v>
      </c>
      <c r="X65" s="5"/>
      <c r="Y65" s="5"/>
      <c r="Z65" s="5"/>
      <c r="AA65" s="5"/>
      <c r="AB65" s="5"/>
      <c r="AC65" s="5"/>
      <c r="AD65" s="5"/>
      <c r="AE65" s="5"/>
      <c r="AF65" s="5"/>
      <c r="AG65" s="5"/>
      <c r="AH65" s="5"/>
      <c r="AI65" s="5"/>
      <c r="AJ65" s="5"/>
      <c r="AK65" s="5"/>
      <c r="AL65" s="5"/>
      <c r="AM65" s="5"/>
      <c r="AN65" s="48"/>
      <c r="AO65" s="5"/>
    </row>
    <row r="66">
      <c r="A66" s="11">
        <v>44500</v>
      </c>
      <c r="B66" s="22"/>
      <c r="C66" s="22"/>
      <c r="D66" s="22"/>
      <c r="E66" s="22">
        <v>752.94000000000005</v>
      </c>
      <c r="F66" s="22"/>
      <c r="G66" s="22"/>
      <c r="H66" s="22"/>
      <c r="I66" s="22"/>
      <c r="J66" s="14"/>
      <c r="K66" s="14">
        <v>1000</v>
      </c>
      <c r="L66" s="14"/>
      <c r="M66" s="14"/>
      <c r="N66" s="14"/>
      <c r="O66" s="14"/>
      <c r="P66" s="14"/>
      <c r="Q66" s="14"/>
      <c r="R66" s="80"/>
      <c r="S66" s="14"/>
      <c r="W66" s="11">
        <v>44500</v>
      </c>
      <c r="X66" s="22"/>
      <c r="Y66" s="22"/>
      <c r="Z66" s="22"/>
      <c r="AA66" s="22"/>
      <c r="AB66" s="22"/>
      <c r="AC66" s="22"/>
      <c r="AD66" s="22"/>
      <c r="AE66" s="22"/>
      <c r="AF66" s="14"/>
      <c r="AG66" s="14"/>
      <c r="AH66" s="14"/>
      <c r="AI66" s="14"/>
      <c r="AJ66" s="14"/>
      <c r="AK66" s="14"/>
      <c r="AL66" s="14"/>
      <c r="AM66" s="14"/>
      <c r="AN66" s="80"/>
      <c r="AO66" s="14"/>
    </row>
    <row r="67">
      <c r="A67" s="74"/>
      <c r="B67" s="75">
        <f t="shared" ref="B67:E67" si="86">SUM(B36:B66)</f>
        <v>34711.270000000004</v>
      </c>
      <c r="C67" s="75">
        <f>SUM(C36:C66)</f>
        <v>0</v>
      </c>
      <c r="D67" s="75">
        <f t="shared" si="86"/>
        <v>0</v>
      </c>
      <c r="E67" s="75">
        <f t="shared" si="86"/>
        <v>839.65000000000009</v>
      </c>
      <c r="F67" s="75">
        <f>SUM(F36:F66)</f>
        <v>5920</v>
      </c>
      <c r="G67" s="75">
        <f t="shared" ref="G67:R67" si="87">SUM(G36:G66)</f>
        <v>0</v>
      </c>
      <c r="H67" s="75">
        <f t="shared" si="87"/>
        <v>3330</v>
      </c>
      <c r="I67" s="75">
        <f t="shared" si="87"/>
        <v>765</v>
      </c>
      <c r="J67" s="75">
        <f>SUM(J36:J66)</f>
        <v>4522.3699999999999</v>
      </c>
      <c r="K67" s="75">
        <f t="shared" si="87"/>
        <v>3000</v>
      </c>
      <c r="L67" s="75">
        <f t="shared" si="87"/>
        <v>0</v>
      </c>
      <c r="M67" s="75">
        <f t="shared" si="87"/>
        <v>0</v>
      </c>
      <c r="N67" s="75">
        <f t="shared" si="87"/>
        <v>0</v>
      </c>
      <c r="O67" s="75">
        <f t="shared" si="87"/>
        <v>0</v>
      </c>
      <c r="P67" s="75">
        <f t="shared" si="87"/>
        <v>0</v>
      </c>
      <c r="Q67" s="75">
        <f t="shared" si="87"/>
        <v>0</v>
      </c>
      <c r="R67" s="75">
        <f t="shared" si="87"/>
        <v>0</v>
      </c>
      <c r="S67" s="75">
        <f>SUM(B67:R67)</f>
        <v>53088.290000000008</v>
      </c>
      <c r="W67" s="74"/>
      <c r="X67" s="75">
        <f t="shared" ref="X67:AN67" si="88">SUM(X36:X66)</f>
        <v>30822.25</v>
      </c>
      <c r="Y67" s="75">
        <f t="shared" si="88"/>
        <v>0</v>
      </c>
      <c r="Z67" s="75">
        <f t="shared" si="88"/>
        <v>0</v>
      </c>
      <c r="AA67" s="75">
        <f t="shared" si="88"/>
        <v>0</v>
      </c>
      <c r="AB67" s="75">
        <f t="shared" si="88"/>
        <v>0</v>
      </c>
      <c r="AC67" s="75">
        <f t="shared" si="88"/>
        <v>0</v>
      </c>
      <c r="AD67" s="75">
        <f t="shared" si="88"/>
        <v>0</v>
      </c>
      <c r="AE67" s="75">
        <f t="shared" si="88"/>
        <v>0</v>
      </c>
      <c r="AF67" s="75">
        <f t="shared" si="88"/>
        <v>0</v>
      </c>
      <c r="AG67" s="75">
        <f t="shared" si="88"/>
        <v>0</v>
      </c>
      <c r="AH67" s="75">
        <f t="shared" si="88"/>
        <v>0</v>
      </c>
      <c r="AI67" s="75">
        <f t="shared" si="88"/>
        <v>0</v>
      </c>
      <c r="AJ67" s="75">
        <f t="shared" si="88"/>
        <v>0</v>
      </c>
      <c r="AK67" s="75">
        <f t="shared" si="88"/>
        <v>0</v>
      </c>
      <c r="AL67" s="75">
        <f t="shared" si="88"/>
        <v>0</v>
      </c>
      <c r="AM67" s="75">
        <f t="shared" si="88"/>
        <v>0</v>
      </c>
      <c r="AN67" s="75">
        <f t="shared" si="88"/>
        <v>0</v>
      </c>
      <c r="AO67" s="75">
        <f>SUM(X67:AN67)</f>
        <v>30822.25</v>
      </c>
    </row>
    <row r="68">
      <c r="A68" s="84"/>
      <c r="B68" s="84"/>
      <c r="C68" s="84"/>
      <c r="D68" s="84"/>
      <c r="E68" s="84"/>
      <c r="F68" s="84"/>
      <c r="G68" s="84"/>
      <c r="H68" s="84"/>
      <c r="I68" s="84"/>
      <c r="J68" s="84"/>
      <c r="K68" s="84"/>
      <c r="L68" s="84"/>
      <c r="M68" s="84"/>
      <c r="N68" s="84"/>
      <c r="O68" s="84"/>
      <c r="P68" s="84"/>
      <c r="Q68" s="84"/>
      <c r="R68" s="84"/>
      <c r="S68" s="84"/>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row>
    <row r="70">
      <c r="A70" s="5" t="s">
        <v>68</v>
      </c>
      <c r="B70" s="81">
        <f>21000-344+2039+(23000-23000)-344-344+8164.1-4600-3300+(3000-3000)+80000+2000+(5500-5000)+(5650-5100)+1000+300</f>
        <v>106621.10000000001</v>
      </c>
      <c r="C70" s="5"/>
      <c r="D70" s="5"/>
      <c r="E70" s="5"/>
      <c r="F70" s="5"/>
      <c r="G70" s="5"/>
      <c r="H70" s="5"/>
      <c r="I70" s="5"/>
      <c r="J70" s="5"/>
      <c r="K70" s="5"/>
      <c r="L70" s="5"/>
      <c r="M70" s="5"/>
      <c r="N70" s="5"/>
      <c r="O70" s="5"/>
      <c r="P70" s="5"/>
      <c r="Q70" s="5"/>
      <c r="R70" s="5"/>
      <c r="S70" s="5"/>
    </row>
    <row r="71">
      <c r="A71" s="5" t="s">
        <v>69</v>
      </c>
      <c r="B71" s="5"/>
      <c r="C71" s="5"/>
      <c r="D71" s="5"/>
      <c r="E71" s="5"/>
      <c r="F71" s="5"/>
      <c r="G71" s="5"/>
      <c r="H71" s="5"/>
      <c r="I71" s="5"/>
      <c r="J71" s="5"/>
      <c r="K71" s="5"/>
      <c r="L71" s="5"/>
      <c r="M71" s="5"/>
      <c r="N71" s="5"/>
      <c r="O71" s="5"/>
      <c r="P71" s="5"/>
      <c r="Q71" s="5"/>
      <c r="R71" s="5"/>
      <c r="S71" s="5"/>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N34" zoomScale="100" workbookViewId="0">
      <selection activeCell="S67" activeCellId="0" sqref="S67"/>
    </sheetView>
  </sheetViews>
  <sheetFormatPr defaultRowHeight="14.25"/>
  <cols>
    <col bestFit="1" customWidth="1" min="1" max="1" width="11.42578125"/>
    <col customWidth="1" min="23" max="23" width="12.42578125"/>
  </cols>
  <sheetData>
    <row r="1">
      <c r="A1" s="82" t="s">
        <v>0</v>
      </c>
      <c r="B1" s="83" t="s">
        <v>70</v>
      </c>
      <c r="C1" s="83" t="s">
        <v>71</v>
      </c>
      <c r="D1" s="83" t="s">
        <v>72</v>
      </c>
      <c r="E1" s="83" t="s">
        <v>3</v>
      </c>
      <c r="F1" s="83" t="s">
        <v>4</v>
      </c>
      <c r="G1" s="83" t="s">
        <v>5</v>
      </c>
      <c r="H1" s="83" t="s">
        <v>6</v>
      </c>
      <c r="I1" s="83" t="s">
        <v>7</v>
      </c>
      <c r="J1" s="83" t="s">
        <v>8</v>
      </c>
      <c r="K1" s="83" t="s">
        <v>9</v>
      </c>
      <c r="L1" s="83" t="s">
        <v>10</v>
      </c>
      <c r="M1" s="83" t="s">
        <v>11</v>
      </c>
      <c r="N1" s="83" t="s">
        <v>12</v>
      </c>
      <c r="O1" s="83" t="s">
        <v>13</v>
      </c>
      <c r="P1" s="83" t="s">
        <v>19</v>
      </c>
      <c r="Q1" s="83" t="s">
        <v>20</v>
      </c>
      <c r="R1" s="83" t="s">
        <v>73</v>
      </c>
      <c r="S1" s="83" t="s">
        <v>62</v>
      </c>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19</v>
      </c>
      <c r="AM1" s="83" t="s">
        <v>20</v>
      </c>
      <c r="AN1" s="83" t="s">
        <v>73</v>
      </c>
      <c r="AO1" s="83" t="s">
        <v>62</v>
      </c>
    </row>
    <row r="2">
      <c r="A2" s="11">
        <v>44501</v>
      </c>
      <c r="B2" s="14">
        <v>50</v>
      </c>
      <c r="C2" s="14"/>
      <c r="D2" s="14">
        <f>99+35</f>
        <v>134</v>
      </c>
      <c r="E2" s="14"/>
      <c r="F2" s="14"/>
      <c r="G2" s="14"/>
      <c r="H2" s="14"/>
      <c r="I2" s="14"/>
      <c r="J2" s="14"/>
      <c r="K2" s="14"/>
      <c r="L2" s="14"/>
      <c r="M2" s="14"/>
      <c r="N2" s="14"/>
      <c r="O2" s="14"/>
      <c r="P2" s="14"/>
      <c r="Q2" s="14"/>
      <c r="R2" s="14"/>
      <c r="S2" s="14"/>
      <c r="W2" s="11">
        <v>44501</v>
      </c>
      <c r="X2" s="14"/>
      <c r="Y2" s="14"/>
      <c r="Z2" s="14"/>
      <c r="AA2" s="14"/>
      <c r="AB2" s="14"/>
      <c r="AC2" s="14"/>
      <c r="AD2" s="14"/>
      <c r="AE2" s="14"/>
      <c r="AF2" s="14"/>
      <c r="AG2" s="14"/>
      <c r="AH2" s="14"/>
      <c r="AI2" s="14"/>
      <c r="AJ2" s="14"/>
      <c r="AK2" s="14"/>
      <c r="AL2" s="14"/>
      <c r="AM2" s="14"/>
      <c r="AN2" s="14"/>
      <c r="AO2" s="14"/>
    </row>
    <row r="3">
      <c r="A3" s="11">
        <v>44502</v>
      </c>
      <c r="B3" s="5">
        <v>50</v>
      </c>
      <c r="C3" s="5"/>
      <c r="D3" s="5">
        <v>96</v>
      </c>
      <c r="E3" s="5"/>
      <c r="F3" s="5"/>
      <c r="G3" s="5"/>
      <c r="H3" s="5"/>
      <c r="I3" s="5"/>
      <c r="J3" s="5"/>
      <c r="K3" s="5"/>
      <c r="L3" s="5"/>
      <c r="M3" s="5">
        <v>2000</v>
      </c>
      <c r="N3" s="5">
        <v>600</v>
      </c>
      <c r="O3" s="5"/>
      <c r="P3" s="5"/>
      <c r="Q3" s="5"/>
      <c r="R3" s="5"/>
      <c r="S3" s="5"/>
      <c r="W3" s="11">
        <v>44502</v>
      </c>
      <c r="X3" s="5"/>
      <c r="Y3" s="5"/>
      <c r="Z3" s="5"/>
      <c r="AA3" s="5"/>
      <c r="AB3" s="5"/>
      <c r="AC3" s="5"/>
      <c r="AD3" s="5"/>
      <c r="AE3" s="5"/>
      <c r="AF3" s="5"/>
      <c r="AG3" s="5"/>
      <c r="AH3" s="5"/>
      <c r="AI3" s="5"/>
      <c r="AJ3" s="5"/>
      <c r="AK3" s="5"/>
      <c r="AL3" s="5"/>
      <c r="AM3" s="5"/>
      <c r="AN3" s="5"/>
      <c r="AO3" s="5"/>
    </row>
    <row r="4">
      <c r="A4" s="11">
        <v>44503</v>
      </c>
      <c r="B4" s="14"/>
      <c r="C4" s="14"/>
      <c r="D4" s="14"/>
      <c r="E4" s="14"/>
      <c r="F4" s="14"/>
      <c r="G4" s="14"/>
      <c r="H4" s="14"/>
      <c r="I4" s="14"/>
      <c r="J4" s="14"/>
      <c r="K4" s="14"/>
      <c r="L4" s="14"/>
      <c r="M4" s="14"/>
      <c r="N4" s="14"/>
      <c r="O4" s="14"/>
      <c r="P4" s="14"/>
      <c r="Q4" s="14"/>
      <c r="R4" s="14"/>
      <c r="S4" s="14"/>
      <c r="W4" s="11">
        <v>44503</v>
      </c>
      <c r="X4" s="14"/>
      <c r="Y4" s="14"/>
      <c r="Z4" s="14"/>
      <c r="AA4" s="14"/>
      <c r="AB4" s="14"/>
      <c r="AC4" s="14"/>
      <c r="AD4" s="14"/>
      <c r="AE4" s="14"/>
      <c r="AF4" s="14"/>
      <c r="AG4" s="14"/>
      <c r="AH4" s="14"/>
      <c r="AI4" s="14"/>
      <c r="AJ4" s="14"/>
      <c r="AK4" s="14"/>
      <c r="AL4" s="14"/>
      <c r="AM4" s="14"/>
      <c r="AN4" s="14"/>
      <c r="AO4" s="14"/>
    </row>
    <row r="5">
      <c r="A5" s="11">
        <v>44504</v>
      </c>
      <c r="B5" s="5"/>
      <c r="C5" s="5"/>
      <c r="D5" s="5"/>
      <c r="E5" s="5">
        <v>399</v>
      </c>
      <c r="F5" s="5"/>
      <c r="G5" s="5"/>
      <c r="H5" s="5"/>
      <c r="I5" s="5"/>
      <c r="J5" s="5">
        <f>846+347.76</f>
        <v>1193.76</v>
      </c>
      <c r="K5" s="5"/>
      <c r="L5" s="5"/>
      <c r="M5" s="5"/>
      <c r="N5" s="5"/>
      <c r="O5" s="5"/>
      <c r="P5" s="5"/>
      <c r="Q5" s="5"/>
      <c r="R5" s="5"/>
      <c r="S5" s="5"/>
      <c r="W5" s="11">
        <v>44504</v>
      </c>
      <c r="X5" s="5"/>
      <c r="Y5" s="5"/>
      <c r="Z5" s="5"/>
      <c r="AA5" s="5"/>
      <c r="AB5" s="5"/>
      <c r="AC5" s="5"/>
      <c r="AD5" s="5"/>
      <c r="AE5" s="5"/>
      <c r="AF5" s="5"/>
      <c r="AG5" s="5"/>
      <c r="AH5" s="5"/>
      <c r="AI5" s="5"/>
      <c r="AJ5" s="5"/>
      <c r="AK5" s="5"/>
      <c r="AL5" s="5"/>
      <c r="AM5" s="5"/>
      <c r="AN5" s="5"/>
      <c r="AO5" s="5"/>
    </row>
    <row r="6">
      <c r="A6" s="11">
        <v>44505</v>
      </c>
      <c r="B6" s="14"/>
      <c r="C6" s="14">
        <v>377.94999999999999</v>
      </c>
      <c r="D6" s="14"/>
      <c r="E6" s="14"/>
      <c r="F6" s="14"/>
      <c r="G6" s="14"/>
      <c r="H6" s="14"/>
      <c r="I6" s="14"/>
      <c r="J6" s="14"/>
      <c r="K6" s="14"/>
      <c r="L6" s="14"/>
      <c r="M6" s="14"/>
      <c r="N6" s="14"/>
      <c r="O6" s="14"/>
      <c r="P6" s="14"/>
      <c r="Q6" s="14"/>
      <c r="R6" s="14"/>
      <c r="S6" s="14"/>
      <c r="W6" s="11">
        <v>44505</v>
      </c>
      <c r="X6" s="14"/>
      <c r="Y6" s="14"/>
      <c r="Z6" s="14"/>
      <c r="AA6" s="14"/>
      <c r="AB6" s="14"/>
      <c r="AC6" s="14"/>
      <c r="AD6" s="14"/>
      <c r="AE6" s="14"/>
      <c r="AF6" s="14"/>
      <c r="AG6" s="14"/>
      <c r="AH6" s="14"/>
      <c r="AI6" s="14"/>
      <c r="AJ6" s="14"/>
      <c r="AK6" s="14"/>
      <c r="AL6" s="14"/>
      <c r="AM6" s="14"/>
      <c r="AN6" s="14"/>
      <c r="AO6" s="14"/>
    </row>
    <row r="7">
      <c r="A7" s="11">
        <v>44506</v>
      </c>
      <c r="B7" s="5"/>
      <c r="C7" s="5">
        <v>553.85000000000002</v>
      </c>
      <c r="D7" s="5"/>
      <c r="E7" s="5"/>
      <c r="F7" s="5"/>
      <c r="G7" s="5"/>
      <c r="H7" s="5"/>
      <c r="I7" s="5"/>
      <c r="J7" s="5"/>
      <c r="K7" s="5"/>
      <c r="L7" s="5"/>
      <c r="M7" s="5"/>
      <c r="N7" s="5"/>
      <c r="O7" s="5"/>
      <c r="P7" s="5"/>
      <c r="Q7" s="5"/>
      <c r="R7" s="5"/>
      <c r="S7" s="5"/>
      <c r="W7" s="11">
        <v>44506</v>
      </c>
      <c r="X7" s="5"/>
      <c r="Y7" s="5"/>
      <c r="Z7" s="5"/>
      <c r="AA7" s="5"/>
      <c r="AB7" s="5"/>
      <c r="AC7" s="5"/>
      <c r="AD7" s="5"/>
      <c r="AE7" s="5"/>
      <c r="AF7" s="5"/>
      <c r="AG7" s="5"/>
      <c r="AH7" s="5"/>
      <c r="AI7" s="5"/>
      <c r="AJ7" s="5"/>
      <c r="AK7" s="5"/>
      <c r="AL7" s="5"/>
      <c r="AM7" s="5"/>
      <c r="AN7" s="5"/>
      <c r="AO7" s="5"/>
    </row>
    <row r="8">
      <c r="A8" s="11">
        <v>44507</v>
      </c>
      <c r="B8" s="14"/>
      <c r="C8" s="14"/>
      <c r="D8" s="14"/>
      <c r="E8" s="14"/>
      <c r="F8" s="14"/>
      <c r="G8" s="14"/>
      <c r="H8" s="14"/>
      <c r="I8" s="14"/>
      <c r="J8" s="14"/>
      <c r="K8" s="14"/>
      <c r="L8" s="14"/>
      <c r="M8" s="14"/>
      <c r="N8" s="14"/>
      <c r="O8" s="14"/>
      <c r="P8" s="14"/>
      <c r="Q8" s="14"/>
      <c r="R8" s="14"/>
      <c r="S8" s="14"/>
      <c r="W8" s="11">
        <v>44507</v>
      </c>
      <c r="X8" s="14"/>
      <c r="Y8" s="14"/>
      <c r="Z8" s="14"/>
      <c r="AA8" s="14"/>
      <c r="AB8" s="14"/>
      <c r="AC8" s="14"/>
      <c r="AD8" s="14"/>
      <c r="AE8" s="14"/>
      <c r="AF8" s="14"/>
      <c r="AG8" s="14"/>
      <c r="AH8" s="14"/>
      <c r="AI8" s="14"/>
      <c r="AJ8" s="14"/>
      <c r="AK8" s="14"/>
      <c r="AL8" s="14"/>
      <c r="AM8" s="14"/>
      <c r="AN8" s="14"/>
      <c r="AO8" s="14"/>
    </row>
    <row r="9">
      <c r="A9" s="11">
        <v>44508</v>
      </c>
      <c r="B9" s="5"/>
      <c r="C9" s="5"/>
      <c r="D9" s="5">
        <v>133</v>
      </c>
      <c r="E9" s="5"/>
      <c r="F9" s="5"/>
      <c r="G9" s="5"/>
      <c r="H9" s="5"/>
      <c r="I9" s="5"/>
      <c r="J9" s="5">
        <f>2900+1318</f>
        <v>4218</v>
      </c>
      <c r="K9" s="5"/>
      <c r="L9" s="5"/>
      <c r="M9" s="5"/>
      <c r="N9" s="5"/>
      <c r="O9" s="5"/>
      <c r="P9" s="5"/>
      <c r="Q9" s="5"/>
      <c r="R9" s="5"/>
      <c r="S9" s="5">
        <v>100</v>
      </c>
      <c r="W9" s="11">
        <v>44508</v>
      </c>
      <c r="X9" s="5"/>
      <c r="Y9" s="5"/>
      <c r="Z9" s="5"/>
      <c r="AA9" s="5"/>
      <c r="AB9" s="5"/>
      <c r="AC9" s="5"/>
      <c r="AD9" s="5"/>
      <c r="AE9" s="5"/>
      <c r="AF9" s="5"/>
      <c r="AG9" s="5"/>
      <c r="AH9" s="5"/>
      <c r="AI9" s="5"/>
      <c r="AJ9" s="5"/>
      <c r="AK9" s="5"/>
      <c r="AL9" s="5"/>
      <c r="AM9" s="5"/>
      <c r="AN9" s="5"/>
      <c r="AO9" s="5"/>
    </row>
    <row r="10">
      <c r="A10" s="11">
        <v>44509</v>
      </c>
      <c r="B10" s="14"/>
      <c r="C10" s="14"/>
      <c r="D10" s="14">
        <v>90</v>
      </c>
      <c r="E10" s="14"/>
      <c r="F10" s="14"/>
      <c r="G10" s="14"/>
      <c r="H10" s="14"/>
      <c r="I10" s="14"/>
      <c r="J10" s="14"/>
      <c r="K10" s="14"/>
      <c r="L10" s="14"/>
      <c r="M10" s="14"/>
      <c r="N10" s="14"/>
      <c r="O10" s="14"/>
      <c r="P10" s="14"/>
      <c r="Q10" s="14"/>
      <c r="R10" s="14"/>
      <c r="S10" s="14"/>
      <c r="W10" s="11">
        <v>44509</v>
      </c>
      <c r="X10" s="14"/>
      <c r="Y10" s="14"/>
      <c r="Z10" s="14"/>
      <c r="AA10" s="14"/>
      <c r="AB10" s="14"/>
      <c r="AC10" s="14"/>
      <c r="AD10" s="14"/>
      <c r="AE10" s="14"/>
      <c r="AF10" s="14"/>
      <c r="AG10" s="14"/>
      <c r="AH10" s="14"/>
      <c r="AI10" s="14"/>
      <c r="AJ10" s="14"/>
      <c r="AK10" s="14"/>
      <c r="AL10" s="14"/>
      <c r="AM10" s="14"/>
      <c r="AN10" s="14"/>
      <c r="AO10" s="14"/>
    </row>
    <row r="11">
      <c r="A11" s="11">
        <v>44510</v>
      </c>
      <c r="B11" s="5"/>
      <c r="C11" s="5"/>
      <c r="D11" s="5">
        <v>139</v>
      </c>
      <c r="E11" s="5"/>
      <c r="F11" s="5"/>
      <c r="G11" s="5"/>
      <c r="H11" s="5"/>
      <c r="I11" s="5"/>
      <c r="J11" s="5"/>
      <c r="K11" s="5"/>
      <c r="L11" s="31"/>
      <c r="M11" s="5"/>
      <c r="N11" s="5"/>
      <c r="O11" s="5"/>
      <c r="P11" s="5"/>
      <c r="Q11" s="5"/>
      <c r="R11" s="5"/>
      <c r="S11" s="5"/>
      <c r="W11" s="11">
        <v>44510</v>
      </c>
      <c r="X11" s="5"/>
      <c r="Y11" s="5"/>
      <c r="Z11" s="5"/>
      <c r="AA11" s="5"/>
      <c r="AB11" s="5"/>
      <c r="AC11" s="5"/>
      <c r="AD11" s="5"/>
      <c r="AE11" s="5"/>
      <c r="AF11" s="5"/>
      <c r="AG11" s="5"/>
      <c r="AH11" s="5"/>
      <c r="AI11" s="5"/>
      <c r="AJ11" s="5"/>
      <c r="AK11" s="5"/>
      <c r="AL11" s="5"/>
      <c r="AM11" s="5"/>
      <c r="AN11" s="5"/>
      <c r="AO11" s="5"/>
    </row>
    <row r="12">
      <c r="A12" s="11">
        <v>44511</v>
      </c>
      <c r="B12" s="14">
        <v>50</v>
      </c>
      <c r="C12" s="14"/>
      <c r="D12" s="14">
        <v>76</v>
      </c>
      <c r="E12" s="14"/>
      <c r="F12" s="14"/>
      <c r="G12" s="14"/>
      <c r="H12" s="14"/>
      <c r="I12" s="14"/>
      <c r="J12" s="14">
        <f>1025.72+332</f>
        <v>1357.72</v>
      </c>
      <c r="K12" s="14"/>
      <c r="L12" s="14"/>
      <c r="M12" s="14">
        <v>15</v>
      </c>
      <c r="N12" s="14"/>
      <c r="O12" s="14"/>
      <c r="P12" s="14"/>
      <c r="Q12" s="14"/>
      <c r="R12" s="14"/>
      <c r="S12" s="14"/>
      <c r="W12" s="11">
        <v>44511</v>
      </c>
      <c r="X12" s="14"/>
      <c r="Y12" s="14"/>
      <c r="Z12" s="14"/>
      <c r="AA12" s="14"/>
      <c r="AB12" s="14"/>
      <c r="AC12" s="14"/>
      <c r="AD12" s="14"/>
      <c r="AE12" s="14"/>
      <c r="AF12" s="14"/>
      <c r="AG12" s="14"/>
      <c r="AH12" s="14"/>
      <c r="AI12" s="14"/>
      <c r="AJ12" s="14"/>
      <c r="AK12" s="14"/>
      <c r="AL12" s="14"/>
      <c r="AM12" s="14"/>
      <c r="AN12" s="14"/>
      <c r="AO12" s="14"/>
    </row>
    <row r="13">
      <c r="A13" s="11">
        <v>44512</v>
      </c>
      <c r="B13" s="5"/>
      <c r="C13" s="5"/>
      <c r="D13" s="5">
        <f>32.12+75</f>
        <v>107.12</v>
      </c>
      <c r="E13" s="5"/>
      <c r="F13" s="5"/>
      <c r="G13" s="5"/>
      <c r="H13" s="5"/>
      <c r="I13" s="5"/>
      <c r="J13" s="5"/>
      <c r="K13" s="5"/>
      <c r="L13" s="5"/>
      <c r="M13" s="5"/>
      <c r="N13" s="5"/>
      <c r="O13" s="5"/>
      <c r="P13" s="5"/>
      <c r="Q13" s="5"/>
      <c r="R13" s="5"/>
      <c r="S13" s="5"/>
      <c r="W13" s="11">
        <v>44512</v>
      </c>
      <c r="X13" s="5"/>
      <c r="Y13" s="5"/>
      <c r="Z13" s="5"/>
      <c r="AA13" s="5"/>
      <c r="AB13" s="5"/>
      <c r="AC13" s="5"/>
      <c r="AD13" s="5"/>
      <c r="AE13" s="5"/>
      <c r="AF13" s="5"/>
      <c r="AG13" s="5"/>
      <c r="AH13" s="5"/>
      <c r="AI13" s="5"/>
      <c r="AJ13" s="5"/>
      <c r="AK13" s="5"/>
      <c r="AL13" s="5"/>
      <c r="AM13" s="5"/>
      <c r="AN13" s="5"/>
      <c r="AO13" s="5"/>
    </row>
    <row r="14">
      <c r="A14" s="11">
        <v>44513</v>
      </c>
      <c r="B14" s="14"/>
      <c r="C14" s="14"/>
      <c r="D14" s="14"/>
      <c r="E14" s="14"/>
      <c r="F14" s="14"/>
      <c r="G14" s="14"/>
      <c r="H14" s="14"/>
      <c r="I14" s="14"/>
      <c r="J14" s="14"/>
      <c r="K14" s="14"/>
      <c r="L14" s="14"/>
      <c r="M14" s="14"/>
      <c r="N14" s="14"/>
      <c r="O14" s="14"/>
      <c r="P14" s="14"/>
      <c r="Q14" s="14"/>
      <c r="R14" s="14"/>
      <c r="S14" s="14"/>
      <c r="W14" s="11">
        <v>44513</v>
      </c>
      <c r="X14" s="14"/>
      <c r="Y14" s="14"/>
      <c r="Z14" s="14"/>
      <c r="AA14" s="14"/>
      <c r="AB14" s="14"/>
      <c r="AC14" s="14"/>
      <c r="AD14" s="14"/>
      <c r="AE14" s="14"/>
      <c r="AF14" s="14"/>
      <c r="AG14" s="14"/>
      <c r="AH14" s="14"/>
      <c r="AI14" s="14"/>
      <c r="AJ14" s="14"/>
      <c r="AK14" s="14"/>
      <c r="AL14" s="14"/>
      <c r="AM14" s="14"/>
      <c r="AN14" s="14"/>
      <c r="AO14" s="14"/>
    </row>
    <row r="15">
      <c r="A15" s="11">
        <v>44514</v>
      </c>
      <c r="B15" s="5"/>
      <c r="C15" s="5"/>
      <c r="D15" s="5"/>
      <c r="E15" s="5"/>
      <c r="F15" s="5"/>
      <c r="G15" s="5"/>
      <c r="H15" s="5"/>
      <c r="I15" s="5"/>
      <c r="J15" s="5">
        <v>181.30000000000001</v>
      </c>
      <c r="K15" s="5"/>
      <c r="L15" s="5"/>
      <c r="M15" s="5"/>
      <c r="N15" s="5"/>
      <c r="O15" s="5"/>
      <c r="P15" s="5"/>
      <c r="Q15" s="5"/>
      <c r="R15" s="5"/>
      <c r="S15" s="5"/>
      <c r="W15" s="11">
        <v>44514</v>
      </c>
      <c r="X15" s="5"/>
      <c r="Y15" s="5"/>
      <c r="Z15" s="5"/>
      <c r="AA15" s="5"/>
      <c r="AB15" s="5"/>
      <c r="AC15" s="5"/>
      <c r="AD15" s="5"/>
      <c r="AE15" s="5"/>
      <c r="AF15" s="5"/>
      <c r="AG15" s="5"/>
      <c r="AH15" s="5"/>
      <c r="AI15" s="5"/>
      <c r="AJ15" s="5"/>
      <c r="AK15" s="5"/>
      <c r="AL15" s="5"/>
      <c r="AM15" s="5"/>
      <c r="AN15" s="5"/>
      <c r="AO15" s="5"/>
    </row>
    <row r="16">
      <c r="A16" s="11">
        <v>44515</v>
      </c>
      <c r="B16" s="14"/>
      <c r="C16" s="14">
        <v>41.969999999999999</v>
      </c>
      <c r="D16" s="14">
        <v>45</v>
      </c>
      <c r="E16" s="14"/>
      <c r="F16" s="14"/>
      <c r="G16" s="14"/>
      <c r="H16" s="14"/>
      <c r="I16" s="14"/>
      <c r="J16" s="14"/>
      <c r="K16" s="14"/>
      <c r="L16" s="14"/>
      <c r="M16" s="14"/>
      <c r="N16" s="14"/>
      <c r="O16" s="14"/>
      <c r="P16" s="14"/>
      <c r="Q16" s="14"/>
      <c r="R16" s="14"/>
      <c r="S16" s="14"/>
      <c r="W16" s="11">
        <v>44515</v>
      </c>
      <c r="X16" s="14"/>
      <c r="Y16" s="14"/>
      <c r="Z16" s="14"/>
      <c r="AA16" s="14"/>
      <c r="AB16" s="14"/>
      <c r="AC16" s="14"/>
      <c r="AD16" s="14"/>
      <c r="AE16" s="14"/>
      <c r="AF16" s="14"/>
      <c r="AG16" s="14"/>
      <c r="AH16" s="14"/>
      <c r="AI16" s="14"/>
      <c r="AJ16" s="14"/>
      <c r="AK16" s="14"/>
      <c r="AL16" s="14"/>
      <c r="AM16" s="14"/>
      <c r="AN16" s="14"/>
      <c r="AO16" s="14"/>
    </row>
    <row r="17">
      <c r="A17" s="11">
        <v>44516</v>
      </c>
      <c r="B17" s="5">
        <v>60</v>
      </c>
      <c r="C17" s="5"/>
      <c r="D17" s="5">
        <v>63</v>
      </c>
      <c r="E17" s="5">
        <f>236+395</f>
        <v>631</v>
      </c>
      <c r="F17" s="5"/>
      <c r="G17" s="5"/>
      <c r="H17" s="5"/>
      <c r="I17" s="5"/>
      <c r="J17" s="5"/>
      <c r="K17" s="5"/>
      <c r="L17" s="5"/>
      <c r="M17" s="5"/>
      <c r="N17" s="5"/>
      <c r="O17" s="5"/>
      <c r="P17" s="5"/>
      <c r="Q17" s="5"/>
      <c r="R17" s="5"/>
      <c r="S17" s="5"/>
      <c r="W17" s="11">
        <v>44516</v>
      </c>
      <c r="X17" s="5"/>
      <c r="Y17" s="5"/>
      <c r="Z17" s="5"/>
      <c r="AA17" s="5"/>
      <c r="AB17" s="5"/>
      <c r="AC17" s="5"/>
      <c r="AD17" s="5"/>
      <c r="AE17" s="5"/>
      <c r="AF17" s="5"/>
      <c r="AG17" s="5"/>
      <c r="AH17" s="5"/>
      <c r="AI17" s="5"/>
      <c r="AJ17" s="5"/>
      <c r="AK17" s="5"/>
      <c r="AL17" s="5"/>
      <c r="AM17" s="5"/>
      <c r="AN17" s="5"/>
      <c r="AO17" s="5"/>
    </row>
    <row r="18">
      <c r="A18" s="11">
        <v>44517</v>
      </c>
      <c r="B18" s="14">
        <v>60</v>
      </c>
      <c r="C18" s="14"/>
      <c r="D18" s="14">
        <v>29</v>
      </c>
      <c r="E18" s="14"/>
      <c r="F18" s="14"/>
      <c r="G18" s="14"/>
      <c r="H18" s="14"/>
      <c r="I18" s="14"/>
      <c r="J18" s="14">
        <f>179+341.05</f>
        <v>520.04999999999995</v>
      </c>
      <c r="K18" s="14"/>
      <c r="L18" s="14"/>
      <c r="M18" s="14"/>
      <c r="N18" s="14"/>
      <c r="O18" s="14"/>
      <c r="P18" s="14"/>
      <c r="Q18" s="14"/>
      <c r="R18" s="14"/>
      <c r="S18" s="14"/>
      <c r="W18" s="11">
        <v>44517</v>
      </c>
      <c r="X18" s="14"/>
      <c r="Y18" s="14"/>
      <c r="Z18" s="14"/>
      <c r="AA18" s="14"/>
      <c r="AB18" s="14"/>
      <c r="AC18" s="14"/>
      <c r="AD18" s="14"/>
      <c r="AE18" s="14"/>
      <c r="AF18" s="14"/>
      <c r="AG18" s="14"/>
      <c r="AH18" s="14"/>
      <c r="AI18" s="14"/>
      <c r="AJ18" s="14"/>
      <c r="AK18" s="14"/>
      <c r="AL18" s="14"/>
      <c r="AM18" s="14"/>
      <c r="AN18" s="14"/>
      <c r="AO18" s="14"/>
    </row>
    <row r="19">
      <c r="A19" s="11">
        <v>44518</v>
      </c>
      <c r="B19" s="5">
        <v>60</v>
      </c>
      <c r="C19" s="5"/>
      <c r="D19" s="5">
        <v>113</v>
      </c>
      <c r="E19" s="5"/>
      <c r="F19" s="5"/>
      <c r="G19" s="5"/>
      <c r="H19" s="5"/>
      <c r="I19" s="5"/>
      <c r="J19" s="5">
        <v>115</v>
      </c>
      <c r="K19" s="5"/>
      <c r="L19" s="5"/>
      <c r="M19" s="5"/>
      <c r="N19" s="5"/>
      <c r="O19" s="5"/>
      <c r="P19" s="5"/>
      <c r="Q19" s="5"/>
      <c r="R19" s="5"/>
      <c r="S19" s="5"/>
      <c r="W19" s="11">
        <v>44518</v>
      </c>
      <c r="X19" s="5"/>
      <c r="Y19" s="5"/>
      <c r="Z19" s="5"/>
      <c r="AA19" s="5"/>
      <c r="AB19" s="5"/>
      <c r="AC19" s="5"/>
      <c r="AD19" s="5"/>
      <c r="AE19" s="5"/>
      <c r="AF19" s="5"/>
      <c r="AG19" s="5"/>
      <c r="AH19" s="5"/>
      <c r="AI19" s="5"/>
      <c r="AJ19" s="5"/>
      <c r="AK19" s="5"/>
      <c r="AL19" s="5"/>
      <c r="AM19" s="5"/>
      <c r="AN19" s="5"/>
      <c r="AO19" s="5"/>
    </row>
    <row r="20">
      <c r="A20" s="11">
        <v>44519</v>
      </c>
      <c r="B20" s="14"/>
      <c r="C20" s="14"/>
      <c r="D20" s="14">
        <f>74+57</f>
        <v>131</v>
      </c>
      <c r="E20" s="14"/>
      <c r="F20" s="14"/>
      <c r="G20" s="14"/>
      <c r="H20" s="14"/>
      <c r="I20" s="14"/>
      <c r="J20" s="14"/>
      <c r="K20" s="14"/>
      <c r="L20" s="14"/>
      <c r="M20" s="14"/>
      <c r="N20" s="14"/>
      <c r="O20" s="14"/>
      <c r="P20" s="34"/>
      <c r="Q20" s="14"/>
      <c r="R20" s="14"/>
      <c r="S20" s="14"/>
      <c r="W20" s="11">
        <v>44519</v>
      </c>
      <c r="X20" s="14"/>
      <c r="Y20" s="14"/>
      <c r="Z20" s="14"/>
      <c r="AA20" s="14"/>
      <c r="AB20" s="14"/>
      <c r="AC20" s="14"/>
      <c r="AD20" s="14"/>
      <c r="AE20" s="14"/>
      <c r="AF20" s="14"/>
      <c r="AG20" s="14"/>
      <c r="AH20" s="14"/>
      <c r="AI20" s="14"/>
      <c r="AJ20" s="14"/>
      <c r="AK20" s="14"/>
      <c r="AL20" s="34"/>
      <c r="AM20" s="14"/>
      <c r="AN20" s="14"/>
      <c r="AO20" s="14"/>
    </row>
    <row r="21">
      <c r="A21" s="11">
        <v>44520</v>
      </c>
      <c r="B21" s="69"/>
      <c r="C21" s="5">
        <f>1590+206</f>
        <v>1796</v>
      </c>
      <c r="D21" s="5"/>
      <c r="E21" s="5">
        <v>174.97999999999999</v>
      </c>
      <c r="F21" s="5"/>
      <c r="G21" s="5"/>
      <c r="H21" s="5"/>
      <c r="I21" s="5"/>
      <c r="J21" s="5"/>
      <c r="K21" s="5"/>
      <c r="L21" s="5"/>
      <c r="M21" s="5"/>
      <c r="N21" s="5"/>
      <c r="O21" s="5"/>
      <c r="P21" s="5"/>
      <c r="Q21" s="5">
        <v>400</v>
      </c>
      <c r="R21" s="5"/>
      <c r="S21" s="5"/>
      <c r="W21" s="11">
        <v>44520</v>
      </c>
      <c r="X21" s="69"/>
      <c r="Y21" s="5"/>
      <c r="Z21" s="5"/>
      <c r="AA21" s="5"/>
      <c r="AB21" s="5"/>
      <c r="AC21" s="5"/>
      <c r="AD21" s="5"/>
      <c r="AE21" s="5"/>
      <c r="AF21" s="5"/>
      <c r="AG21" s="5"/>
      <c r="AH21" s="5"/>
      <c r="AI21" s="5"/>
      <c r="AJ21" s="5"/>
      <c r="AK21" s="5"/>
      <c r="AL21" s="5"/>
      <c r="AM21" s="5"/>
      <c r="AN21" s="5"/>
      <c r="AO21" s="5"/>
    </row>
    <row r="22">
      <c r="A22" s="11">
        <v>44521</v>
      </c>
      <c r="B22" s="22"/>
      <c r="C22" s="14">
        <v>162</v>
      </c>
      <c r="D22" s="14"/>
      <c r="E22" s="14"/>
      <c r="F22" s="14"/>
      <c r="G22" s="14"/>
      <c r="H22" s="14"/>
      <c r="I22" s="14"/>
      <c r="J22" s="14">
        <f>26.2+362</f>
        <v>388.19999999999999</v>
      </c>
      <c r="K22" s="14"/>
      <c r="L22" s="14"/>
      <c r="M22" s="14"/>
      <c r="N22" s="14"/>
      <c r="O22" s="14"/>
      <c r="P22" s="14"/>
      <c r="Q22" s="14"/>
      <c r="R22" s="14"/>
      <c r="S22" s="14"/>
      <c r="W22" s="11">
        <v>44521</v>
      </c>
      <c r="X22" s="22"/>
      <c r="Y22" s="14"/>
      <c r="Z22" s="14"/>
      <c r="AA22" s="14"/>
      <c r="AB22" s="14"/>
      <c r="AC22" s="14"/>
      <c r="AD22" s="14"/>
      <c r="AE22" s="14"/>
      <c r="AF22" s="14"/>
      <c r="AG22" s="14"/>
      <c r="AH22" s="14"/>
      <c r="AI22" s="14"/>
      <c r="AJ22" s="14"/>
      <c r="AK22" s="14"/>
      <c r="AL22" s="14"/>
      <c r="AM22" s="14"/>
      <c r="AN22" s="14"/>
      <c r="AO22" s="14"/>
    </row>
    <row r="23">
      <c r="A23" s="11">
        <v>44522</v>
      </c>
      <c r="B23" s="5"/>
      <c r="C23" s="5"/>
      <c r="D23" s="5">
        <f>22+81</f>
        <v>103</v>
      </c>
      <c r="E23" s="5"/>
      <c r="F23" s="5"/>
      <c r="G23" s="5"/>
      <c r="H23" s="5"/>
      <c r="I23" s="5"/>
      <c r="J23" s="5"/>
      <c r="K23" s="5"/>
      <c r="L23" s="5"/>
      <c r="M23" s="5"/>
      <c r="N23" s="5"/>
      <c r="O23" s="5"/>
      <c r="P23" s="5"/>
      <c r="Q23" s="5"/>
      <c r="R23" s="5"/>
      <c r="S23" s="5"/>
      <c r="W23" s="11">
        <v>44522</v>
      </c>
      <c r="X23" s="5"/>
      <c r="Y23" s="5"/>
      <c r="Z23" s="5"/>
      <c r="AA23" s="5"/>
      <c r="AB23" s="5"/>
      <c r="AC23" s="5"/>
      <c r="AD23" s="5"/>
      <c r="AE23" s="5"/>
      <c r="AF23" s="5"/>
      <c r="AG23" s="5"/>
      <c r="AH23" s="5"/>
      <c r="AI23" s="5"/>
      <c r="AJ23" s="5"/>
      <c r="AK23" s="5"/>
      <c r="AL23" s="5"/>
      <c r="AM23" s="5"/>
      <c r="AN23" s="5"/>
      <c r="AO23" s="5"/>
    </row>
    <row r="24">
      <c r="A24" s="11">
        <v>44523</v>
      </c>
      <c r="B24" s="14">
        <v>60</v>
      </c>
      <c r="C24" s="14"/>
      <c r="D24" s="14">
        <v>26</v>
      </c>
      <c r="E24" s="14"/>
      <c r="F24" s="14"/>
      <c r="G24" s="14"/>
      <c r="H24" s="14"/>
      <c r="I24" s="14"/>
      <c r="J24" s="14"/>
      <c r="K24" s="14"/>
      <c r="L24" s="14"/>
      <c r="M24" s="14"/>
      <c r="N24" s="14"/>
      <c r="O24" s="14"/>
      <c r="P24" s="14"/>
      <c r="Q24" s="14"/>
      <c r="R24" s="14"/>
      <c r="S24" s="14"/>
      <c r="W24" s="11">
        <v>44523</v>
      </c>
      <c r="X24" s="14"/>
      <c r="Y24" s="14"/>
      <c r="Z24" s="14"/>
      <c r="AA24" s="14"/>
      <c r="AB24" s="14"/>
      <c r="AC24" s="14"/>
      <c r="AD24" s="14"/>
      <c r="AE24" s="14"/>
      <c r="AF24" s="14"/>
      <c r="AG24" s="14"/>
      <c r="AH24" s="14"/>
      <c r="AI24" s="14"/>
      <c r="AJ24" s="14"/>
      <c r="AK24" s="14"/>
      <c r="AL24" s="14"/>
      <c r="AM24" s="14"/>
      <c r="AN24" s="14"/>
      <c r="AO24" s="14"/>
    </row>
    <row r="25">
      <c r="A25" s="11">
        <v>44524</v>
      </c>
      <c r="B25" s="28"/>
      <c r="C25" s="5"/>
      <c r="D25" s="5">
        <f>40+28</f>
        <v>68</v>
      </c>
      <c r="E25" s="5"/>
      <c r="F25" s="5"/>
      <c r="G25" s="5"/>
      <c r="H25" s="5"/>
      <c r="I25" s="5"/>
      <c r="J25" s="5"/>
      <c r="K25" s="5"/>
      <c r="L25" s="5"/>
      <c r="M25" s="5"/>
      <c r="N25" s="5"/>
      <c r="O25" s="5"/>
      <c r="P25" s="5"/>
      <c r="Q25" s="5"/>
      <c r="R25" s="5"/>
      <c r="S25" s="5"/>
      <c r="W25" s="11">
        <v>44524</v>
      </c>
      <c r="X25" s="28"/>
      <c r="Y25" s="5"/>
      <c r="Z25" s="5"/>
      <c r="AA25" s="5"/>
      <c r="AB25" s="5"/>
      <c r="AC25" s="5"/>
      <c r="AD25" s="5"/>
      <c r="AE25" s="5"/>
      <c r="AF25" s="5"/>
      <c r="AG25" s="5"/>
      <c r="AH25" s="5"/>
      <c r="AI25" s="5"/>
      <c r="AJ25" s="5"/>
      <c r="AK25" s="5"/>
      <c r="AL25" s="5"/>
      <c r="AM25" s="5"/>
      <c r="AN25" s="5"/>
      <c r="AO25" s="5"/>
    </row>
    <row r="26">
      <c r="A26" s="11">
        <v>44525</v>
      </c>
      <c r="B26" s="14"/>
      <c r="C26" s="14">
        <v>780.11000000000001</v>
      </c>
      <c r="D26" s="14">
        <f>49+28</f>
        <v>77</v>
      </c>
      <c r="E26" s="14"/>
      <c r="F26" s="14"/>
      <c r="G26" s="14"/>
      <c r="H26" s="14"/>
      <c r="I26" s="14"/>
      <c r="J26" s="14"/>
      <c r="K26" s="14"/>
      <c r="L26" s="14"/>
      <c r="M26" s="14"/>
      <c r="N26" s="14"/>
      <c r="O26" s="14"/>
      <c r="P26" s="14"/>
      <c r="Q26" s="14"/>
      <c r="R26" s="14"/>
      <c r="S26" s="14"/>
      <c r="W26" s="11">
        <v>44525</v>
      </c>
      <c r="X26" s="14"/>
      <c r="Y26" s="14"/>
      <c r="Z26" s="14"/>
      <c r="AA26" s="14"/>
      <c r="AB26" s="14"/>
      <c r="AC26" s="14"/>
      <c r="AD26" s="14"/>
      <c r="AE26" s="14"/>
      <c r="AF26" s="14"/>
      <c r="AG26" s="14"/>
      <c r="AH26" s="14"/>
      <c r="AI26" s="14"/>
      <c r="AJ26" s="14"/>
      <c r="AK26" s="14"/>
      <c r="AL26" s="14"/>
      <c r="AM26" s="14"/>
      <c r="AN26" s="14"/>
      <c r="AO26" s="14"/>
    </row>
    <row r="27">
      <c r="A27" s="11">
        <v>44526</v>
      </c>
      <c r="B27" s="5"/>
      <c r="C27" s="5">
        <v>305.97000000000003</v>
      </c>
      <c r="D27" s="5">
        <v>60</v>
      </c>
      <c r="E27" s="5"/>
      <c r="F27" s="5"/>
      <c r="G27" s="5"/>
      <c r="H27" s="5"/>
      <c r="I27" s="5"/>
      <c r="J27" s="5"/>
      <c r="K27" s="5"/>
      <c r="L27" s="5">
        <v>3263.6399999999999</v>
      </c>
      <c r="M27" s="5"/>
      <c r="N27" s="5"/>
      <c r="O27" s="5"/>
      <c r="P27" s="5"/>
      <c r="Q27" s="5">
        <v>199</v>
      </c>
      <c r="R27" s="5"/>
      <c r="S27" s="5"/>
      <c r="W27" s="11">
        <v>44526</v>
      </c>
      <c r="X27" s="5"/>
      <c r="Y27" s="5"/>
      <c r="Z27" s="5"/>
      <c r="AA27" s="5"/>
      <c r="AB27" s="5"/>
      <c r="AC27" s="5"/>
      <c r="AD27" s="5"/>
      <c r="AE27" s="5"/>
      <c r="AF27" s="5"/>
      <c r="AG27" s="5"/>
      <c r="AH27" s="5"/>
      <c r="AI27" s="5"/>
      <c r="AJ27" s="5"/>
      <c r="AK27" s="5"/>
      <c r="AL27" s="5"/>
      <c r="AM27" s="5"/>
      <c r="AN27" s="5"/>
      <c r="AO27" s="5"/>
    </row>
    <row r="28">
      <c r="A28" s="11">
        <v>44527</v>
      </c>
      <c r="B28" s="14"/>
      <c r="C28" s="14"/>
      <c r="D28" s="14"/>
      <c r="E28" s="14"/>
      <c r="F28" s="14"/>
      <c r="G28" s="14"/>
      <c r="H28" s="14"/>
      <c r="I28" s="14"/>
      <c r="J28" s="14"/>
      <c r="K28" s="14"/>
      <c r="L28" s="14"/>
      <c r="M28" s="14"/>
      <c r="N28" s="14"/>
      <c r="O28" s="14"/>
      <c r="P28" s="14"/>
      <c r="Q28" s="14"/>
      <c r="R28" s="14" t="s">
        <v>75</v>
      </c>
      <c r="S28" s="14"/>
      <c r="W28" s="11">
        <v>44527</v>
      </c>
      <c r="X28" s="14"/>
      <c r="Y28" s="14"/>
      <c r="Z28" s="14"/>
      <c r="AA28" s="14"/>
      <c r="AB28" s="14"/>
      <c r="AC28" s="14"/>
      <c r="AD28" s="14"/>
      <c r="AE28" s="14"/>
      <c r="AF28" s="14"/>
      <c r="AG28" s="14"/>
      <c r="AH28" s="14"/>
      <c r="AI28" s="14"/>
      <c r="AJ28" s="14"/>
      <c r="AK28" s="14"/>
      <c r="AL28" s="14"/>
      <c r="AM28" s="14"/>
      <c r="AN28" s="14"/>
      <c r="AO28" s="14"/>
    </row>
    <row r="29">
      <c r="A29" s="11">
        <v>44528</v>
      </c>
      <c r="B29" s="5"/>
      <c r="C29" s="5"/>
      <c r="D29" s="5"/>
      <c r="E29" s="5">
        <v>1610</v>
      </c>
      <c r="F29" s="5"/>
      <c r="G29" s="5"/>
      <c r="H29" s="5"/>
      <c r="I29" s="5"/>
      <c r="J29" s="5">
        <f>389+821+199</f>
        <v>1409</v>
      </c>
      <c r="K29" s="5"/>
      <c r="L29" s="5"/>
      <c r="M29" s="5"/>
      <c r="N29" s="5"/>
      <c r="O29" s="5"/>
      <c r="P29" s="5"/>
      <c r="Q29" s="5"/>
      <c r="R29" s="5"/>
      <c r="S29" s="5"/>
      <c r="W29" s="11">
        <v>44528</v>
      </c>
      <c r="X29" s="5"/>
      <c r="Y29" s="5"/>
      <c r="Z29" s="5"/>
      <c r="AA29" s="5"/>
      <c r="AB29" s="5"/>
      <c r="AC29" s="5"/>
      <c r="AD29" s="5"/>
      <c r="AE29" s="5"/>
      <c r="AF29" s="5"/>
      <c r="AG29" s="5"/>
      <c r="AH29" s="5"/>
      <c r="AI29" s="5"/>
      <c r="AJ29" s="5"/>
      <c r="AK29" s="5"/>
      <c r="AL29" s="5"/>
      <c r="AM29" s="5"/>
      <c r="AN29" s="5"/>
      <c r="AO29" s="5"/>
    </row>
    <row r="30">
      <c r="A30" s="11">
        <v>44529</v>
      </c>
      <c r="B30" s="22"/>
      <c r="C30" s="22"/>
      <c r="D30" s="22">
        <v>160</v>
      </c>
      <c r="E30" s="22"/>
      <c r="F30" s="22"/>
      <c r="G30" s="22"/>
      <c r="H30" s="22"/>
      <c r="I30" s="22"/>
      <c r="J30" s="22"/>
      <c r="K30" s="22"/>
      <c r="L30" s="22"/>
      <c r="M30" s="22"/>
      <c r="N30" s="22"/>
      <c r="O30" s="22"/>
      <c r="P30" s="22"/>
      <c r="Q30" s="22"/>
      <c r="R30" s="22"/>
      <c r="S30" s="22"/>
      <c r="W30" s="11">
        <v>44529</v>
      </c>
      <c r="X30" s="22"/>
      <c r="Y30" s="22"/>
      <c r="Z30" s="22"/>
      <c r="AA30" s="22"/>
      <c r="AB30" s="22"/>
      <c r="AC30" s="22"/>
      <c r="AD30" s="22"/>
      <c r="AE30" s="22"/>
      <c r="AF30" s="22"/>
      <c r="AG30" s="22"/>
      <c r="AH30" s="22"/>
      <c r="AI30" s="22"/>
      <c r="AJ30" s="22"/>
      <c r="AK30" s="22"/>
      <c r="AL30" s="22"/>
      <c r="AM30" s="22"/>
      <c r="AN30" s="22"/>
      <c r="AO30" s="22"/>
    </row>
    <row r="31">
      <c r="A31" s="11">
        <v>44530</v>
      </c>
      <c r="B31" s="5"/>
      <c r="C31" s="5"/>
      <c r="D31" s="5">
        <v>67</v>
      </c>
      <c r="E31" s="5"/>
      <c r="F31" s="5"/>
      <c r="G31" s="5"/>
      <c r="H31" s="5"/>
      <c r="I31" s="5"/>
      <c r="J31" s="5"/>
      <c r="K31" s="5"/>
      <c r="L31" s="5"/>
      <c r="M31" s="5"/>
      <c r="N31" s="5"/>
      <c r="O31" s="5"/>
      <c r="P31" s="5"/>
      <c r="Q31" s="5"/>
      <c r="R31" s="5"/>
      <c r="S31" s="5"/>
      <c r="W31" s="11">
        <v>44530</v>
      </c>
      <c r="X31" s="5"/>
      <c r="Y31" s="5"/>
      <c r="Z31" s="5"/>
      <c r="AA31" s="5"/>
      <c r="AB31" s="5"/>
      <c r="AC31" s="5"/>
      <c r="AD31" s="5"/>
      <c r="AE31" s="5"/>
      <c r="AF31" s="5"/>
      <c r="AG31" s="5"/>
      <c r="AH31" s="5"/>
      <c r="AI31" s="5"/>
      <c r="AJ31" s="5"/>
      <c r="AK31" s="5"/>
      <c r="AL31" s="5"/>
      <c r="AM31" s="5"/>
      <c r="AN31" s="5"/>
      <c r="AO31" s="5"/>
    </row>
    <row r="32">
      <c r="A32" s="11"/>
      <c r="B32" s="22"/>
      <c r="C32" s="22"/>
      <c r="D32" s="22"/>
      <c r="E32" s="22"/>
      <c r="F32" s="22"/>
      <c r="G32" s="22"/>
      <c r="H32" s="22"/>
      <c r="I32" s="22"/>
      <c r="J32" s="22"/>
      <c r="K32" s="22"/>
      <c r="L32" s="22"/>
      <c r="M32" s="22"/>
      <c r="N32" s="22"/>
      <c r="O32" s="22"/>
      <c r="P32" s="22"/>
      <c r="Q32" s="22"/>
      <c r="R32" s="22"/>
      <c r="S32" s="22"/>
      <c r="W32" s="11"/>
      <c r="X32" s="22"/>
      <c r="Y32" s="22"/>
      <c r="Z32" s="22"/>
      <c r="AA32" s="22"/>
      <c r="AB32" s="22"/>
      <c r="AC32" s="22"/>
      <c r="AD32" s="22"/>
      <c r="AE32" s="22"/>
      <c r="AF32" s="22"/>
      <c r="AG32" s="22"/>
      <c r="AH32" s="22"/>
      <c r="AI32" s="22"/>
      <c r="AJ32" s="22"/>
      <c r="AK32" s="22"/>
      <c r="AL32" s="22"/>
      <c r="AM32" s="22"/>
      <c r="AN32" s="22"/>
      <c r="AO32" s="22"/>
    </row>
    <row r="33">
      <c r="A33" s="74"/>
      <c r="B33" s="75">
        <f>SUM(B2:B32)</f>
        <v>390</v>
      </c>
      <c r="C33" s="75">
        <f>SUM(C2:C32)</f>
        <v>4017.8500000000004</v>
      </c>
      <c r="D33" s="75">
        <f>SUM(D2:D32)</f>
        <v>1717.1199999999999</v>
      </c>
      <c r="E33" s="75">
        <f>SUM(E2:E32)</f>
        <v>2814.98</v>
      </c>
      <c r="F33" s="75">
        <f t="shared" ref="F33:R33" si="89">SUM(F2:F32)</f>
        <v>0</v>
      </c>
      <c r="G33" s="75">
        <f t="shared" si="89"/>
        <v>0</v>
      </c>
      <c r="H33" s="75">
        <f t="shared" si="89"/>
        <v>0</v>
      </c>
      <c r="I33" s="75">
        <f t="shared" si="89"/>
        <v>0</v>
      </c>
      <c r="J33" s="75">
        <f t="shared" si="89"/>
        <v>9383.0300000000007</v>
      </c>
      <c r="K33" s="75">
        <f t="shared" si="89"/>
        <v>0</v>
      </c>
      <c r="L33" s="75">
        <f t="shared" si="89"/>
        <v>3263.6399999999999</v>
      </c>
      <c r="M33" s="75">
        <f t="shared" si="89"/>
        <v>2015</v>
      </c>
      <c r="N33" s="75">
        <f t="shared" si="89"/>
        <v>600</v>
      </c>
      <c r="O33" s="75">
        <f t="shared" si="89"/>
        <v>0</v>
      </c>
      <c r="P33" s="75">
        <f t="shared" si="89"/>
        <v>0</v>
      </c>
      <c r="Q33" s="75">
        <f t="shared" si="89"/>
        <v>599</v>
      </c>
      <c r="R33" s="75">
        <f t="shared" si="89"/>
        <v>0</v>
      </c>
      <c r="S33" s="75">
        <f>SUM(B33:R33)+S9</f>
        <v>24900.620000000003</v>
      </c>
      <c r="W33" s="74"/>
      <c r="X33" s="75">
        <f t="shared" ref="X33:AN33" si="90">SUM(X2:X32)</f>
        <v>0</v>
      </c>
      <c r="Y33" s="75">
        <f t="shared" si="90"/>
        <v>0</v>
      </c>
      <c r="Z33" s="75">
        <f t="shared" si="90"/>
        <v>0</v>
      </c>
      <c r="AA33" s="75">
        <f t="shared" si="90"/>
        <v>0</v>
      </c>
      <c r="AB33" s="75">
        <f t="shared" si="90"/>
        <v>0</v>
      </c>
      <c r="AC33" s="75">
        <f t="shared" si="90"/>
        <v>0</v>
      </c>
      <c r="AD33" s="75">
        <f t="shared" si="90"/>
        <v>0</v>
      </c>
      <c r="AE33" s="75">
        <f t="shared" si="90"/>
        <v>0</v>
      </c>
      <c r="AF33" s="75">
        <f t="shared" si="90"/>
        <v>0</v>
      </c>
      <c r="AG33" s="75">
        <f t="shared" si="90"/>
        <v>0</v>
      </c>
      <c r="AH33" s="75">
        <f t="shared" si="90"/>
        <v>0</v>
      </c>
      <c r="AI33" s="75">
        <f t="shared" si="90"/>
        <v>0</v>
      </c>
      <c r="AJ33" s="75">
        <f t="shared" si="90"/>
        <v>0</v>
      </c>
      <c r="AK33" s="75">
        <f t="shared" si="90"/>
        <v>0</v>
      </c>
      <c r="AL33" s="75">
        <f t="shared" si="90"/>
        <v>0</v>
      </c>
      <c r="AM33" s="75">
        <f t="shared" si="90"/>
        <v>0</v>
      </c>
      <c r="AN33" s="75">
        <f t="shared" si="90"/>
        <v>0</v>
      </c>
      <c r="AO33" s="75">
        <f>SUM(X33:AN33)+AO9</f>
        <v>0</v>
      </c>
    </row>
    <row r="34">
      <c r="A34" s="84"/>
      <c r="B34" s="84"/>
      <c r="C34" s="84"/>
      <c r="D34" s="84"/>
      <c r="E34" s="84"/>
      <c r="F34" s="84"/>
      <c r="G34" s="84"/>
      <c r="H34" s="84"/>
      <c r="I34" s="84"/>
      <c r="J34" s="84"/>
      <c r="K34" s="84"/>
      <c r="L34" s="84"/>
      <c r="M34" s="84"/>
      <c r="N34" s="84"/>
      <c r="O34" s="84"/>
      <c r="P34" s="84"/>
      <c r="Q34" s="84"/>
      <c r="R34" s="84"/>
      <c r="S34" s="84"/>
      <c r="W34" s="84"/>
      <c r="X34" s="84"/>
      <c r="Y34" s="84"/>
      <c r="Z34" s="84"/>
      <c r="AA34" s="84"/>
      <c r="AB34" s="84"/>
      <c r="AC34" s="84"/>
      <c r="AD34" s="84"/>
      <c r="AE34" s="84"/>
      <c r="AF34" s="84"/>
      <c r="AG34" s="84"/>
      <c r="AH34" s="84"/>
      <c r="AI34" s="84"/>
      <c r="AJ34" s="84"/>
      <c r="AK34" s="84"/>
      <c r="AL34" s="84"/>
      <c r="AM34" s="84"/>
      <c r="AN34" s="84"/>
      <c r="AO34" s="84"/>
    </row>
    <row r="35">
      <c r="A35" s="85" t="s">
        <v>0</v>
      </c>
      <c r="B35" s="85" t="s">
        <v>50</v>
      </c>
      <c r="C35" s="85" t="s">
        <v>13</v>
      </c>
      <c r="D35" s="85" t="s">
        <v>11</v>
      </c>
      <c r="E35" s="85" t="s">
        <v>51</v>
      </c>
      <c r="F35" s="85" t="s">
        <v>52</v>
      </c>
      <c r="G35" s="85" t="s">
        <v>53</v>
      </c>
      <c r="H35" s="85" t="s">
        <v>54</v>
      </c>
      <c r="I35" s="85" t="s">
        <v>55</v>
      </c>
      <c r="J35" s="85" t="s">
        <v>61</v>
      </c>
      <c r="K35" s="85" t="s">
        <v>74</v>
      </c>
      <c r="L35" s="86"/>
      <c r="M35" s="86"/>
      <c r="N35" s="86"/>
      <c r="O35" s="86"/>
      <c r="P35" s="86"/>
      <c r="Q35" s="86"/>
      <c r="R35" s="86"/>
      <c r="S35" s="86"/>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44501</v>
      </c>
      <c r="B36" s="14"/>
      <c r="C36" s="14"/>
      <c r="D36" s="14"/>
      <c r="E36" s="14"/>
      <c r="F36" s="14"/>
      <c r="G36" s="14"/>
      <c r="H36" s="14"/>
      <c r="I36" s="14"/>
      <c r="J36" s="22"/>
      <c r="K36" s="22"/>
      <c r="L36" s="22"/>
      <c r="M36" s="22"/>
      <c r="N36" s="22"/>
      <c r="O36" s="22"/>
      <c r="P36" s="22"/>
      <c r="Q36" s="22"/>
      <c r="R36" s="22"/>
      <c r="S36" s="22"/>
      <c r="W36" s="11">
        <v>44501</v>
      </c>
      <c r="X36" s="14"/>
      <c r="Y36" s="14"/>
      <c r="Z36" s="14"/>
      <c r="AA36" s="14"/>
      <c r="AB36" s="14"/>
      <c r="AC36" s="14"/>
      <c r="AD36" s="14"/>
      <c r="AE36" s="14"/>
      <c r="AF36" s="22"/>
      <c r="AG36" s="22"/>
      <c r="AH36" s="22"/>
      <c r="AI36" s="22"/>
      <c r="AJ36" s="22"/>
      <c r="AK36" s="22"/>
      <c r="AL36" s="22"/>
      <c r="AM36" s="22"/>
      <c r="AN36" s="22"/>
      <c r="AO36" s="22"/>
    </row>
    <row r="37">
      <c r="A37" s="11">
        <v>44502</v>
      </c>
      <c r="B37" s="5"/>
      <c r="C37" s="5"/>
      <c r="D37" s="5"/>
      <c r="E37" s="5"/>
      <c r="F37" s="5"/>
      <c r="G37" s="5"/>
      <c r="H37" s="5"/>
      <c r="I37" s="5"/>
      <c r="J37" s="5"/>
      <c r="K37" s="5"/>
      <c r="L37" s="5"/>
      <c r="M37" s="5"/>
      <c r="N37" s="5"/>
      <c r="O37" s="5"/>
      <c r="P37" s="5"/>
      <c r="Q37" s="5"/>
      <c r="R37" s="5"/>
      <c r="S37" s="5"/>
      <c r="W37" s="11">
        <v>44502</v>
      </c>
      <c r="X37" s="5"/>
      <c r="Y37" s="5"/>
      <c r="Z37" s="5"/>
      <c r="AA37" s="5"/>
      <c r="AB37" s="5"/>
      <c r="AC37" s="5"/>
      <c r="AD37" s="5"/>
      <c r="AE37" s="5"/>
      <c r="AF37" s="5"/>
      <c r="AG37" s="5"/>
      <c r="AH37" s="5"/>
      <c r="AI37" s="5"/>
      <c r="AJ37" s="5"/>
      <c r="AK37" s="5"/>
      <c r="AL37" s="5"/>
      <c r="AM37" s="5"/>
      <c r="AN37" s="5"/>
      <c r="AO37" s="5"/>
    </row>
    <row r="38">
      <c r="A38" s="11">
        <v>44503</v>
      </c>
      <c r="B38" s="14"/>
      <c r="C38" s="14"/>
      <c r="D38" s="14"/>
      <c r="E38" s="14"/>
      <c r="F38" s="14"/>
      <c r="G38" s="14"/>
      <c r="H38" s="14"/>
      <c r="I38" s="14"/>
      <c r="J38" s="22"/>
      <c r="K38" s="22"/>
      <c r="L38" s="22"/>
      <c r="M38" s="22"/>
      <c r="N38" s="22"/>
      <c r="O38" s="22"/>
      <c r="P38" s="22"/>
      <c r="Q38" s="22"/>
      <c r="R38" s="22"/>
      <c r="S38" s="22"/>
      <c r="W38" s="11">
        <v>44503</v>
      </c>
      <c r="X38" s="14"/>
      <c r="Y38" s="14"/>
      <c r="Z38" s="14"/>
      <c r="AA38" s="14"/>
      <c r="AB38" s="14"/>
      <c r="AC38" s="14"/>
      <c r="AD38" s="14"/>
      <c r="AE38" s="14"/>
      <c r="AF38" s="22"/>
      <c r="AG38" s="22"/>
      <c r="AH38" s="22"/>
      <c r="AI38" s="22"/>
      <c r="AJ38" s="22"/>
      <c r="AK38" s="22"/>
      <c r="AL38" s="22"/>
      <c r="AM38" s="22"/>
      <c r="AN38" s="22"/>
      <c r="AO38" s="22"/>
    </row>
    <row r="39">
      <c r="A39" s="11">
        <v>44504</v>
      </c>
      <c r="B39" s="5"/>
      <c r="C39" s="5"/>
      <c r="D39" s="5"/>
      <c r="E39" s="71">
        <v>69.129999999999995</v>
      </c>
      <c r="F39" s="5"/>
      <c r="G39" s="5"/>
      <c r="H39" s="5"/>
      <c r="I39" s="5">
        <f>34.5+115+645</f>
        <v>794.5</v>
      </c>
      <c r="J39" s="5"/>
      <c r="K39" s="5"/>
      <c r="L39" s="5"/>
      <c r="M39" s="5"/>
      <c r="N39" s="5"/>
      <c r="O39" s="5"/>
      <c r="P39" s="5"/>
      <c r="Q39" s="5"/>
      <c r="R39" s="5"/>
      <c r="S39" s="5"/>
      <c r="W39" s="11">
        <v>44504</v>
      </c>
      <c r="X39" s="5"/>
      <c r="Y39" s="5"/>
      <c r="Z39" s="5"/>
      <c r="AA39" s="71"/>
      <c r="AB39" s="5"/>
      <c r="AC39" s="5"/>
      <c r="AD39" s="5"/>
      <c r="AE39" s="5"/>
      <c r="AF39" s="5"/>
      <c r="AG39" s="5"/>
      <c r="AH39" s="5"/>
      <c r="AI39" s="5"/>
      <c r="AJ39" s="5"/>
      <c r="AK39" s="5"/>
      <c r="AL39" s="5"/>
      <c r="AM39" s="5"/>
      <c r="AN39" s="5"/>
      <c r="AO39" s="5"/>
    </row>
    <row r="40">
      <c r="A40" s="11">
        <v>44505</v>
      </c>
      <c r="B40" s="14"/>
      <c r="C40" s="14"/>
      <c r="D40" s="14"/>
      <c r="E40" s="14"/>
      <c r="F40" s="14"/>
      <c r="G40" s="14"/>
      <c r="H40" s="14"/>
      <c r="I40" s="14"/>
      <c r="J40" s="14"/>
      <c r="K40" s="14">
        <v>1000</v>
      </c>
      <c r="L40" s="14"/>
      <c r="M40" s="14"/>
      <c r="N40" s="14"/>
      <c r="O40" s="14"/>
      <c r="P40" s="14"/>
      <c r="Q40" s="14"/>
      <c r="R40" s="14"/>
      <c r="S40" s="14"/>
      <c r="W40" s="11">
        <v>44505</v>
      </c>
      <c r="X40" s="14"/>
      <c r="Y40" s="14"/>
      <c r="Z40" s="14"/>
      <c r="AA40" s="14"/>
      <c r="AB40" s="14"/>
      <c r="AC40" s="14"/>
      <c r="AD40" s="14"/>
      <c r="AE40" s="14"/>
      <c r="AF40" s="14"/>
      <c r="AG40" s="14"/>
      <c r="AH40" s="14"/>
      <c r="AI40" s="14"/>
      <c r="AJ40" s="14"/>
      <c r="AK40" s="14"/>
      <c r="AL40" s="14"/>
      <c r="AM40" s="14"/>
      <c r="AN40" s="14"/>
      <c r="AO40" s="14"/>
    </row>
    <row r="41">
      <c r="A41" s="11">
        <v>44506</v>
      </c>
      <c r="B41" s="5"/>
      <c r="C41" s="5"/>
      <c r="D41" s="5"/>
      <c r="E41" s="5">
        <v>295.94</v>
      </c>
      <c r="F41" s="5"/>
      <c r="G41" s="5"/>
      <c r="H41" s="5"/>
      <c r="I41" s="5"/>
      <c r="J41" s="5"/>
      <c r="K41" s="5"/>
      <c r="L41" s="5"/>
      <c r="M41" s="5"/>
      <c r="N41" s="5"/>
      <c r="O41" s="5"/>
      <c r="P41" s="5"/>
      <c r="Q41" s="5"/>
      <c r="R41" s="5"/>
      <c r="S41" s="5"/>
      <c r="W41" s="11">
        <v>44506</v>
      </c>
      <c r="X41" s="5"/>
      <c r="Y41" s="5"/>
      <c r="Z41" s="5"/>
      <c r="AA41" s="5"/>
      <c r="AB41" s="5"/>
      <c r="AC41" s="5"/>
      <c r="AD41" s="5"/>
      <c r="AE41" s="5"/>
      <c r="AF41" s="5"/>
      <c r="AG41" s="5"/>
      <c r="AH41" s="5"/>
      <c r="AI41" s="5"/>
      <c r="AJ41" s="5"/>
      <c r="AK41" s="5"/>
      <c r="AL41" s="5"/>
      <c r="AM41" s="5"/>
      <c r="AN41" s="5"/>
      <c r="AO41" s="5"/>
    </row>
    <row r="42">
      <c r="A42" s="11">
        <v>44507</v>
      </c>
      <c r="B42" s="14"/>
      <c r="C42" s="14"/>
      <c r="D42" s="14"/>
      <c r="E42" s="14"/>
      <c r="F42" s="14"/>
      <c r="G42" s="14"/>
      <c r="H42" s="14"/>
      <c r="I42" s="14"/>
      <c r="J42" s="14"/>
      <c r="K42" s="14"/>
      <c r="L42" s="14"/>
      <c r="M42" s="14"/>
      <c r="N42" s="14"/>
      <c r="O42" s="14"/>
      <c r="P42" s="14"/>
      <c r="Q42" s="14"/>
      <c r="R42" s="14"/>
      <c r="S42" s="14"/>
      <c r="W42" s="11">
        <v>44507</v>
      </c>
      <c r="X42" s="14"/>
      <c r="Y42" s="14"/>
      <c r="Z42" s="14"/>
      <c r="AA42" s="14"/>
      <c r="AB42" s="14"/>
      <c r="AC42" s="14"/>
      <c r="AD42" s="14"/>
      <c r="AE42" s="14"/>
      <c r="AF42" s="14"/>
      <c r="AG42" s="14"/>
      <c r="AH42" s="14"/>
      <c r="AI42" s="14"/>
      <c r="AJ42" s="14"/>
      <c r="AK42" s="14"/>
      <c r="AL42" s="14"/>
      <c r="AM42" s="14"/>
      <c r="AN42" s="14"/>
      <c r="AO42" s="14"/>
    </row>
    <row r="43">
      <c r="A43" s="11">
        <v>44508</v>
      </c>
      <c r="B43" s="5"/>
      <c r="C43" s="5"/>
      <c r="D43" s="5"/>
      <c r="E43" s="5"/>
      <c r="F43" s="5"/>
      <c r="G43" s="5"/>
      <c r="H43" s="5"/>
      <c r="I43" s="5"/>
      <c r="J43" s="5"/>
      <c r="K43" s="5"/>
      <c r="L43" s="5"/>
      <c r="M43" s="5"/>
      <c r="N43" s="5"/>
      <c r="O43" s="5"/>
      <c r="P43" s="5"/>
      <c r="Q43" s="5"/>
      <c r="R43" s="5"/>
      <c r="S43" s="5"/>
      <c r="W43" s="11">
        <v>44508</v>
      </c>
      <c r="X43" s="5"/>
      <c r="Y43" s="5"/>
      <c r="Z43" s="5"/>
      <c r="AA43" s="5"/>
      <c r="AB43" s="5"/>
      <c r="AC43" s="5"/>
      <c r="AD43" s="5"/>
      <c r="AE43" s="5"/>
      <c r="AF43" s="5"/>
      <c r="AG43" s="5"/>
      <c r="AH43" s="5"/>
      <c r="AI43" s="5"/>
      <c r="AJ43" s="5"/>
      <c r="AK43" s="5"/>
      <c r="AL43" s="5"/>
      <c r="AM43" s="5"/>
      <c r="AN43" s="5"/>
      <c r="AO43" s="5"/>
    </row>
    <row r="44">
      <c r="A44" s="11">
        <v>44509</v>
      </c>
      <c r="B44" s="79"/>
      <c r="C44" s="14"/>
      <c r="D44" s="14"/>
      <c r="E44" s="14"/>
      <c r="F44" s="14"/>
      <c r="G44" s="14"/>
      <c r="H44" s="14"/>
      <c r="I44" s="14"/>
      <c r="J44" s="14"/>
      <c r="K44" s="14"/>
      <c r="L44" s="14"/>
      <c r="M44" s="14"/>
      <c r="N44" s="14"/>
      <c r="O44" s="14"/>
      <c r="P44" s="14"/>
      <c r="Q44" s="14"/>
      <c r="R44" s="14"/>
      <c r="S44" s="14"/>
      <c r="W44" s="11">
        <v>44509</v>
      </c>
      <c r="X44" s="79"/>
      <c r="Y44" s="14"/>
      <c r="Z44" s="14"/>
      <c r="AA44" s="14"/>
      <c r="AB44" s="14"/>
      <c r="AC44" s="14"/>
      <c r="AD44" s="14"/>
      <c r="AE44" s="14"/>
      <c r="AF44" s="14"/>
      <c r="AG44" s="14"/>
      <c r="AH44" s="14"/>
      <c r="AI44" s="14"/>
      <c r="AJ44" s="14"/>
      <c r="AK44" s="14"/>
      <c r="AL44" s="14"/>
      <c r="AM44" s="14"/>
      <c r="AN44" s="14"/>
      <c r="AO44" s="14"/>
    </row>
    <row r="45">
      <c r="A45" s="11">
        <v>44510</v>
      </c>
      <c r="B45" s="5">
        <v>15235.969999999999</v>
      </c>
      <c r="C45" s="5"/>
      <c r="D45" s="5"/>
      <c r="E45" s="5"/>
      <c r="F45" s="5"/>
      <c r="G45" s="5"/>
      <c r="H45" s="5"/>
      <c r="I45" s="5"/>
      <c r="J45" s="5"/>
      <c r="K45" s="5"/>
      <c r="L45" s="5"/>
      <c r="M45" s="5"/>
      <c r="N45" s="5"/>
      <c r="O45" s="5"/>
      <c r="P45" s="5"/>
      <c r="Q45" s="5"/>
      <c r="R45" s="5"/>
      <c r="S45" s="5"/>
      <c r="W45" s="11">
        <v>44510</v>
      </c>
      <c r="X45" s="5"/>
      <c r="Y45" s="5"/>
      <c r="Z45" s="5"/>
      <c r="AA45" s="5"/>
      <c r="AB45" s="5"/>
      <c r="AC45" s="5"/>
      <c r="AD45" s="5"/>
      <c r="AE45" s="5"/>
      <c r="AF45" s="5"/>
      <c r="AG45" s="5"/>
      <c r="AH45" s="5"/>
      <c r="AI45" s="5"/>
      <c r="AJ45" s="5"/>
      <c r="AK45" s="5"/>
      <c r="AL45" s="5"/>
      <c r="AM45" s="5"/>
      <c r="AN45" s="5"/>
      <c r="AO45" s="5"/>
    </row>
    <row r="46">
      <c r="A46" s="11">
        <v>44511</v>
      </c>
      <c r="B46" s="14"/>
      <c r="C46" s="14"/>
      <c r="D46" s="14"/>
      <c r="E46" s="14"/>
      <c r="F46" s="14"/>
      <c r="G46" s="14"/>
      <c r="H46" s="14"/>
      <c r="I46" s="14"/>
      <c r="J46" s="14"/>
      <c r="K46" s="14"/>
      <c r="L46" s="14"/>
      <c r="M46" s="14"/>
      <c r="N46" s="14"/>
      <c r="O46" s="14"/>
      <c r="P46" s="14"/>
      <c r="Q46" s="14"/>
      <c r="R46" s="14"/>
      <c r="S46" s="14"/>
      <c r="W46" s="11">
        <v>44511</v>
      </c>
      <c r="X46" s="14"/>
      <c r="Y46" s="14"/>
      <c r="Z46" s="14"/>
      <c r="AA46" s="14"/>
      <c r="AB46" s="14"/>
      <c r="AC46" s="14"/>
      <c r="AD46" s="14"/>
      <c r="AE46" s="14"/>
      <c r="AF46" s="14"/>
      <c r="AG46" s="14"/>
      <c r="AH46" s="14"/>
      <c r="AI46" s="14"/>
      <c r="AJ46" s="14"/>
      <c r="AK46" s="14"/>
      <c r="AL46" s="14"/>
      <c r="AM46" s="14"/>
      <c r="AN46" s="14"/>
      <c r="AO46" s="14"/>
    </row>
    <row r="47">
      <c r="A47" s="11">
        <v>44512</v>
      </c>
      <c r="B47" s="5"/>
      <c r="C47" s="5"/>
      <c r="D47" s="5"/>
      <c r="E47" s="5"/>
      <c r="F47" s="5"/>
      <c r="G47" s="5"/>
      <c r="H47" s="5"/>
      <c r="I47" s="5"/>
      <c r="J47" s="5"/>
      <c r="K47" s="5"/>
      <c r="L47" s="5"/>
      <c r="M47" s="5"/>
      <c r="N47" s="5"/>
      <c r="O47" s="5"/>
      <c r="P47" s="5"/>
      <c r="Q47" s="5"/>
      <c r="R47" s="5"/>
      <c r="S47" s="5"/>
      <c r="W47" s="11">
        <v>44512</v>
      </c>
      <c r="X47" s="5">
        <v>33967.309999999998</v>
      </c>
      <c r="Y47" s="5"/>
      <c r="Z47" s="5"/>
      <c r="AA47" s="5"/>
      <c r="AB47" s="5"/>
      <c r="AC47" s="5"/>
      <c r="AD47" s="5"/>
      <c r="AE47" s="5"/>
      <c r="AF47" s="5"/>
      <c r="AG47" s="5"/>
      <c r="AH47" s="5"/>
      <c r="AI47" s="5"/>
      <c r="AJ47" s="5"/>
      <c r="AK47" s="5"/>
      <c r="AL47" s="5"/>
      <c r="AM47" s="5"/>
      <c r="AN47" s="5"/>
      <c r="AO47" s="5"/>
    </row>
    <row r="48">
      <c r="A48" s="11">
        <v>44513</v>
      </c>
      <c r="B48" s="14"/>
      <c r="C48" s="14"/>
      <c r="D48" s="14"/>
      <c r="E48" s="14"/>
      <c r="F48" s="14"/>
      <c r="G48" s="14"/>
      <c r="H48" s="14"/>
      <c r="I48" s="14"/>
      <c r="J48" s="14"/>
      <c r="K48" s="14"/>
      <c r="L48" s="14"/>
      <c r="M48" s="14"/>
      <c r="N48" s="14"/>
      <c r="O48" s="14"/>
      <c r="P48" s="14"/>
      <c r="Q48" s="14"/>
      <c r="R48" s="14"/>
      <c r="S48" s="14"/>
      <c r="W48" s="11">
        <v>44513</v>
      </c>
      <c r="X48" s="14"/>
      <c r="Y48" s="14"/>
      <c r="Z48" s="14"/>
      <c r="AA48" s="14"/>
      <c r="AB48" s="14"/>
      <c r="AC48" s="14"/>
      <c r="AD48" s="14"/>
      <c r="AE48" s="14"/>
      <c r="AF48" s="14"/>
      <c r="AG48" s="14"/>
      <c r="AH48" s="14"/>
      <c r="AI48" s="14"/>
      <c r="AJ48" s="14"/>
      <c r="AK48" s="14"/>
      <c r="AL48" s="14"/>
      <c r="AM48" s="14"/>
      <c r="AN48" s="14"/>
      <c r="AO48" s="14"/>
    </row>
    <row r="49">
      <c r="A49" s="11">
        <v>44514</v>
      </c>
      <c r="B49" s="5"/>
      <c r="C49" s="5"/>
      <c r="D49" s="5"/>
      <c r="E49" s="5"/>
      <c r="F49" s="5"/>
      <c r="G49" s="5"/>
      <c r="H49" s="5"/>
      <c r="I49" s="5"/>
      <c r="J49" s="5"/>
      <c r="K49" s="5"/>
      <c r="L49" s="5"/>
      <c r="M49" s="5"/>
      <c r="N49" s="5"/>
      <c r="O49" s="5"/>
      <c r="P49" s="5"/>
      <c r="Q49" s="5"/>
      <c r="R49" s="5"/>
      <c r="S49" s="5"/>
      <c r="W49" s="11">
        <v>44514</v>
      </c>
      <c r="X49" s="5"/>
      <c r="Y49" s="5"/>
      <c r="Z49" s="5"/>
      <c r="AA49" s="5"/>
      <c r="AB49" s="5"/>
      <c r="AC49" s="5"/>
      <c r="AD49" s="5"/>
      <c r="AE49" s="5"/>
      <c r="AF49" s="5"/>
      <c r="AG49" s="5"/>
      <c r="AH49" s="5"/>
      <c r="AI49" s="5"/>
      <c r="AJ49" s="5"/>
      <c r="AK49" s="5"/>
      <c r="AL49" s="5"/>
      <c r="AM49" s="5"/>
      <c r="AN49" s="5"/>
      <c r="AO49" s="5"/>
    </row>
    <row r="50">
      <c r="A50" s="11">
        <v>44515</v>
      </c>
      <c r="B50" s="14"/>
      <c r="C50" s="14"/>
      <c r="D50" s="14"/>
      <c r="E50" s="14"/>
      <c r="F50" s="14"/>
      <c r="G50" s="14"/>
      <c r="H50" s="14"/>
      <c r="I50" s="14"/>
      <c r="J50" s="14"/>
      <c r="K50" s="14"/>
      <c r="L50" s="14"/>
      <c r="M50" s="14"/>
      <c r="N50" s="14"/>
      <c r="O50" s="14"/>
      <c r="P50" s="14"/>
      <c r="Q50" s="14"/>
      <c r="R50" s="14"/>
      <c r="S50" s="14"/>
      <c r="W50" s="11">
        <v>44515</v>
      </c>
      <c r="X50" s="14"/>
      <c r="Y50" s="14"/>
      <c r="Z50" s="14"/>
      <c r="AA50" s="14"/>
      <c r="AB50" s="14"/>
      <c r="AC50" s="14"/>
      <c r="AD50" s="14"/>
      <c r="AE50" s="14"/>
      <c r="AF50" s="14"/>
      <c r="AG50" s="14"/>
      <c r="AH50" s="14"/>
      <c r="AI50" s="14"/>
      <c r="AJ50" s="14"/>
      <c r="AK50" s="14"/>
      <c r="AL50" s="14"/>
      <c r="AM50" s="14"/>
      <c r="AN50" s="14"/>
      <c r="AO50" s="14"/>
    </row>
    <row r="51">
      <c r="A51" s="11">
        <v>44516</v>
      </c>
      <c r="B51" s="5"/>
      <c r="C51" s="5"/>
      <c r="D51" s="5"/>
      <c r="E51" s="5"/>
      <c r="F51" s="5"/>
      <c r="G51" s="5"/>
      <c r="H51" s="5"/>
      <c r="I51" s="5"/>
      <c r="J51" s="5"/>
      <c r="K51" s="5">
        <v>1000</v>
      </c>
      <c r="L51" s="5"/>
      <c r="M51" s="5"/>
      <c r="N51" s="5"/>
      <c r="O51" s="5"/>
      <c r="P51" s="5"/>
      <c r="Q51" s="5"/>
      <c r="R51" s="5"/>
      <c r="S51" s="5"/>
      <c r="W51" s="11">
        <v>44516</v>
      </c>
      <c r="X51" s="5"/>
      <c r="Y51" s="5"/>
      <c r="Z51" s="5"/>
      <c r="AA51" s="5"/>
      <c r="AB51" s="5"/>
      <c r="AC51" s="5"/>
      <c r="AD51" s="5"/>
      <c r="AE51" s="5"/>
      <c r="AF51" s="5"/>
      <c r="AG51" s="5"/>
      <c r="AH51" s="5"/>
      <c r="AI51" s="5"/>
      <c r="AJ51" s="5"/>
      <c r="AK51" s="5"/>
      <c r="AL51" s="5"/>
      <c r="AM51" s="5"/>
      <c r="AN51" s="5"/>
      <c r="AO51" s="5"/>
    </row>
    <row r="52">
      <c r="A52" s="11">
        <v>44517</v>
      </c>
      <c r="B52" s="14"/>
      <c r="C52" s="14"/>
      <c r="D52" s="14"/>
      <c r="E52" s="14"/>
      <c r="F52" s="14"/>
      <c r="G52" s="14"/>
      <c r="H52" s="14"/>
      <c r="I52" s="14"/>
      <c r="J52" s="14"/>
      <c r="K52" s="14"/>
      <c r="L52" s="14"/>
      <c r="M52" s="14"/>
      <c r="N52" s="14"/>
      <c r="O52" s="14"/>
      <c r="P52" s="14"/>
      <c r="Q52" s="14"/>
      <c r="R52" s="14"/>
      <c r="S52" s="14"/>
      <c r="W52" s="11">
        <v>44517</v>
      </c>
      <c r="X52" s="14"/>
      <c r="Y52" s="14"/>
      <c r="Z52" s="14"/>
      <c r="AA52" s="14"/>
      <c r="AB52" s="14"/>
      <c r="AC52" s="14"/>
      <c r="AD52" s="14"/>
      <c r="AE52" s="14"/>
      <c r="AF52" s="14"/>
      <c r="AG52" s="14"/>
      <c r="AH52" s="14"/>
      <c r="AI52" s="14"/>
      <c r="AJ52" s="14"/>
      <c r="AK52" s="14"/>
      <c r="AL52" s="14"/>
      <c r="AM52" s="14"/>
      <c r="AN52" s="14"/>
      <c r="AO52" s="14"/>
    </row>
    <row r="53">
      <c r="A53" s="11">
        <v>44518</v>
      </c>
      <c r="B53" s="5"/>
      <c r="C53" s="5"/>
      <c r="D53" s="5"/>
      <c r="E53" s="5"/>
      <c r="F53" s="5"/>
      <c r="G53" s="5"/>
      <c r="H53" s="5"/>
      <c r="I53" s="5"/>
      <c r="J53" s="5"/>
      <c r="K53" s="5"/>
      <c r="L53" s="5"/>
      <c r="M53" s="5"/>
      <c r="N53" s="5"/>
      <c r="O53" s="5"/>
      <c r="P53" s="5"/>
      <c r="Q53" s="5"/>
      <c r="R53" s="5"/>
      <c r="S53" s="5"/>
      <c r="W53" s="11">
        <v>44518</v>
      </c>
      <c r="X53" s="5"/>
      <c r="Y53" s="5"/>
      <c r="Z53" s="5"/>
      <c r="AA53" s="5"/>
      <c r="AB53" s="5"/>
      <c r="AC53" s="5"/>
      <c r="AD53" s="5"/>
      <c r="AE53" s="5"/>
      <c r="AF53" s="5"/>
      <c r="AG53" s="5"/>
      <c r="AH53" s="5"/>
      <c r="AI53" s="5"/>
      <c r="AJ53" s="5"/>
      <c r="AK53" s="5"/>
      <c r="AL53" s="5"/>
      <c r="AM53" s="5"/>
      <c r="AN53" s="5"/>
      <c r="AO53" s="5"/>
    </row>
    <row r="54">
      <c r="A54" s="11">
        <v>44519</v>
      </c>
      <c r="B54" s="14"/>
      <c r="C54" s="14"/>
      <c r="D54" s="14"/>
      <c r="E54" s="14"/>
      <c r="F54" s="14"/>
      <c r="G54" s="14"/>
      <c r="H54" s="14"/>
      <c r="I54" s="14"/>
      <c r="J54" s="14"/>
      <c r="K54" s="14"/>
      <c r="L54" s="14"/>
      <c r="M54" s="14"/>
      <c r="N54" s="14"/>
      <c r="O54" s="14"/>
      <c r="P54" s="14"/>
      <c r="Q54" s="14"/>
      <c r="R54" s="14"/>
      <c r="S54" s="14"/>
      <c r="W54" s="11">
        <v>44519</v>
      </c>
      <c r="X54" s="14"/>
      <c r="Y54" s="14"/>
      <c r="Z54" s="14"/>
      <c r="AA54" s="14"/>
      <c r="AB54" s="14"/>
      <c r="AC54" s="14"/>
      <c r="AD54" s="14"/>
      <c r="AE54" s="14"/>
      <c r="AF54" s="14"/>
      <c r="AG54" s="14"/>
      <c r="AH54" s="14"/>
      <c r="AI54" s="14"/>
      <c r="AJ54" s="14"/>
      <c r="AK54" s="14"/>
      <c r="AL54" s="14"/>
      <c r="AM54" s="14"/>
      <c r="AN54" s="14"/>
      <c r="AO54" s="14"/>
    </row>
    <row r="55">
      <c r="A55" s="11">
        <v>44520</v>
      </c>
      <c r="B55" s="5"/>
      <c r="C55" s="5"/>
      <c r="D55" s="5"/>
      <c r="E55" s="5"/>
      <c r="F55" s="5"/>
      <c r="G55" s="5"/>
      <c r="H55" s="5"/>
      <c r="I55" s="5"/>
      <c r="J55" s="5"/>
      <c r="K55" s="5"/>
      <c r="L55" s="5"/>
      <c r="M55" s="5"/>
      <c r="N55" s="5"/>
      <c r="O55" s="5"/>
      <c r="P55" s="5"/>
      <c r="Q55" s="5"/>
      <c r="R55" s="5"/>
      <c r="S55" s="5"/>
      <c r="W55" s="11">
        <v>44520</v>
      </c>
      <c r="X55" s="5"/>
      <c r="Y55" s="5"/>
      <c r="Z55" s="5"/>
      <c r="AA55" s="5"/>
      <c r="AB55" s="5"/>
      <c r="AC55" s="5"/>
      <c r="AD55" s="5"/>
      <c r="AE55" s="5"/>
      <c r="AF55" s="5"/>
      <c r="AG55" s="5"/>
      <c r="AH55" s="5"/>
      <c r="AI55" s="5"/>
      <c r="AJ55" s="5"/>
      <c r="AK55" s="5"/>
      <c r="AL55" s="5"/>
      <c r="AM55" s="5"/>
      <c r="AN55" s="5"/>
      <c r="AO55" s="5"/>
    </row>
    <row r="56">
      <c r="A56" s="11">
        <v>44521</v>
      </c>
      <c r="B56" s="14"/>
      <c r="C56" s="14"/>
      <c r="D56" s="14"/>
      <c r="E56" s="14"/>
      <c r="F56" s="14"/>
      <c r="G56" s="14"/>
      <c r="H56" s="14"/>
      <c r="I56" s="14"/>
      <c r="J56" s="14"/>
      <c r="K56" s="14"/>
      <c r="L56" s="14"/>
      <c r="M56" s="14"/>
      <c r="N56" s="14"/>
      <c r="O56" s="14"/>
      <c r="P56" s="14"/>
      <c r="Q56" s="14"/>
      <c r="R56" s="14"/>
      <c r="S56" s="14"/>
      <c r="W56" s="11">
        <v>44521</v>
      </c>
      <c r="X56" s="14"/>
      <c r="Y56" s="14"/>
      <c r="Z56" s="14"/>
      <c r="AA56" s="14"/>
      <c r="AB56" s="14"/>
      <c r="AC56" s="14"/>
      <c r="AD56" s="14"/>
      <c r="AE56" s="14"/>
      <c r="AF56" s="14"/>
      <c r="AG56" s="14"/>
      <c r="AH56" s="14"/>
      <c r="AI56" s="14"/>
      <c r="AJ56" s="14"/>
      <c r="AK56" s="14"/>
      <c r="AL56" s="14"/>
      <c r="AM56" s="14"/>
      <c r="AN56" s="14"/>
      <c r="AO56" s="14"/>
    </row>
    <row r="57">
      <c r="A57" s="11">
        <v>44522</v>
      </c>
      <c r="B57" s="5"/>
      <c r="C57" s="5"/>
      <c r="D57" s="5"/>
      <c r="E57" s="5"/>
      <c r="F57" s="5"/>
      <c r="G57" s="5"/>
      <c r="H57" s="5"/>
      <c r="I57" s="5"/>
      <c r="J57" s="5"/>
      <c r="K57" s="5"/>
      <c r="L57" s="5"/>
      <c r="M57" s="5"/>
      <c r="N57" s="5"/>
      <c r="O57" s="5"/>
      <c r="P57" s="5"/>
      <c r="Q57" s="5"/>
      <c r="R57" s="5"/>
      <c r="S57" s="5"/>
      <c r="W57" s="11">
        <v>44522</v>
      </c>
      <c r="X57" s="5"/>
      <c r="Y57" s="5"/>
      <c r="Z57" s="5"/>
      <c r="AA57" s="5"/>
      <c r="AB57" s="5"/>
      <c r="AC57" s="5"/>
      <c r="AD57" s="5"/>
      <c r="AE57" s="5"/>
      <c r="AF57" s="5"/>
      <c r="AG57" s="5"/>
      <c r="AH57" s="5"/>
      <c r="AI57" s="5"/>
      <c r="AJ57" s="5"/>
      <c r="AK57" s="5"/>
      <c r="AL57" s="5"/>
      <c r="AM57" s="5"/>
      <c r="AN57" s="5"/>
      <c r="AO57" s="5"/>
    </row>
    <row r="58">
      <c r="A58" s="11">
        <v>44523</v>
      </c>
      <c r="B58" s="14">
        <f>3209.4+2675.5</f>
        <v>5884.8999999999996</v>
      </c>
      <c r="C58" s="14"/>
      <c r="D58" s="14"/>
      <c r="E58" s="14"/>
      <c r="F58" s="14"/>
      <c r="G58" s="14"/>
      <c r="H58" s="14"/>
      <c r="I58" s="14"/>
      <c r="J58" s="14"/>
      <c r="K58" s="14"/>
      <c r="L58" s="14"/>
      <c r="M58" s="14"/>
      <c r="N58" s="14"/>
      <c r="O58" s="14"/>
      <c r="P58" s="14"/>
      <c r="Q58" s="14"/>
      <c r="R58" s="14"/>
      <c r="S58" s="14"/>
      <c r="W58" s="11">
        <v>44523</v>
      </c>
      <c r="X58" s="14"/>
      <c r="Y58" s="14"/>
      <c r="Z58" s="14"/>
      <c r="AA58" s="14"/>
      <c r="AB58" s="14"/>
      <c r="AC58" s="14"/>
      <c r="AD58" s="14"/>
      <c r="AE58" s="14"/>
      <c r="AF58" s="14"/>
      <c r="AG58" s="14"/>
      <c r="AH58" s="14"/>
      <c r="AI58" s="14"/>
      <c r="AJ58" s="14"/>
      <c r="AK58" s="14"/>
      <c r="AL58" s="14"/>
      <c r="AM58" s="14"/>
      <c r="AN58" s="14"/>
      <c r="AO58" s="14"/>
    </row>
    <row r="59">
      <c r="A59" s="11">
        <v>44524</v>
      </c>
      <c r="B59" s="5"/>
      <c r="C59" s="5"/>
      <c r="D59" s="5"/>
      <c r="E59" s="5"/>
      <c r="F59" s="5"/>
      <c r="G59" s="5"/>
      <c r="H59" s="5"/>
      <c r="I59" s="5"/>
      <c r="J59" s="5"/>
      <c r="K59" s="5"/>
      <c r="L59" s="5"/>
      <c r="M59" s="5"/>
      <c r="N59" s="5"/>
      <c r="O59" s="5"/>
      <c r="P59" s="5"/>
      <c r="Q59" s="5"/>
      <c r="R59" s="5"/>
      <c r="S59" s="5"/>
      <c r="W59" s="11">
        <v>44524</v>
      </c>
      <c r="X59" s="5"/>
      <c r="Y59" s="5"/>
      <c r="Z59" s="5"/>
      <c r="AA59" s="5"/>
      <c r="AB59" s="5"/>
      <c r="AC59" s="5"/>
      <c r="AD59" s="5"/>
      <c r="AE59" s="5"/>
      <c r="AF59" s="5"/>
      <c r="AG59" s="5"/>
      <c r="AH59" s="5"/>
      <c r="AI59" s="5"/>
      <c r="AJ59" s="5"/>
      <c r="AK59" s="5"/>
      <c r="AL59" s="5"/>
      <c r="AM59" s="5"/>
      <c r="AN59" s="5"/>
      <c r="AO59" s="5"/>
    </row>
    <row r="60">
      <c r="A60" s="11">
        <v>44525</v>
      </c>
      <c r="B60" s="14">
        <f>802.35+9713.75</f>
        <v>10516.1</v>
      </c>
      <c r="C60" s="14"/>
      <c r="D60" s="14"/>
      <c r="E60" s="14"/>
      <c r="F60" s="14"/>
      <c r="G60" s="14"/>
      <c r="H60" s="14"/>
      <c r="I60" s="14"/>
      <c r="J60" s="14"/>
      <c r="K60" s="14"/>
      <c r="L60" s="14"/>
      <c r="M60" s="14"/>
      <c r="N60" s="14"/>
      <c r="O60" s="14"/>
      <c r="P60" s="14"/>
      <c r="Q60" s="14"/>
      <c r="R60" s="14"/>
      <c r="S60" s="14"/>
      <c r="W60" s="11">
        <v>44525</v>
      </c>
      <c r="X60" s="14"/>
      <c r="Y60" s="14"/>
      <c r="Z60" s="14"/>
      <c r="AA60" s="14"/>
      <c r="AB60" s="14"/>
      <c r="AC60" s="14"/>
      <c r="AD60" s="14"/>
      <c r="AE60" s="14"/>
      <c r="AF60" s="14"/>
      <c r="AG60" s="14"/>
      <c r="AH60" s="14"/>
      <c r="AI60" s="14"/>
      <c r="AJ60" s="14"/>
      <c r="AK60" s="14"/>
      <c r="AL60" s="14"/>
      <c r="AM60" s="14"/>
      <c r="AN60" s="14"/>
      <c r="AO60" s="14"/>
    </row>
    <row r="61">
      <c r="A61" s="11">
        <v>44526</v>
      </c>
      <c r="B61" s="5"/>
      <c r="C61" s="5"/>
      <c r="D61" s="5"/>
      <c r="E61" s="5"/>
      <c r="F61" s="5"/>
      <c r="G61" s="5"/>
      <c r="H61" s="5"/>
      <c r="I61" s="5"/>
      <c r="J61" s="5"/>
      <c r="K61" s="5"/>
      <c r="L61" s="5"/>
      <c r="M61" s="5"/>
      <c r="N61" s="5"/>
      <c r="O61" s="5"/>
      <c r="P61" s="5"/>
      <c r="Q61" s="5"/>
      <c r="R61" s="5"/>
      <c r="S61" s="5"/>
      <c r="W61" s="11">
        <v>44526</v>
      </c>
      <c r="X61" s="5">
        <v>5794.8199999999997</v>
      </c>
      <c r="Y61" s="5"/>
      <c r="Z61" s="5"/>
      <c r="AA61" s="5"/>
      <c r="AB61" s="5"/>
      <c r="AC61" s="5"/>
      <c r="AD61" s="5"/>
      <c r="AE61" s="5"/>
      <c r="AF61" s="5"/>
      <c r="AG61" s="5"/>
      <c r="AH61" s="5"/>
      <c r="AI61" s="5"/>
      <c r="AJ61" s="5"/>
      <c r="AK61" s="5"/>
      <c r="AL61" s="5"/>
      <c r="AM61" s="5"/>
      <c r="AN61" s="5"/>
      <c r="AO61" s="5"/>
    </row>
    <row r="62">
      <c r="A62" s="11">
        <v>44527</v>
      </c>
      <c r="B62" s="14"/>
      <c r="C62" s="14"/>
      <c r="D62" s="14"/>
      <c r="E62" s="14"/>
      <c r="F62" s="14"/>
      <c r="G62" s="14"/>
      <c r="H62" s="14"/>
      <c r="I62" s="14"/>
      <c r="J62" s="14"/>
      <c r="K62" s="14"/>
      <c r="L62" s="14"/>
      <c r="M62" s="14"/>
      <c r="N62" s="14"/>
      <c r="O62" s="14"/>
      <c r="P62" s="14"/>
      <c r="Q62" s="14"/>
      <c r="R62" s="14"/>
      <c r="S62" s="14"/>
      <c r="W62" s="11">
        <v>44527</v>
      </c>
      <c r="X62" s="14"/>
      <c r="Y62" s="14"/>
      <c r="Z62" s="14"/>
      <c r="AA62" s="14"/>
      <c r="AB62" s="14"/>
      <c r="AC62" s="14"/>
      <c r="AD62" s="14"/>
      <c r="AE62" s="14"/>
      <c r="AF62" s="14"/>
      <c r="AG62" s="14"/>
      <c r="AH62" s="14"/>
      <c r="AI62" s="14"/>
      <c r="AJ62" s="14"/>
      <c r="AK62" s="14"/>
      <c r="AL62" s="14"/>
      <c r="AM62" s="14"/>
      <c r="AN62" s="14"/>
      <c r="AO62" s="14"/>
    </row>
    <row r="63">
      <c r="A63" s="11">
        <v>44528</v>
      </c>
      <c r="B63" s="5"/>
      <c r="C63" s="5"/>
      <c r="D63" s="5"/>
      <c r="E63" s="5"/>
      <c r="F63" s="5"/>
      <c r="G63" s="5"/>
      <c r="H63" s="5"/>
      <c r="I63" s="5"/>
      <c r="J63" s="5"/>
      <c r="K63" s="5"/>
      <c r="L63" s="5"/>
      <c r="M63" s="5"/>
      <c r="N63" s="5"/>
      <c r="O63" s="5"/>
      <c r="P63" s="5"/>
      <c r="Q63" s="5"/>
      <c r="R63" s="48"/>
      <c r="S63" s="5"/>
      <c r="W63" s="11">
        <v>44528</v>
      </c>
      <c r="X63" s="5"/>
      <c r="Y63" s="5"/>
      <c r="Z63" s="5"/>
      <c r="AA63" s="5"/>
      <c r="AB63" s="5"/>
      <c r="AC63" s="5"/>
      <c r="AD63" s="5"/>
      <c r="AE63" s="5"/>
      <c r="AF63" s="5"/>
      <c r="AG63" s="5"/>
      <c r="AH63" s="5"/>
      <c r="AI63" s="5"/>
      <c r="AJ63" s="5"/>
      <c r="AK63" s="5"/>
      <c r="AL63" s="5"/>
      <c r="AM63" s="5"/>
      <c r="AN63" s="48"/>
      <c r="AO63" s="5"/>
    </row>
    <row r="64">
      <c r="A64" s="11">
        <v>44529</v>
      </c>
      <c r="B64" s="22"/>
      <c r="C64" s="22"/>
      <c r="D64" s="22"/>
      <c r="E64" s="22"/>
      <c r="F64" s="22"/>
      <c r="G64" s="22"/>
      <c r="H64" s="22"/>
      <c r="I64" s="22"/>
      <c r="J64" s="14"/>
      <c r="K64" s="14"/>
      <c r="L64" s="14"/>
      <c r="M64" s="14"/>
      <c r="N64" s="14"/>
      <c r="O64" s="14"/>
      <c r="P64" s="14"/>
      <c r="Q64" s="14"/>
      <c r="R64" s="80"/>
      <c r="S64" s="14"/>
      <c r="W64" s="11">
        <v>44529</v>
      </c>
      <c r="X64" s="22"/>
      <c r="Y64" s="22"/>
      <c r="Z64" s="22"/>
      <c r="AA64" s="22"/>
      <c r="AB64" s="22"/>
      <c r="AC64" s="22"/>
      <c r="AD64" s="22"/>
      <c r="AE64" s="22"/>
      <c r="AF64" s="14"/>
      <c r="AG64" s="14"/>
      <c r="AH64" s="14"/>
      <c r="AI64" s="14"/>
      <c r="AJ64" s="14"/>
      <c r="AK64" s="14"/>
      <c r="AL64" s="14"/>
      <c r="AM64" s="14"/>
      <c r="AN64" s="80"/>
      <c r="AO64" s="14"/>
    </row>
    <row r="65">
      <c r="A65" s="11">
        <v>44530</v>
      </c>
      <c r="B65" s="5"/>
      <c r="C65" s="5"/>
      <c r="D65" s="5"/>
      <c r="E65" s="5">
        <f>1163.54+1163.54+36.88</f>
        <v>2363.96</v>
      </c>
      <c r="F65" s="5"/>
      <c r="G65" s="5"/>
      <c r="H65" s="5"/>
      <c r="I65" s="5"/>
      <c r="J65" s="5"/>
      <c r="K65" s="5"/>
      <c r="L65" s="5"/>
      <c r="M65" s="5"/>
      <c r="N65" s="5"/>
      <c r="O65" s="5"/>
      <c r="P65" s="5"/>
      <c r="Q65" s="5"/>
      <c r="R65" s="48"/>
      <c r="S65" s="5"/>
      <c r="W65" s="11">
        <v>44530</v>
      </c>
      <c r="X65" s="5"/>
      <c r="Y65" s="5"/>
      <c r="Z65" s="5"/>
      <c r="AA65" s="5"/>
      <c r="AB65" s="5"/>
      <c r="AC65" s="5"/>
      <c r="AD65" s="5"/>
      <c r="AE65" s="5"/>
      <c r="AF65" s="5"/>
      <c r="AG65" s="5"/>
      <c r="AH65" s="5"/>
      <c r="AI65" s="5"/>
      <c r="AJ65" s="5"/>
      <c r="AK65" s="5"/>
      <c r="AL65" s="5"/>
      <c r="AM65" s="5"/>
      <c r="AN65" s="48"/>
      <c r="AO65" s="5"/>
    </row>
    <row r="66">
      <c r="A66" s="11"/>
      <c r="B66" s="22"/>
      <c r="C66" s="22"/>
      <c r="D66" s="22"/>
      <c r="E66" s="22"/>
      <c r="F66" s="22"/>
      <c r="G66" s="22"/>
      <c r="H66" s="22"/>
      <c r="I66" s="22"/>
      <c r="J66" s="14"/>
      <c r="K66" s="14"/>
      <c r="L66" s="14"/>
      <c r="M66" s="14"/>
      <c r="N66" s="14"/>
      <c r="O66" s="14"/>
      <c r="P66" s="14"/>
      <c r="Q66" s="14"/>
      <c r="R66" s="80"/>
      <c r="S66" s="14"/>
      <c r="W66" s="11"/>
      <c r="X66" s="22"/>
      <c r="Y66" s="22"/>
      <c r="Z66" s="22"/>
      <c r="AA66" s="22"/>
      <c r="AB66" s="22"/>
      <c r="AC66" s="22"/>
      <c r="AD66" s="22"/>
      <c r="AE66" s="22"/>
      <c r="AF66" s="14"/>
      <c r="AG66" s="14"/>
      <c r="AH66" s="14"/>
      <c r="AI66" s="14"/>
      <c r="AJ66" s="14"/>
      <c r="AK66" s="14"/>
      <c r="AL66" s="14"/>
      <c r="AM66" s="14"/>
      <c r="AN66" s="80"/>
      <c r="AO66" s="14"/>
    </row>
    <row r="67">
      <c r="A67" s="74"/>
      <c r="B67" s="75">
        <f t="shared" ref="B67:E67" si="91">SUM(B36:B66)</f>
        <v>31636.970000000001</v>
      </c>
      <c r="C67" s="75">
        <f>SUM(C36:C66)</f>
        <v>0</v>
      </c>
      <c r="D67" s="75">
        <f t="shared" si="91"/>
        <v>0</v>
      </c>
      <c r="E67" s="75">
        <f t="shared" si="91"/>
        <v>2729.0300000000002</v>
      </c>
      <c r="F67" s="75">
        <f>SUM(F36:F66)</f>
        <v>0</v>
      </c>
      <c r="G67" s="75">
        <f t="shared" ref="G67:R67" si="92">SUM(G36:G66)</f>
        <v>0</v>
      </c>
      <c r="H67" s="75">
        <f t="shared" si="92"/>
        <v>0</v>
      </c>
      <c r="I67" s="75">
        <f t="shared" si="92"/>
        <v>794.5</v>
      </c>
      <c r="J67" s="75">
        <f>SUM(J36:J66)</f>
        <v>0</v>
      </c>
      <c r="K67" s="75">
        <f t="shared" si="92"/>
        <v>2000</v>
      </c>
      <c r="L67" s="75">
        <f t="shared" si="92"/>
        <v>0</v>
      </c>
      <c r="M67" s="75">
        <f t="shared" si="92"/>
        <v>0</v>
      </c>
      <c r="N67" s="75">
        <f t="shared" si="92"/>
        <v>0</v>
      </c>
      <c r="O67" s="75">
        <f t="shared" si="92"/>
        <v>0</v>
      </c>
      <c r="P67" s="75">
        <f t="shared" si="92"/>
        <v>0</v>
      </c>
      <c r="Q67" s="75">
        <f t="shared" si="92"/>
        <v>0</v>
      </c>
      <c r="R67" s="75">
        <f t="shared" si="92"/>
        <v>0</v>
      </c>
      <c r="S67" s="75">
        <f>SUM(B67:R67)</f>
        <v>37160.5</v>
      </c>
      <c r="W67" s="74"/>
      <c r="X67" s="75">
        <f t="shared" ref="X67:AN67" si="93">SUM(X36:X66)</f>
        <v>39762.129999999997</v>
      </c>
      <c r="Y67" s="75">
        <f t="shared" si="93"/>
        <v>0</v>
      </c>
      <c r="Z67" s="75">
        <f t="shared" si="93"/>
        <v>0</v>
      </c>
      <c r="AA67" s="75">
        <f t="shared" si="93"/>
        <v>0</v>
      </c>
      <c r="AB67" s="75">
        <f t="shared" si="93"/>
        <v>0</v>
      </c>
      <c r="AC67" s="75">
        <f t="shared" si="93"/>
        <v>0</v>
      </c>
      <c r="AD67" s="75">
        <f t="shared" si="93"/>
        <v>0</v>
      </c>
      <c r="AE67" s="75">
        <f t="shared" si="93"/>
        <v>0</v>
      </c>
      <c r="AF67" s="75">
        <f t="shared" si="93"/>
        <v>0</v>
      </c>
      <c r="AG67" s="75">
        <f t="shared" si="93"/>
        <v>0</v>
      </c>
      <c r="AH67" s="75">
        <f t="shared" si="93"/>
        <v>0</v>
      </c>
      <c r="AI67" s="75">
        <f t="shared" si="93"/>
        <v>0</v>
      </c>
      <c r="AJ67" s="75">
        <f t="shared" si="93"/>
        <v>0</v>
      </c>
      <c r="AK67" s="75">
        <f t="shared" si="93"/>
        <v>0</v>
      </c>
      <c r="AL67" s="75">
        <f t="shared" si="93"/>
        <v>0</v>
      </c>
      <c r="AM67" s="75">
        <f t="shared" si="93"/>
        <v>0</v>
      </c>
      <c r="AN67" s="75">
        <f t="shared" si="93"/>
        <v>0</v>
      </c>
      <c r="AO67" s="75">
        <f>SUM(X67:AN67)</f>
        <v>39762.129999999997</v>
      </c>
    </row>
    <row r="68">
      <c r="A68" s="84"/>
      <c r="B68" s="84"/>
      <c r="C68" s="84"/>
      <c r="D68" s="84"/>
      <c r="E68" s="84"/>
      <c r="F68" s="84"/>
      <c r="G68" s="84"/>
      <c r="H68" s="84"/>
      <c r="I68" s="84"/>
      <c r="J68" s="84"/>
      <c r="K68" s="84"/>
      <c r="L68" s="84"/>
      <c r="M68" s="84"/>
      <c r="N68" s="84"/>
      <c r="O68" s="84"/>
      <c r="P68" s="84"/>
      <c r="Q68" s="84"/>
      <c r="R68" s="84"/>
      <c r="S68" s="84"/>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row>
    <row r="70">
      <c r="A70" s="5" t="s">
        <v>68</v>
      </c>
      <c r="B70" s="81">
        <f>21000-344+2039+(23000-23000)-344-344+8164.1-4600-3300+(3000-3000)+80000+2000+(5500-5000)+(5650-5100)+1000+300</f>
        <v>106621.10000000001</v>
      </c>
      <c r="C70" s="5"/>
      <c r="D70" s="5"/>
      <c r="E70" s="5"/>
      <c r="F70" s="5"/>
      <c r="G70" s="5"/>
      <c r="H70" s="5"/>
      <c r="I70" s="5"/>
      <c r="J70" s="5"/>
      <c r="K70" s="5"/>
      <c r="L70" s="5"/>
      <c r="M70" s="5"/>
      <c r="N70" s="5"/>
      <c r="O70" s="5"/>
      <c r="P70" s="5"/>
      <c r="Q70" s="5"/>
      <c r="R70" s="5"/>
      <c r="S70" s="5"/>
    </row>
    <row r="71">
      <c r="A71" s="5" t="s">
        <v>69</v>
      </c>
      <c r="B71" s="5"/>
      <c r="C71" s="5"/>
      <c r="D71" s="5"/>
      <c r="E71" s="5"/>
      <c r="F71" s="5"/>
      <c r="G71" s="5"/>
      <c r="H71" s="5"/>
      <c r="I71" s="5"/>
      <c r="J71" s="5"/>
      <c r="K71" s="5"/>
      <c r="L71" s="5"/>
      <c r="M71" s="5"/>
      <c r="N71" s="5"/>
      <c r="O71" s="5"/>
      <c r="P71" s="5"/>
      <c r="Q71" s="5"/>
      <c r="R71" s="5"/>
      <c r="S71" s="5"/>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M31" zoomScale="100" workbookViewId="0">
      <selection activeCell="A1" activeCellId="0" sqref="A1"/>
    </sheetView>
  </sheetViews>
  <sheetFormatPr defaultRowHeight="14.25"/>
  <cols>
    <col bestFit="1" customWidth="1" min="1" max="1" width="12.140625"/>
    <col customWidth="1" min="23" max="23" width="11.42578125"/>
  </cols>
  <sheetData>
    <row r="1">
      <c r="A1" s="82" t="s">
        <v>0</v>
      </c>
      <c r="B1" s="83" t="s">
        <v>70</v>
      </c>
      <c r="C1" s="83" t="s">
        <v>71</v>
      </c>
      <c r="D1" s="83" t="s">
        <v>72</v>
      </c>
      <c r="E1" s="83" t="s">
        <v>3</v>
      </c>
      <c r="F1" s="83" t="s">
        <v>4</v>
      </c>
      <c r="G1" s="83" t="s">
        <v>5</v>
      </c>
      <c r="H1" s="83" t="s">
        <v>6</v>
      </c>
      <c r="I1" s="83" t="s">
        <v>7</v>
      </c>
      <c r="J1" s="83" t="s">
        <v>8</v>
      </c>
      <c r="K1" s="83" t="s">
        <v>9</v>
      </c>
      <c r="L1" s="83" t="s">
        <v>10</v>
      </c>
      <c r="M1" s="83" t="s">
        <v>11</v>
      </c>
      <c r="N1" s="83" t="s">
        <v>12</v>
      </c>
      <c r="O1" s="83" t="s">
        <v>13</v>
      </c>
      <c r="P1" s="83" t="s">
        <v>19</v>
      </c>
      <c r="Q1" s="83" t="s">
        <v>20</v>
      </c>
      <c r="R1" s="83" t="s">
        <v>73</v>
      </c>
      <c r="S1" s="83" t="s">
        <v>62</v>
      </c>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19</v>
      </c>
      <c r="AM1" s="83" t="s">
        <v>20</v>
      </c>
      <c r="AN1" s="83" t="s">
        <v>73</v>
      </c>
      <c r="AO1" s="83" t="s">
        <v>62</v>
      </c>
    </row>
    <row r="2">
      <c r="A2" s="11">
        <v>44531</v>
      </c>
      <c r="B2" s="14"/>
      <c r="C2" s="14">
        <v>159.97999999999999</v>
      </c>
      <c r="D2" s="14">
        <f>59+56</f>
        <v>115</v>
      </c>
      <c r="E2" s="14"/>
      <c r="F2" s="14"/>
      <c r="G2" s="14"/>
      <c r="H2" s="14"/>
      <c r="I2" s="14"/>
      <c r="J2" s="14"/>
      <c r="K2" s="14"/>
      <c r="L2" s="14"/>
      <c r="M2" s="14"/>
      <c r="N2" s="14"/>
      <c r="O2" s="14"/>
      <c r="P2" s="14"/>
      <c r="Q2" s="14"/>
      <c r="R2" s="14"/>
      <c r="S2" s="14"/>
      <c r="W2" s="11">
        <v>44531</v>
      </c>
      <c r="X2" s="14"/>
      <c r="Y2" s="14"/>
      <c r="Z2" s="14"/>
      <c r="AA2" s="14"/>
      <c r="AB2" s="14"/>
      <c r="AC2" s="14"/>
      <c r="AD2" s="14"/>
      <c r="AE2" s="14"/>
      <c r="AF2" s="14"/>
      <c r="AG2" s="14"/>
      <c r="AH2" s="14"/>
      <c r="AI2" s="14"/>
      <c r="AJ2" s="14"/>
      <c r="AK2" s="14"/>
      <c r="AL2" s="14"/>
      <c r="AM2" s="14"/>
      <c r="AN2" s="14"/>
      <c r="AO2" s="14"/>
    </row>
    <row r="3">
      <c r="A3" s="11">
        <v>44532</v>
      </c>
      <c r="B3" s="5"/>
      <c r="C3" s="5"/>
      <c r="D3" s="5"/>
      <c r="E3" s="5"/>
      <c r="F3" s="5"/>
      <c r="G3" s="5"/>
      <c r="H3" s="5"/>
      <c r="I3" s="5"/>
      <c r="J3" s="5"/>
      <c r="K3" s="5"/>
      <c r="L3" s="5">
        <v>600</v>
      </c>
      <c r="M3" s="5"/>
      <c r="N3" s="5"/>
      <c r="O3" s="5"/>
      <c r="P3" s="5"/>
      <c r="Q3" s="5"/>
      <c r="R3" s="5"/>
      <c r="S3" s="5"/>
      <c r="W3" s="11">
        <v>44532</v>
      </c>
      <c r="X3" s="5"/>
      <c r="Y3" s="5"/>
      <c r="Z3" s="5"/>
      <c r="AA3" s="5"/>
      <c r="AB3" s="5"/>
      <c r="AC3" s="5"/>
      <c r="AD3" s="5"/>
      <c r="AE3" s="5"/>
      <c r="AF3" s="5"/>
      <c r="AG3" s="5"/>
      <c r="AH3" s="5"/>
      <c r="AI3" s="5"/>
      <c r="AJ3" s="5"/>
      <c r="AK3" s="5"/>
      <c r="AL3" s="5"/>
      <c r="AM3" s="5"/>
      <c r="AN3" s="5"/>
      <c r="AO3" s="5"/>
    </row>
    <row r="4">
      <c r="A4" s="11">
        <v>44533</v>
      </c>
      <c r="B4" s="14"/>
      <c r="C4" s="14"/>
      <c r="D4" s="14">
        <v>108</v>
      </c>
      <c r="E4" s="14"/>
      <c r="F4" s="14"/>
      <c r="G4" s="14"/>
      <c r="H4" s="14"/>
      <c r="I4" s="14"/>
      <c r="J4" s="14"/>
      <c r="K4" s="14"/>
      <c r="L4" s="14"/>
      <c r="M4" s="14"/>
      <c r="N4" s="14"/>
      <c r="O4" s="14"/>
      <c r="P4" s="14"/>
      <c r="Q4" s="14"/>
      <c r="R4" s="14"/>
      <c r="S4" s="14"/>
      <c r="W4" s="11">
        <v>44533</v>
      </c>
      <c r="X4" s="14"/>
      <c r="Y4" s="14"/>
      <c r="Z4" s="14"/>
      <c r="AA4" s="14"/>
      <c r="AB4" s="14"/>
      <c r="AC4" s="14"/>
      <c r="AD4" s="14"/>
      <c r="AE4" s="14"/>
      <c r="AF4" s="14"/>
      <c r="AG4" s="14"/>
      <c r="AH4" s="14"/>
      <c r="AI4" s="14"/>
      <c r="AJ4" s="14"/>
      <c r="AK4" s="14"/>
      <c r="AL4" s="14"/>
      <c r="AM4" s="14"/>
      <c r="AN4" s="14"/>
      <c r="AO4" s="14"/>
    </row>
    <row r="5">
      <c r="A5" s="11">
        <v>44534</v>
      </c>
      <c r="B5" s="5"/>
      <c r="C5" s="5"/>
      <c r="D5" s="5"/>
      <c r="E5" s="5"/>
      <c r="F5" s="5"/>
      <c r="G5" s="5"/>
      <c r="H5" s="5"/>
      <c r="I5" s="5"/>
      <c r="J5" s="5"/>
      <c r="K5" s="5"/>
      <c r="L5" s="5"/>
      <c r="M5" s="5"/>
      <c r="N5" s="5">
        <v>320</v>
      </c>
      <c r="O5" s="5"/>
      <c r="P5" s="5"/>
      <c r="Q5" s="5"/>
      <c r="R5" s="5"/>
      <c r="S5" s="5"/>
      <c r="W5" s="11">
        <v>44534</v>
      </c>
      <c r="X5" s="5"/>
      <c r="Y5" s="5"/>
      <c r="Z5" s="5"/>
      <c r="AA5" s="5"/>
      <c r="AB5" s="5"/>
      <c r="AC5" s="5"/>
      <c r="AD5" s="5"/>
      <c r="AE5" s="5"/>
      <c r="AF5" s="5"/>
      <c r="AG5" s="5"/>
      <c r="AH5" s="5"/>
      <c r="AI5" s="5"/>
      <c r="AJ5" s="5"/>
      <c r="AK5" s="5"/>
      <c r="AL5" s="5"/>
      <c r="AM5" s="5"/>
      <c r="AN5" s="5"/>
      <c r="AO5" s="5"/>
    </row>
    <row r="6">
      <c r="A6" s="11">
        <v>44535</v>
      </c>
      <c r="B6" s="14"/>
      <c r="C6" s="14"/>
      <c r="D6" s="14"/>
      <c r="E6" s="14"/>
      <c r="F6" s="14"/>
      <c r="G6" s="14"/>
      <c r="H6" s="14"/>
      <c r="I6" s="14"/>
      <c r="J6" s="14"/>
      <c r="K6" s="14"/>
      <c r="L6" s="14"/>
      <c r="M6" s="14"/>
      <c r="N6" s="14"/>
      <c r="O6" s="14"/>
      <c r="P6" s="14"/>
      <c r="Q6" s="14"/>
      <c r="R6" s="14"/>
      <c r="S6" s="14"/>
      <c r="W6" s="11">
        <v>44535</v>
      </c>
      <c r="X6" s="14"/>
      <c r="Y6" s="14"/>
      <c r="Z6" s="14"/>
      <c r="AA6" s="14"/>
      <c r="AB6" s="14"/>
      <c r="AC6" s="14"/>
      <c r="AD6" s="14"/>
      <c r="AE6" s="14"/>
      <c r="AF6" s="14"/>
      <c r="AG6" s="14"/>
      <c r="AH6" s="14"/>
      <c r="AI6" s="14"/>
      <c r="AJ6" s="14"/>
      <c r="AK6" s="14"/>
      <c r="AL6" s="14"/>
      <c r="AM6" s="14"/>
      <c r="AN6" s="14"/>
      <c r="AO6" s="14"/>
    </row>
    <row r="7">
      <c r="A7" s="11">
        <v>44536</v>
      </c>
      <c r="B7" s="5"/>
      <c r="C7" s="5"/>
      <c r="D7" s="5">
        <v>88</v>
      </c>
      <c r="E7" s="5">
        <f>460+265</f>
        <v>725</v>
      </c>
      <c r="F7" s="5"/>
      <c r="G7" s="5"/>
      <c r="H7" s="5"/>
      <c r="I7" s="5"/>
      <c r="J7" s="5"/>
      <c r="K7" s="5"/>
      <c r="L7" s="5"/>
      <c r="M7" s="5"/>
      <c r="N7" s="5"/>
      <c r="O7" s="5"/>
      <c r="P7" s="5"/>
      <c r="Q7" s="5"/>
      <c r="R7" s="5"/>
      <c r="S7" s="5"/>
      <c r="W7" s="11">
        <v>44536</v>
      </c>
      <c r="X7" s="5"/>
      <c r="Y7" s="5"/>
      <c r="Z7" s="5"/>
      <c r="AA7" s="5"/>
      <c r="AB7" s="5"/>
      <c r="AC7" s="5"/>
      <c r="AD7" s="5"/>
      <c r="AE7" s="5"/>
      <c r="AF7" s="5"/>
      <c r="AG7" s="5"/>
      <c r="AH7" s="5"/>
      <c r="AI7" s="5"/>
      <c r="AJ7" s="5"/>
      <c r="AK7" s="5"/>
      <c r="AL7" s="5"/>
      <c r="AM7" s="5"/>
      <c r="AN7" s="5"/>
      <c r="AO7" s="5"/>
    </row>
    <row r="8">
      <c r="A8" s="11">
        <v>44537</v>
      </c>
      <c r="B8" s="14"/>
      <c r="C8" s="14">
        <v>183.99000000000001</v>
      </c>
      <c r="D8" s="14">
        <v>100</v>
      </c>
      <c r="E8" s="14"/>
      <c r="F8" s="14"/>
      <c r="G8" s="14"/>
      <c r="H8" s="14"/>
      <c r="I8" s="14"/>
      <c r="J8" s="14"/>
      <c r="K8" s="14"/>
      <c r="L8" s="14"/>
      <c r="M8" s="14"/>
      <c r="N8" s="14"/>
      <c r="O8" s="14"/>
      <c r="P8" s="14"/>
      <c r="Q8" s="14"/>
      <c r="R8" s="14"/>
      <c r="S8" s="14"/>
      <c r="W8" s="11">
        <v>44537</v>
      </c>
      <c r="X8" s="14"/>
      <c r="Y8" s="14"/>
      <c r="Z8" s="14"/>
      <c r="AA8" s="14"/>
      <c r="AB8" s="14"/>
      <c r="AC8" s="14"/>
      <c r="AD8" s="14"/>
      <c r="AE8" s="14"/>
      <c r="AF8" s="14"/>
      <c r="AG8" s="14"/>
      <c r="AH8" s="14"/>
      <c r="AI8" s="14"/>
      <c r="AJ8" s="14"/>
      <c r="AK8" s="14"/>
      <c r="AL8" s="14"/>
      <c r="AM8" s="14"/>
      <c r="AN8" s="14"/>
      <c r="AO8" s="14"/>
    </row>
    <row r="9">
      <c r="A9" s="11">
        <v>44538</v>
      </c>
      <c r="B9" s="5"/>
      <c r="C9" s="5"/>
      <c r="D9" s="5">
        <v>169</v>
      </c>
      <c r="E9" s="5"/>
      <c r="F9" s="5"/>
      <c r="G9" s="5"/>
      <c r="H9" s="5"/>
      <c r="I9" s="5"/>
      <c r="J9" s="5">
        <v>420</v>
      </c>
      <c r="K9" s="5"/>
      <c r="L9" s="5"/>
      <c r="M9" s="5"/>
      <c r="N9" s="5"/>
      <c r="O9" s="5"/>
      <c r="P9" s="5"/>
      <c r="Q9" s="5"/>
      <c r="R9" s="5"/>
      <c r="S9" s="5"/>
      <c r="W9" s="11">
        <v>44538</v>
      </c>
      <c r="X9" s="5"/>
      <c r="Y9" s="5"/>
      <c r="Z9" s="5"/>
      <c r="AA9" s="5"/>
      <c r="AB9" s="5"/>
      <c r="AC9" s="5"/>
      <c r="AD9" s="5"/>
      <c r="AE9" s="5"/>
      <c r="AF9" s="5"/>
      <c r="AG9" s="5"/>
      <c r="AH9" s="5"/>
      <c r="AI9" s="5"/>
      <c r="AJ9" s="5"/>
      <c r="AK9" s="5"/>
      <c r="AL9" s="5"/>
      <c r="AM9" s="5"/>
      <c r="AN9" s="5"/>
      <c r="AO9" s="5"/>
    </row>
    <row r="10">
      <c r="A10" s="11">
        <v>44539</v>
      </c>
      <c r="B10" s="14"/>
      <c r="C10" s="14">
        <v>93.799999999999997</v>
      </c>
      <c r="D10" s="14">
        <v>81</v>
      </c>
      <c r="E10" s="14"/>
      <c r="F10" s="14"/>
      <c r="G10" s="14">
        <v>199</v>
      </c>
      <c r="H10" s="14"/>
      <c r="I10" s="14"/>
      <c r="J10" s="14"/>
      <c r="K10" s="14"/>
      <c r="L10" s="14"/>
      <c r="M10" s="14"/>
      <c r="N10" s="14"/>
      <c r="O10" s="14"/>
      <c r="P10" s="14">
        <v>800</v>
      </c>
      <c r="Q10" s="14"/>
      <c r="R10" s="14"/>
      <c r="S10" s="14"/>
      <c r="W10" s="11">
        <v>44539</v>
      </c>
      <c r="X10" s="14"/>
      <c r="Y10" s="14"/>
      <c r="Z10" s="14"/>
      <c r="AA10" s="14"/>
      <c r="AB10" s="14"/>
      <c r="AC10" s="14"/>
      <c r="AD10" s="14"/>
      <c r="AE10" s="14"/>
      <c r="AF10" s="14"/>
      <c r="AG10" s="14"/>
      <c r="AH10" s="14"/>
      <c r="AI10" s="14"/>
      <c r="AJ10" s="14"/>
      <c r="AK10" s="14"/>
      <c r="AL10" s="14"/>
      <c r="AM10" s="14"/>
      <c r="AN10" s="14"/>
      <c r="AO10" s="14"/>
    </row>
    <row r="11">
      <c r="A11" s="11">
        <v>44540</v>
      </c>
      <c r="B11" s="5"/>
      <c r="C11" s="5"/>
      <c r="D11" s="5">
        <v>75</v>
      </c>
      <c r="E11" s="5"/>
      <c r="F11" s="5"/>
      <c r="G11" s="5"/>
      <c r="H11" s="5"/>
      <c r="I11" s="5"/>
      <c r="J11" s="5"/>
      <c r="K11" s="5"/>
      <c r="L11" s="5">
        <v>2597.75</v>
      </c>
      <c r="M11" s="5"/>
      <c r="N11" s="5"/>
      <c r="O11" s="5"/>
      <c r="P11" s="5"/>
      <c r="Q11" s="5"/>
      <c r="R11" s="5"/>
      <c r="S11" s="5"/>
      <c r="W11" s="11">
        <v>44540</v>
      </c>
      <c r="X11" s="5"/>
      <c r="Y11" s="5"/>
      <c r="Z11" s="5"/>
      <c r="AA11" s="5"/>
      <c r="AB11" s="5"/>
      <c r="AC11" s="5"/>
      <c r="AD11" s="5"/>
      <c r="AE11" s="5"/>
      <c r="AF11" s="5"/>
      <c r="AG11" s="5"/>
      <c r="AH11" s="5"/>
      <c r="AI11" s="5"/>
      <c r="AJ11" s="5"/>
      <c r="AK11" s="5"/>
      <c r="AL11" s="5"/>
      <c r="AM11" s="5"/>
      <c r="AN11" s="5"/>
      <c r="AO11" s="5"/>
    </row>
    <row r="12">
      <c r="A12" s="11">
        <v>44541</v>
      </c>
      <c r="B12" s="14"/>
      <c r="C12" s="14">
        <f>208.4+1355.87</f>
        <v>1564.27</v>
      </c>
      <c r="D12" s="14"/>
      <c r="E12" s="14"/>
      <c r="F12" s="14"/>
      <c r="G12" s="14"/>
      <c r="H12" s="14"/>
      <c r="I12" s="14"/>
      <c r="J12" s="14">
        <v>70</v>
      </c>
      <c r="K12" s="14"/>
      <c r="L12" s="14"/>
      <c r="M12" s="14"/>
      <c r="N12" s="14"/>
      <c r="O12" s="14"/>
      <c r="P12" s="14"/>
      <c r="Q12" s="14"/>
      <c r="R12" s="14"/>
      <c r="S12" s="14"/>
      <c r="W12" s="11">
        <v>44541</v>
      </c>
      <c r="X12" s="14"/>
      <c r="Y12" s="14"/>
      <c r="Z12" s="14"/>
      <c r="AA12" s="14"/>
      <c r="AB12" s="14"/>
      <c r="AC12" s="14"/>
      <c r="AD12" s="14"/>
      <c r="AE12" s="14"/>
      <c r="AF12" s="14"/>
      <c r="AG12" s="14"/>
      <c r="AH12" s="14"/>
      <c r="AI12" s="14"/>
      <c r="AJ12" s="14"/>
      <c r="AK12" s="14"/>
      <c r="AL12" s="14"/>
      <c r="AM12" s="14"/>
      <c r="AN12" s="14"/>
      <c r="AO12" s="14"/>
    </row>
    <row r="13">
      <c r="A13" s="11">
        <v>44542</v>
      </c>
      <c r="B13" s="5"/>
      <c r="C13" s="5"/>
      <c r="D13" s="5"/>
      <c r="E13" s="5"/>
      <c r="F13" s="5"/>
      <c r="G13" s="5"/>
      <c r="H13" s="5"/>
      <c r="I13" s="5"/>
      <c r="J13" s="5"/>
      <c r="K13" s="5"/>
      <c r="L13" s="5"/>
      <c r="M13" s="5"/>
      <c r="N13" s="5"/>
      <c r="O13" s="5"/>
      <c r="P13" s="5"/>
      <c r="Q13" s="5">
        <v>549</v>
      </c>
      <c r="R13" s="5"/>
      <c r="S13" s="5"/>
      <c r="W13" s="11">
        <v>44542</v>
      </c>
      <c r="X13" s="5"/>
      <c r="Y13" s="5"/>
      <c r="Z13" s="5"/>
      <c r="AA13" s="5"/>
      <c r="AB13" s="5"/>
      <c r="AC13" s="5"/>
      <c r="AD13" s="5"/>
      <c r="AE13" s="5"/>
      <c r="AF13" s="5"/>
      <c r="AG13" s="5"/>
      <c r="AH13" s="5"/>
      <c r="AI13" s="5"/>
      <c r="AJ13" s="5"/>
      <c r="AK13" s="5"/>
      <c r="AL13" s="5"/>
      <c r="AM13" s="5"/>
      <c r="AN13" s="5"/>
      <c r="AO13" s="5"/>
    </row>
    <row r="14">
      <c r="A14" s="11">
        <v>44543</v>
      </c>
      <c r="B14" s="14"/>
      <c r="C14" s="14"/>
      <c r="D14" s="14">
        <v>117</v>
      </c>
      <c r="E14" s="14"/>
      <c r="F14" s="14"/>
      <c r="G14" s="14"/>
      <c r="H14" s="14"/>
      <c r="I14" s="14"/>
      <c r="J14" s="14">
        <f>91-84.53</f>
        <v>6.4699999999999989</v>
      </c>
      <c r="K14" s="14"/>
      <c r="L14" s="14"/>
      <c r="M14" s="14"/>
      <c r="N14" s="14"/>
      <c r="O14" s="14"/>
      <c r="P14" s="14"/>
      <c r="Q14" s="14"/>
      <c r="R14" s="14"/>
      <c r="S14" s="14"/>
      <c r="W14" s="11">
        <v>44543</v>
      </c>
      <c r="X14" s="14"/>
      <c r="Y14" s="14"/>
      <c r="Z14" s="14"/>
      <c r="AA14" s="14"/>
      <c r="AB14" s="14"/>
      <c r="AC14" s="14"/>
      <c r="AD14" s="14"/>
      <c r="AE14" s="14"/>
      <c r="AF14" s="14"/>
      <c r="AG14" s="14"/>
      <c r="AH14" s="14"/>
      <c r="AI14" s="14"/>
      <c r="AJ14" s="14"/>
      <c r="AK14" s="14"/>
      <c r="AL14" s="14"/>
      <c r="AM14" s="14"/>
      <c r="AN14" s="14"/>
      <c r="AO14" s="14"/>
    </row>
    <row r="15">
      <c r="A15" s="11">
        <v>44544</v>
      </c>
      <c r="B15" s="5"/>
      <c r="C15" s="5">
        <v>727.86000000000001</v>
      </c>
      <c r="D15" s="5">
        <v>51</v>
      </c>
      <c r="E15" s="5"/>
      <c r="F15" s="5"/>
      <c r="G15" s="5"/>
      <c r="H15" s="5"/>
      <c r="I15" s="5"/>
      <c r="J15" s="5"/>
      <c r="K15" s="5"/>
      <c r="L15" s="5"/>
      <c r="M15" s="5">
        <v>835.21000000000004</v>
      </c>
      <c r="N15" s="5"/>
      <c r="O15" s="5"/>
      <c r="P15" s="5"/>
      <c r="Q15" s="5"/>
      <c r="R15" s="5"/>
      <c r="S15" s="5"/>
      <c r="W15" s="11">
        <v>44544</v>
      </c>
      <c r="X15" s="5"/>
      <c r="Y15" s="5"/>
      <c r="Z15" s="5"/>
      <c r="AA15" s="5"/>
      <c r="AB15" s="5"/>
      <c r="AC15" s="5"/>
      <c r="AD15" s="5"/>
      <c r="AE15" s="5"/>
      <c r="AF15" s="5"/>
      <c r="AG15" s="5"/>
      <c r="AH15" s="5"/>
      <c r="AI15" s="5"/>
      <c r="AJ15" s="5"/>
      <c r="AK15" s="5"/>
      <c r="AL15" s="5"/>
      <c r="AM15" s="5"/>
      <c r="AN15" s="5"/>
      <c r="AO15" s="5"/>
    </row>
    <row r="16">
      <c r="A16" s="11">
        <v>44545</v>
      </c>
      <c r="B16" s="14"/>
      <c r="C16" s="14"/>
      <c r="D16" s="14">
        <v>57</v>
      </c>
      <c r="E16" s="14"/>
      <c r="F16" s="14"/>
      <c r="G16" s="14"/>
      <c r="H16" s="14"/>
      <c r="I16" s="14"/>
      <c r="J16" s="14"/>
      <c r="K16" s="14"/>
      <c r="L16" s="14"/>
      <c r="M16" s="14"/>
      <c r="N16" s="14"/>
      <c r="O16" s="14"/>
      <c r="P16" s="14"/>
      <c r="Q16" s="14"/>
      <c r="R16" s="14"/>
      <c r="S16" s="14"/>
      <c r="W16" s="11">
        <v>44545</v>
      </c>
      <c r="X16" s="14"/>
      <c r="Y16" s="14"/>
      <c r="Z16" s="14"/>
      <c r="AA16" s="14"/>
      <c r="AB16" s="14"/>
      <c r="AC16" s="14"/>
      <c r="AD16" s="14"/>
      <c r="AE16" s="14"/>
      <c r="AF16" s="14"/>
      <c r="AG16" s="14"/>
      <c r="AH16" s="14"/>
      <c r="AI16" s="14"/>
      <c r="AJ16" s="14"/>
      <c r="AK16" s="14"/>
      <c r="AL16" s="14"/>
      <c r="AM16" s="14"/>
      <c r="AN16" s="14"/>
      <c r="AO16" s="14"/>
    </row>
    <row r="17">
      <c r="A17" s="11">
        <v>44546</v>
      </c>
      <c r="B17" s="5"/>
      <c r="C17" s="5">
        <v>139.97999999999999</v>
      </c>
      <c r="D17" s="5">
        <v>51</v>
      </c>
      <c r="E17" s="5"/>
      <c r="F17" s="5"/>
      <c r="G17" s="5"/>
      <c r="H17" s="5"/>
      <c r="I17" s="5"/>
      <c r="J17" s="5">
        <v>18</v>
      </c>
      <c r="K17" s="5"/>
      <c r="L17" s="5"/>
      <c r="M17" s="5"/>
      <c r="N17" s="5"/>
      <c r="O17" s="5"/>
      <c r="P17" s="5"/>
      <c r="Q17" s="5">
        <v>520</v>
      </c>
      <c r="R17" s="5"/>
      <c r="S17" s="5"/>
      <c r="W17" s="11">
        <v>44546</v>
      </c>
      <c r="X17" s="5"/>
      <c r="Y17" s="5"/>
      <c r="Z17" s="5"/>
      <c r="AA17" s="5"/>
      <c r="AB17" s="5"/>
      <c r="AC17" s="5"/>
      <c r="AD17" s="5"/>
      <c r="AE17" s="5"/>
      <c r="AF17" s="5"/>
      <c r="AG17" s="5"/>
      <c r="AH17" s="5"/>
      <c r="AI17" s="5"/>
      <c r="AJ17" s="5"/>
      <c r="AK17" s="5"/>
      <c r="AL17" s="5"/>
      <c r="AM17" s="5"/>
      <c r="AN17" s="5"/>
      <c r="AO17" s="5"/>
    </row>
    <row r="18">
      <c r="A18" s="11">
        <v>44547</v>
      </c>
      <c r="B18" s="14"/>
      <c r="C18" s="14"/>
      <c r="D18" s="14"/>
      <c r="E18" s="14"/>
      <c r="F18" s="14"/>
      <c r="G18" s="14"/>
      <c r="H18" s="14"/>
      <c r="I18" s="14"/>
      <c r="J18" s="14"/>
      <c r="K18" s="14"/>
      <c r="L18" s="14">
        <v>4465.5500000000002</v>
      </c>
      <c r="M18" s="14">
        <f>644+459+259+105+16</f>
        <v>1483</v>
      </c>
      <c r="N18" s="14"/>
      <c r="O18" s="14"/>
      <c r="P18" s="14"/>
      <c r="Q18" s="14"/>
      <c r="R18" s="14"/>
      <c r="S18" s="14"/>
      <c r="W18" s="11">
        <v>44547</v>
      </c>
      <c r="X18" s="14"/>
      <c r="Y18" s="14"/>
      <c r="Z18" s="14"/>
      <c r="AA18" s="14"/>
      <c r="AB18" s="14"/>
      <c r="AC18" s="14"/>
      <c r="AD18" s="14"/>
      <c r="AE18" s="14"/>
      <c r="AF18" s="14"/>
      <c r="AG18" s="14"/>
      <c r="AH18" s="14"/>
      <c r="AI18" s="14"/>
      <c r="AJ18" s="14"/>
      <c r="AK18" s="14"/>
      <c r="AL18" s="14"/>
      <c r="AM18" s="14"/>
      <c r="AN18" s="14"/>
      <c r="AO18" s="14"/>
    </row>
    <row r="19">
      <c r="A19" s="11">
        <v>44548</v>
      </c>
      <c r="B19" s="5"/>
      <c r="C19" s="5"/>
      <c r="D19" s="5"/>
      <c r="E19" s="5">
        <v>420</v>
      </c>
      <c r="F19" s="5"/>
      <c r="G19" s="5"/>
      <c r="H19" s="5"/>
      <c r="I19" s="5"/>
      <c r="J19" s="5">
        <v>112</v>
      </c>
      <c r="K19" s="5"/>
      <c r="L19" s="5"/>
      <c r="M19" s="5">
        <v>967</v>
      </c>
      <c r="N19" s="5"/>
      <c r="O19" s="5"/>
      <c r="P19" s="5"/>
      <c r="Q19" s="5"/>
      <c r="R19" s="5"/>
      <c r="S19" s="5"/>
      <c r="W19" s="11">
        <v>44548</v>
      </c>
      <c r="X19" s="5"/>
      <c r="Y19" s="5"/>
      <c r="Z19" s="5"/>
      <c r="AA19" s="5"/>
      <c r="AB19" s="5"/>
      <c r="AC19" s="5"/>
      <c r="AD19" s="5"/>
      <c r="AE19" s="5"/>
      <c r="AF19" s="5"/>
      <c r="AG19" s="5"/>
      <c r="AH19" s="5"/>
      <c r="AI19" s="5"/>
      <c r="AJ19" s="5"/>
      <c r="AK19" s="5"/>
      <c r="AL19" s="5"/>
      <c r="AM19" s="5"/>
      <c r="AN19" s="5"/>
      <c r="AO19" s="5"/>
    </row>
    <row r="20">
      <c r="A20" s="11">
        <v>44549</v>
      </c>
      <c r="B20" s="14"/>
      <c r="C20" s="14">
        <v>510.22000000000003</v>
      </c>
      <c r="D20" s="14"/>
      <c r="E20" s="14"/>
      <c r="F20" s="14"/>
      <c r="G20" s="14"/>
      <c r="H20" s="14"/>
      <c r="I20" s="14"/>
      <c r="J20" s="14"/>
      <c r="K20" s="14"/>
      <c r="L20" s="14"/>
      <c r="M20" s="14"/>
      <c r="N20" s="14"/>
      <c r="O20" s="14"/>
      <c r="P20" s="34"/>
      <c r="Q20" s="14"/>
      <c r="R20" s="14"/>
      <c r="S20" s="14"/>
      <c r="W20" s="11">
        <v>44549</v>
      </c>
      <c r="X20" s="14"/>
      <c r="Y20" s="14"/>
      <c r="Z20" s="14"/>
      <c r="AA20" s="14"/>
      <c r="AB20" s="14"/>
      <c r="AC20" s="14"/>
      <c r="AD20" s="14"/>
      <c r="AE20" s="14"/>
      <c r="AF20" s="14"/>
      <c r="AG20" s="14"/>
      <c r="AH20" s="14"/>
      <c r="AI20" s="14"/>
      <c r="AJ20" s="14"/>
      <c r="AK20" s="14"/>
      <c r="AL20" s="34"/>
      <c r="AM20" s="14"/>
      <c r="AN20" s="14"/>
      <c r="AO20" s="14"/>
    </row>
    <row r="21">
      <c r="A21" s="11">
        <v>44550</v>
      </c>
      <c r="B21" s="69"/>
      <c r="C21" s="5"/>
      <c r="D21" s="5"/>
      <c r="E21" s="5"/>
      <c r="F21" s="5"/>
      <c r="G21" s="5"/>
      <c r="H21" s="5"/>
      <c r="I21" s="5"/>
      <c r="J21" s="5"/>
      <c r="K21" s="5"/>
      <c r="L21" s="5"/>
      <c r="M21" s="5"/>
      <c r="N21" s="5"/>
      <c r="O21" s="5"/>
      <c r="P21" s="5"/>
      <c r="Q21" s="5"/>
      <c r="R21" s="5"/>
      <c r="S21" s="5"/>
      <c r="W21" s="11">
        <v>44550</v>
      </c>
      <c r="X21" s="69"/>
      <c r="Y21" s="5"/>
      <c r="Z21" s="5"/>
      <c r="AA21" s="5"/>
      <c r="AB21" s="5"/>
      <c r="AC21" s="5"/>
      <c r="AD21" s="5"/>
      <c r="AE21" s="5"/>
      <c r="AF21" s="5"/>
      <c r="AG21" s="5"/>
      <c r="AH21" s="5"/>
      <c r="AI21" s="5"/>
      <c r="AJ21" s="5"/>
      <c r="AK21" s="5"/>
      <c r="AL21" s="5"/>
      <c r="AM21" s="5"/>
      <c r="AN21" s="5"/>
      <c r="AO21" s="5"/>
    </row>
    <row r="22">
      <c r="A22" s="11">
        <v>44551</v>
      </c>
      <c r="B22" s="22"/>
      <c r="C22" s="14"/>
      <c r="D22" s="14"/>
      <c r="E22" s="14"/>
      <c r="F22" s="14"/>
      <c r="G22" s="14"/>
      <c r="H22" s="14"/>
      <c r="I22" s="14"/>
      <c r="J22" s="14">
        <v>1230</v>
      </c>
      <c r="K22" s="14"/>
      <c r="L22" s="14"/>
      <c r="M22" s="14"/>
      <c r="N22" s="14"/>
      <c r="O22" s="14"/>
      <c r="P22" s="14"/>
      <c r="Q22" s="14"/>
      <c r="R22" s="14"/>
      <c r="S22" s="14"/>
      <c r="W22" s="11">
        <v>44551</v>
      </c>
      <c r="X22" s="22"/>
      <c r="Y22" s="14"/>
      <c r="Z22" s="14"/>
      <c r="AA22" s="14"/>
      <c r="AB22" s="14"/>
      <c r="AC22" s="14"/>
      <c r="AD22" s="14"/>
      <c r="AE22" s="14"/>
      <c r="AF22" s="14"/>
      <c r="AG22" s="14"/>
      <c r="AH22" s="14"/>
      <c r="AI22" s="14"/>
      <c r="AJ22" s="14"/>
      <c r="AK22" s="14"/>
      <c r="AL22" s="14"/>
      <c r="AM22" s="14"/>
      <c r="AN22" s="14"/>
      <c r="AO22" s="14"/>
    </row>
    <row r="23">
      <c r="A23" s="11">
        <v>44552</v>
      </c>
      <c r="B23" s="5"/>
      <c r="C23" s="5">
        <v>507.85000000000002</v>
      </c>
      <c r="D23" s="5"/>
      <c r="E23" s="5"/>
      <c r="F23" s="5"/>
      <c r="G23" s="5"/>
      <c r="H23" s="5"/>
      <c r="I23" s="5"/>
      <c r="J23" s="5"/>
      <c r="K23" s="5"/>
      <c r="L23" s="5"/>
      <c r="M23" s="5"/>
      <c r="N23" s="5"/>
      <c r="O23" s="5"/>
      <c r="P23" s="5"/>
      <c r="Q23" s="5"/>
      <c r="R23" s="5"/>
      <c r="S23" s="5"/>
      <c r="W23" s="11">
        <v>44552</v>
      </c>
      <c r="X23" s="5"/>
      <c r="Y23" s="5"/>
      <c r="Z23" s="5"/>
      <c r="AA23" s="5"/>
      <c r="AB23" s="5"/>
      <c r="AC23" s="5"/>
      <c r="AD23" s="5"/>
      <c r="AE23" s="5"/>
      <c r="AF23" s="5"/>
      <c r="AG23" s="5"/>
      <c r="AH23" s="5"/>
      <c r="AI23" s="5"/>
      <c r="AJ23" s="5"/>
      <c r="AK23" s="5"/>
      <c r="AL23" s="5"/>
      <c r="AM23" s="5"/>
      <c r="AN23" s="5"/>
      <c r="AO23" s="5"/>
    </row>
    <row r="24">
      <c r="A24" s="11">
        <v>44553</v>
      </c>
      <c r="B24" s="14"/>
      <c r="C24" s="14">
        <v>93.980000000000004</v>
      </c>
      <c r="D24" s="14"/>
      <c r="E24" s="14"/>
      <c r="F24" s="14"/>
      <c r="G24" s="14"/>
      <c r="H24" s="14"/>
      <c r="I24" s="14"/>
      <c r="J24" s="14"/>
      <c r="K24" s="14"/>
      <c r="L24" s="14"/>
      <c r="M24" s="14"/>
      <c r="N24" s="14"/>
      <c r="O24" s="14"/>
      <c r="P24" s="14"/>
      <c r="Q24" s="14"/>
      <c r="R24" s="14"/>
      <c r="S24" s="14"/>
      <c r="W24" s="11">
        <v>44553</v>
      </c>
      <c r="X24" s="14"/>
      <c r="Y24" s="14"/>
      <c r="Z24" s="14"/>
      <c r="AA24" s="14"/>
      <c r="AB24" s="14"/>
      <c r="AC24" s="14"/>
      <c r="AD24" s="14"/>
      <c r="AE24" s="14"/>
      <c r="AF24" s="14"/>
      <c r="AG24" s="14"/>
      <c r="AH24" s="14"/>
      <c r="AI24" s="14"/>
      <c r="AJ24" s="14"/>
      <c r="AK24" s="14"/>
      <c r="AL24" s="14"/>
      <c r="AM24" s="14"/>
      <c r="AN24" s="14"/>
      <c r="AO24" s="14"/>
    </row>
    <row r="25">
      <c r="A25" s="11">
        <v>44554</v>
      </c>
      <c r="B25" s="28"/>
      <c r="C25" s="5"/>
      <c r="D25" s="5"/>
      <c r="E25" s="5"/>
      <c r="F25" s="5"/>
      <c r="G25" s="5"/>
      <c r="H25" s="5"/>
      <c r="I25" s="5"/>
      <c r="J25" s="5"/>
      <c r="K25" s="5"/>
      <c r="L25" s="5"/>
      <c r="M25" s="5">
        <v>989</v>
      </c>
      <c r="N25" s="5"/>
      <c r="O25" s="5"/>
      <c r="P25" s="5"/>
      <c r="Q25" s="5"/>
      <c r="R25" s="5"/>
      <c r="S25" s="5"/>
      <c r="W25" s="11">
        <v>44554</v>
      </c>
      <c r="X25" s="28"/>
      <c r="Y25" s="5"/>
      <c r="Z25" s="5"/>
      <c r="AA25" s="5"/>
      <c r="AB25" s="5"/>
      <c r="AC25" s="5"/>
      <c r="AD25" s="5"/>
      <c r="AE25" s="5"/>
      <c r="AF25" s="5"/>
      <c r="AG25" s="5"/>
      <c r="AH25" s="5"/>
      <c r="AI25" s="5"/>
      <c r="AJ25" s="5"/>
      <c r="AK25" s="5"/>
      <c r="AL25" s="5"/>
      <c r="AM25" s="5"/>
      <c r="AN25" s="5"/>
      <c r="AO25" s="5"/>
    </row>
    <row r="26">
      <c r="A26" s="11">
        <v>44555</v>
      </c>
      <c r="B26" s="14">
        <v>25</v>
      </c>
      <c r="C26" s="14"/>
      <c r="D26" s="14"/>
      <c r="E26" s="14"/>
      <c r="F26" s="14"/>
      <c r="G26" s="14"/>
      <c r="H26" s="14"/>
      <c r="I26" s="14"/>
      <c r="J26" s="14"/>
      <c r="K26" s="14"/>
      <c r="L26" s="14"/>
      <c r="M26" s="14">
        <f>5300+25</f>
        <v>5325</v>
      </c>
      <c r="N26" s="14"/>
      <c r="O26" s="14"/>
      <c r="P26" s="14"/>
      <c r="Q26" s="14"/>
      <c r="R26" s="14"/>
      <c r="S26" s="14"/>
      <c r="W26" s="11">
        <v>44555</v>
      </c>
      <c r="X26" s="14"/>
      <c r="Y26" s="14"/>
      <c r="Z26" s="14"/>
      <c r="AA26" s="14"/>
      <c r="AB26" s="14"/>
      <c r="AC26" s="14"/>
      <c r="AD26" s="14"/>
      <c r="AE26" s="14"/>
      <c r="AF26" s="14"/>
      <c r="AG26" s="14"/>
      <c r="AH26" s="14"/>
      <c r="AI26" s="14"/>
      <c r="AJ26" s="14"/>
      <c r="AK26" s="14"/>
      <c r="AL26" s="14"/>
      <c r="AM26" s="14"/>
      <c r="AN26" s="14"/>
      <c r="AO26" s="14"/>
    </row>
    <row r="27">
      <c r="A27" s="11">
        <v>44556</v>
      </c>
      <c r="B27" s="5"/>
      <c r="C27" s="5">
        <v>1626.9200000000001</v>
      </c>
      <c r="D27" s="5"/>
      <c r="E27" s="5"/>
      <c r="F27" s="5"/>
      <c r="G27" s="5"/>
      <c r="H27" s="5"/>
      <c r="I27" s="5"/>
      <c r="J27" s="5"/>
      <c r="K27" s="5"/>
      <c r="L27" s="5"/>
      <c r="M27" s="5"/>
      <c r="N27" s="5"/>
      <c r="O27" s="5"/>
      <c r="P27" s="5"/>
      <c r="Q27" s="5"/>
      <c r="R27" s="5"/>
      <c r="S27" s="5"/>
      <c r="W27" s="11">
        <v>44556</v>
      </c>
      <c r="X27" s="5"/>
      <c r="Y27" s="5"/>
      <c r="Z27" s="5"/>
      <c r="AA27" s="5"/>
      <c r="AB27" s="5"/>
      <c r="AC27" s="5"/>
      <c r="AD27" s="5"/>
      <c r="AE27" s="5"/>
      <c r="AF27" s="5"/>
      <c r="AG27" s="5"/>
      <c r="AH27" s="5"/>
      <c r="AI27" s="5"/>
      <c r="AJ27" s="5"/>
      <c r="AK27" s="5"/>
      <c r="AL27" s="5"/>
      <c r="AM27" s="5"/>
      <c r="AN27" s="5"/>
      <c r="AO27" s="5"/>
    </row>
    <row r="28">
      <c r="A28" s="11">
        <v>44557</v>
      </c>
      <c r="B28" s="14"/>
      <c r="C28" s="14">
        <v>186.53</v>
      </c>
      <c r="D28" s="14"/>
      <c r="E28" s="14"/>
      <c r="F28" s="14"/>
      <c r="G28" s="14"/>
      <c r="H28" s="14"/>
      <c r="I28" s="14"/>
      <c r="J28" s="14"/>
      <c r="K28" s="14"/>
      <c r="L28" s="14"/>
      <c r="M28" s="14"/>
      <c r="N28" s="14"/>
      <c r="O28" s="14"/>
      <c r="P28" s="14"/>
      <c r="Q28" s="14"/>
      <c r="R28" s="14"/>
      <c r="S28" s="14"/>
      <c r="W28" s="11">
        <v>44557</v>
      </c>
      <c r="X28" s="14"/>
      <c r="Y28" s="14"/>
      <c r="Z28" s="14"/>
      <c r="AA28" s="14"/>
      <c r="AB28" s="14"/>
      <c r="AC28" s="14"/>
      <c r="AD28" s="14"/>
      <c r="AE28" s="14"/>
      <c r="AF28" s="14"/>
      <c r="AG28" s="14"/>
      <c r="AH28" s="14"/>
      <c r="AI28" s="14"/>
      <c r="AJ28" s="14"/>
      <c r="AK28" s="14"/>
      <c r="AL28" s="14"/>
      <c r="AM28" s="14"/>
      <c r="AN28" s="14"/>
      <c r="AO28" s="14"/>
    </row>
    <row r="29">
      <c r="A29" s="11">
        <v>44558</v>
      </c>
      <c r="B29" s="5"/>
      <c r="C29" s="5"/>
      <c r="D29" s="5"/>
      <c r="E29" s="5"/>
      <c r="F29" s="5"/>
      <c r="G29" s="5"/>
      <c r="H29" s="5"/>
      <c r="I29" s="5"/>
      <c r="J29" s="5"/>
      <c r="K29" s="5"/>
      <c r="L29" s="5"/>
      <c r="M29" s="5"/>
      <c r="N29" s="5"/>
      <c r="O29" s="5"/>
      <c r="P29" s="5"/>
      <c r="Q29" s="5"/>
      <c r="R29" s="5"/>
      <c r="S29" s="5"/>
      <c r="W29" s="11">
        <v>44558</v>
      </c>
      <c r="X29" s="5"/>
      <c r="Y29" s="5"/>
      <c r="Z29" s="5"/>
      <c r="AA29" s="5"/>
      <c r="AB29" s="5"/>
      <c r="AC29" s="5"/>
      <c r="AD29" s="5"/>
      <c r="AE29" s="5"/>
      <c r="AF29" s="5"/>
      <c r="AG29" s="5"/>
      <c r="AH29" s="5"/>
      <c r="AI29" s="5"/>
      <c r="AJ29" s="5"/>
      <c r="AK29" s="5"/>
      <c r="AL29" s="5"/>
      <c r="AM29" s="5"/>
      <c r="AN29" s="5"/>
      <c r="AO29" s="5"/>
    </row>
    <row r="30">
      <c r="A30" s="11">
        <v>44559</v>
      </c>
      <c r="B30" s="22"/>
      <c r="C30" s="22"/>
      <c r="D30" s="22"/>
      <c r="E30" s="22"/>
      <c r="F30" s="22"/>
      <c r="G30" s="22"/>
      <c r="H30" s="22"/>
      <c r="I30" s="22"/>
      <c r="J30" s="22"/>
      <c r="K30" s="22"/>
      <c r="L30" s="22"/>
      <c r="M30" s="22"/>
      <c r="N30" s="22"/>
      <c r="O30" s="22"/>
      <c r="P30" s="22"/>
      <c r="Q30" s="22"/>
      <c r="R30" s="22"/>
      <c r="S30" s="22"/>
      <c r="W30" s="11">
        <v>44559</v>
      </c>
      <c r="X30" s="22"/>
      <c r="Y30" s="22"/>
      <c r="Z30" s="22"/>
      <c r="AA30" s="22"/>
      <c r="AB30" s="22"/>
      <c r="AC30" s="22"/>
      <c r="AD30" s="22"/>
      <c r="AE30" s="22"/>
      <c r="AF30" s="22"/>
      <c r="AG30" s="22"/>
      <c r="AH30" s="22"/>
      <c r="AI30" s="22"/>
      <c r="AJ30" s="22"/>
      <c r="AK30" s="22"/>
      <c r="AL30" s="22"/>
      <c r="AM30" s="22"/>
      <c r="AN30" s="22"/>
      <c r="AO30" s="22"/>
    </row>
    <row r="31">
      <c r="A31" s="11">
        <v>44560</v>
      </c>
      <c r="B31" s="5">
        <v>50</v>
      </c>
      <c r="C31" s="5">
        <v>222.05000000000001</v>
      </c>
      <c r="D31" s="5"/>
      <c r="E31" s="5"/>
      <c r="F31" s="5"/>
      <c r="G31" s="5"/>
      <c r="H31" s="5"/>
      <c r="I31" s="5"/>
      <c r="J31" s="5">
        <v>474</v>
      </c>
      <c r="K31" s="5"/>
      <c r="L31" s="5"/>
      <c r="M31" s="5"/>
      <c r="N31" s="5"/>
      <c r="O31" s="5"/>
      <c r="P31" s="5"/>
      <c r="Q31" s="5"/>
      <c r="R31" s="5"/>
      <c r="S31" s="5"/>
      <c r="W31" s="11">
        <v>44560</v>
      </c>
      <c r="X31" s="5"/>
      <c r="Y31" s="5"/>
      <c r="Z31" s="5"/>
      <c r="AA31" s="5"/>
      <c r="AB31" s="5"/>
      <c r="AC31" s="5"/>
      <c r="AD31" s="5"/>
      <c r="AE31" s="5"/>
      <c r="AF31" s="5"/>
      <c r="AG31" s="5"/>
      <c r="AH31" s="5"/>
      <c r="AI31" s="5"/>
      <c r="AJ31" s="5"/>
      <c r="AK31" s="5"/>
      <c r="AL31" s="5"/>
      <c r="AM31" s="5"/>
      <c r="AN31" s="5"/>
      <c r="AO31" s="5"/>
    </row>
    <row r="32">
      <c r="A32" s="11">
        <v>44561</v>
      </c>
      <c r="B32" s="22"/>
      <c r="C32" s="22"/>
      <c r="D32" s="22"/>
      <c r="E32" s="22">
        <v>70</v>
      </c>
      <c r="F32" s="22"/>
      <c r="G32" s="22"/>
      <c r="H32" s="22"/>
      <c r="I32" s="22"/>
      <c r="J32" s="22"/>
      <c r="K32" s="22"/>
      <c r="L32" s="22"/>
      <c r="M32" s="22"/>
      <c r="N32" s="22"/>
      <c r="O32" s="22"/>
      <c r="P32" s="22"/>
      <c r="Q32" s="22"/>
      <c r="R32" s="22"/>
      <c r="S32" s="22"/>
      <c r="W32" s="11">
        <v>44561</v>
      </c>
      <c r="X32" s="22"/>
      <c r="Y32" s="22"/>
      <c r="Z32" s="22"/>
      <c r="AA32" s="22"/>
      <c r="AB32" s="22"/>
      <c r="AC32" s="22"/>
      <c r="AD32" s="22"/>
      <c r="AE32" s="22"/>
      <c r="AF32" s="22"/>
      <c r="AG32" s="22"/>
      <c r="AH32" s="22"/>
      <c r="AI32" s="22"/>
      <c r="AJ32" s="22"/>
      <c r="AK32" s="22"/>
      <c r="AL32" s="22"/>
      <c r="AM32" s="22"/>
      <c r="AN32" s="22"/>
      <c r="AO32" s="22"/>
    </row>
    <row r="33">
      <c r="A33" s="74"/>
      <c r="B33" s="75">
        <f t="shared" ref="B33:R33" si="94">SUM(B2:B32)</f>
        <v>75</v>
      </c>
      <c r="C33" s="75">
        <f t="shared" si="94"/>
        <v>6017.4300000000003</v>
      </c>
      <c r="D33" s="75">
        <f t="shared" si="94"/>
        <v>1012</v>
      </c>
      <c r="E33" s="75">
        <f t="shared" si="94"/>
        <v>1215</v>
      </c>
      <c r="F33" s="75">
        <f t="shared" si="94"/>
        <v>0</v>
      </c>
      <c r="G33" s="75">
        <f t="shared" si="94"/>
        <v>199</v>
      </c>
      <c r="H33" s="75">
        <f t="shared" si="94"/>
        <v>0</v>
      </c>
      <c r="I33" s="75">
        <f t="shared" si="94"/>
        <v>0</v>
      </c>
      <c r="J33" s="75">
        <f t="shared" si="94"/>
        <v>2330.4700000000003</v>
      </c>
      <c r="K33" s="75">
        <f t="shared" si="94"/>
        <v>0</v>
      </c>
      <c r="L33" s="75">
        <f t="shared" si="94"/>
        <v>7663.3000000000002</v>
      </c>
      <c r="M33" s="75">
        <f t="shared" si="94"/>
        <v>9599.2099999999991</v>
      </c>
      <c r="N33" s="75">
        <f t="shared" si="94"/>
        <v>320</v>
      </c>
      <c r="O33" s="75">
        <f t="shared" si="94"/>
        <v>0</v>
      </c>
      <c r="P33" s="75">
        <f t="shared" si="94"/>
        <v>800</v>
      </c>
      <c r="Q33" s="75">
        <f t="shared" si="94"/>
        <v>1069</v>
      </c>
      <c r="R33" s="75">
        <f t="shared" si="94"/>
        <v>0</v>
      </c>
      <c r="S33" s="75">
        <f>SUM(B33:R33)</f>
        <v>30300.41</v>
      </c>
      <c r="W33" s="74"/>
      <c r="X33" s="75">
        <f t="shared" ref="X33:AN33" si="95">SUM(X2:X32)</f>
        <v>0</v>
      </c>
      <c r="Y33" s="75">
        <f t="shared" si="95"/>
        <v>0</v>
      </c>
      <c r="Z33" s="75">
        <f t="shared" si="95"/>
        <v>0</v>
      </c>
      <c r="AA33" s="75">
        <f t="shared" si="95"/>
        <v>0</v>
      </c>
      <c r="AB33" s="75">
        <f t="shared" si="95"/>
        <v>0</v>
      </c>
      <c r="AC33" s="75">
        <f t="shared" si="95"/>
        <v>0</v>
      </c>
      <c r="AD33" s="75">
        <f t="shared" si="95"/>
        <v>0</v>
      </c>
      <c r="AE33" s="75">
        <f t="shared" si="95"/>
        <v>0</v>
      </c>
      <c r="AF33" s="75">
        <f t="shared" si="95"/>
        <v>0</v>
      </c>
      <c r="AG33" s="75">
        <f t="shared" si="95"/>
        <v>0</v>
      </c>
      <c r="AH33" s="75">
        <f t="shared" si="95"/>
        <v>0</v>
      </c>
      <c r="AI33" s="75">
        <f t="shared" si="95"/>
        <v>0</v>
      </c>
      <c r="AJ33" s="75">
        <f t="shared" si="95"/>
        <v>0</v>
      </c>
      <c r="AK33" s="75">
        <f t="shared" si="95"/>
        <v>0</v>
      </c>
      <c r="AL33" s="75">
        <f t="shared" si="95"/>
        <v>0</v>
      </c>
      <c r="AM33" s="75">
        <f t="shared" si="95"/>
        <v>0</v>
      </c>
      <c r="AN33" s="75">
        <f t="shared" si="95"/>
        <v>0</v>
      </c>
      <c r="AO33" s="75">
        <f>SUM(X33:AN33)</f>
        <v>0</v>
      </c>
    </row>
    <row r="34">
      <c r="A34" s="84"/>
      <c r="B34" s="84"/>
      <c r="C34" s="84"/>
      <c r="D34" s="84"/>
      <c r="E34" s="84"/>
      <c r="F34" s="84"/>
      <c r="G34" s="84"/>
      <c r="H34" s="84"/>
      <c r="I34" s="84"/>
      <c r="J34" s="84"/>
      <c r="K34" s="84"/>
      <c r="L34" s="84"/>
      <c r="M34" s="84"/>
      <c r="N34" s="84"/>
      <c r="O34" s="84"/>
      <c r="P34" s="84"/>
      <c r="Q34" s="84"/>
      <c r="R34" s="84"/>
      <c r="S34" s="84"/>
      <c r="W34" s="84"/>
      <c r="X34" s="84"/>
      <c r="Y34" s="84"/>
      <c r="Z34" s="84"/>
      <c r="AA34" s="84"/>
      <c r="AB34" s="84"/>
      <c r="AC34" s="84"/>
      <c r="AD34" s="84"/>
      <c r="AE34" s="84"/>
      <c r="AF34" s="84"/>
      <c r="AG34" s="84"/>
      <c r="AH34" s="84"/>
      <c r="AI34" s="84"/>
      <c r="AJ34" s="84"/>
      <c r="AK34" s="84"/>
      <c r="AL34" s="84"/>
      <c r="AM34" s="84"/>
      <c r="AN34" s="84"/>
      <c r="AO34" s="84"/>
    </row>
    <row r="35">
      <c r="A35" s="85" t="s">
        <v>0</v>
      </c>
      <c r="B35" s="85" t="s">
        <v>50</v>
      </c>
      <c r="C35" s="85" t="s">
        <v>13</v>
      </c>
      <c r="D35" s="85" t="s">
        <v>11</v>
      </c>
      <c r="E35" s="85" t="s">
        <v>51</v>
      </c>
      <c r="F35" s="85" t="s">
        <v>52</v>
      </c>
      <c r="G35" s="85" t="s">
        <v>53</v>
      </c>
      <c r="H35" s="85" t="s">
        <v>54</v>
      </c>
      <c r="I35" s="85" t="s">
        <v>55</v>
      </c>
      <c r="J35" s="85" t="s">
        <v>61</v>
      </c>
      <c r="K35" s="85" t="s">
        <v>74</v>
      </c>
      <c r="L35" s="86"/>
      <c r="M35" s="86"/>
      <c r="N35" s="86"/>
      <c r="O35" s="86"/>
      <c r="P35" s="86"/>
      <c r="Q35" s="86"/>
      <c r="R35" s="86"/>
      <c r="S35" s="86"/>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44531</v>
      </c>
      <c r="B36" s="14"/>
      <c r="C36" s="14"/>
      <c r="D36" s="14"/>
      <c r="E36" s="14"/>
      <c r="F36" s="14"/>
      <c r="G36" s="14"/>
      <c r="H36" s="14"/>
      <c r="I36" s="14"/>
      <c r="J36" s="22"/>
      <c r="K36" s="22"/>
      <c r="L36" s="22"/>
      <c r="M36" s="22"/>
      <c r="N36" s="22"/>
      <c r="O36" s="22"/>
      <c r="P36" s="22"/>
      <c r="Q36" s="22"/>
      <c r="R36" s="22"/>
      <c r="S36" s="22"/>
      <c r="W36" s="11">
        <v>44531</v>
      </c>
      <c r="X36" s="14"/>
      <c r="Y36" s="14"/>
      <c r="Z36" s="14"/>
      <c r="AA36" s="14"/>
      <c r="AB36" s="14"/>
      <c r="AC36" s="14"/>
      <c r="AD36" s="14"/>
      <c r="AE36" s="14"/>
      <c r="AF36" s="22"/>
      <c r="AG36" s="22"/>
      <c r="AH36" s="22"/>
      <c r="AI36" s="22"/>
      <c r="AJ36" s="22"/>
      <c r="AK36" s="22"/>
      <c r="AL36" s="22"/>
      <c r="AM36" s="22"/>
      <c r="AN36" s="22"/>
      <c r="AO36" s="22"/>
    </row>
    <row r="37">
      <c r="A37" s="11">
        <v>44532</v>
      </c>
      <c r="B37" s="5"/>
      <c r="C37" s="5"/>
      <c r="D37" s="5"/>
      <c r="E37" s="5"/>
      <c r="F37" s="5"/>
      <c r="G37" s="5"/>
      <c r="H37" s="5"/>
      <c r="I37" s="5"/>
      <c r="J37" s="5"/>
      <c r="K37" s="5"/>
      <c r="L37" s="5"/>
      <c r="M37" s="5"/>
      <c r="N37" s="5"/>
      <c r="O37" s="5"/>
      <c r="P37" s="5"/>
      <c r="Q37" s="5"/>
      <c r="R37" s="5"/>
      <c r="S37" s="5"/>
      <c r="W37" s="11">
        <v>44532</v>
      </c>
      <c r="X37" s="5"/>
      <c r="Y37" s="5"/>
      <c r="Z37" s="5"/>
      <c r="AA37" s="5"/>
      <c r="AB37" s="5"/>
      <c r="AC37" s="5"/>
      <c r="AD37" s="5"/>
      <c r="AE37" s="5"/>
      <c r="AF37" s="5"/>
      <c r="AG37" s="5"/>
      <c r="AH37" s="5"/>
      <c r="AI37" s="5"/>
      <c r="AJ37" s="5"/>
      <c r="AK37" s="5"/>
      <c r="AL37" s="5"/>
      <c r="AM37" s="5"/>
      <c r="AN37" s="5"/>
      <c r="AO37" s="5"/>
    </row>
    <row r="38">
      <c r="A38" s="11">
        <v>44533</v>
      </c>
      <c r="B38" s="14"/>
      <c r="C38" s="14"/>
      <c r="D38" s="14"/>
      <c r="E38" s="14"/>
      <c r="F38" s="14"/>
      <c r="G38" s="14"/>
      <c r="H38" s="14"/>
      <c r="I38" s="14"/>
      <c r="J38" s="22"/>
      <c r="K38" s="22"/>
      <c r="L38" s="22"/>
      <c r="M38" s="22"/>
      <c r="N38" s="22"/>
      <c r="O38" s="22"/>
      <c r="P38" s="22"/>
      <c r="Q38" s="22"/>
      <c r="R38" s="22"/>
      <c r="S38" s="22"/>
      <c r="W38" s="11">
        <v>44533</v>
      </c>
      <c r="X38" s="14"/>
      <c r="Y38" s="14"/>
      <c r="Z38" s="14"/>
      <c r="AA38" s="14"/>
      <c r="AB38" s="14"/>
      <c r="AC38" s="14"/>
      <c r="AD38" s="14"/>
      <c r="AE38" s="14"/>
      <c r="AF38" s="22"/>
      <c r="AG38" s="22"/>
      <c r="AH38" s="22"/>
      <c r="AI38" s="22"/>
      <c r="AJ38" s="22"/>
      <c r="AK38" s="22"/>
      <c r="AL38" s="22"/>
      <c r="AM38" s="22"/>
      <c r="AN38" s="22"/>
      <c r="AO38" s="22"/>
    </row>
    <row r="39">
      <c r="A39" s="11">
        <v>44534</v>
      </c>
      <c r="B39" s="5"/>
      <c r="C39" s="5"/>
      <c r="D39" s="5"/>
      <c r="E39" s="71">
        <v>20.210000000000001</v>
      </c>
      <c r="F39" s="5">
        <v>897.5</v>
      </c>
      <c r="G39" s="5"/>
      <c r="H39" s="5"/>
      <c r="I39" s="5">
        <f>28+60</f>
        <v>88</v>
      </c>
      <c r="J39" s="5"/>
      <c r="K39" s="5"/>
      <c r="L39" s="5"/>
      <c r="M39" s="5"/>
      <c r="N39" s="5"/>
      <c r="O39" s="5"/>
      <c r="P39" s="5"/>
      <c r="Q39" s="5"/>
      <c r="R39" s="5"/>
      <c r="S39" s="5"/>
      <c r="W39" s="11">
        <v>44534</v>
      </c>
      <c r="X39" s="5"/>
      <c r="Y39" s="5"/>
      <c r="Z39" s="5"/>
      <c r="AA39" s="71"/>
      <c r="AB39" s="5"/>
      <c r="AC39" s="5"/>
      <c r="AD39" s="5"/>
      <c r="AE39" s="5"/>
      <c r="AF39" s="5"/>
      <c r="AG39" s="5"/>
      <c r="AH39" s="5"/>
      <c r="AI39" s="5"/>
      <c r="AJ39" s="5"/>
      <c r="AK39" s="5"/>
      <c r="AL39" s="5"/>
      <c r="AM39" s="5"/>
      <c r="AN39" s="5"/>
      <c r="AO39" s="5"/>
    </row>
    <row r="40">
      <c r="A40" s="11">
        <v>44535</v>
      </c>
      <c r="B40" s="14"/>
      <c r="C40" s="14"/>
      <c r="D40" s="14"/>
      <c r="E40" s="14"/>
      <c r="F40" s="14"/>
      <c r="G40" s="14"/>
      <c r="H40" s="14"/>
      <c r="I40" s="14"/>
      <c r="J40" s="14"/>
      <c r="K40" s="14"/>
      <c r="L40" s="14"/>
      <c r="M40" s="14"/>
      <c r="N40" s="14"/>
      <c r="O40" s="14"/>
      <c r="P40" s="14"/>
      <c r="Q40" s="14"/>
      <c r="R40" s="14"/>
      <c r="S40" s="14"/>
      <c r="W40" s="11">
        <v>44535</v>
      </c>
      <c r="X40" s="14"/>
      <c r="Y40" s="14"/>
      <c r="Z40" s="14"/>
      <c r="AA40" s="14"/>
      <c r="AB40" s="14"/>
      <c r="AC40" s="14"/>
      <c r="AD40" s="14"/>
      <c r="AE40" s="14"/>
      <c r="AF40" s="14"/>
      <c r="AG40" s="14"/>
      <c r="AH40" s="14"/>
      <c r="AI40" s="14"/>
      <c r="AJ40" s="14"/>
      <c r="AK40" s="14"/>
      <c r="AL40" s="14"/>
      <c r="AM40" s="14"/>
      <c r="AN40" s="14"/>
      <c r="AO40" s="14"/>
    </row>
    <row r="41">
      <c r="A41" s="11">
        <v>44536</v>
      </c>
      <c r="B41" s="5"/>
      <c r="C41" s="5"/>
      <c r="D41" s="5"/>
      <c r="E41" s="5">
        <v>0.96999999999999997</v>
      </c>
      <c r="F41" s="5"/>
      <c r="G41" s="5"/>
      <c r="H41" s="5"/>
      <c r="I41" s="5"/>
      <c r="J41" s="5"/>
      <c r="K41" s="5"/>
      <c r="L41" s="5"/>
      <c r="M41" s="5"/>
      <c r="N41" s="5"/>
      <c r="O41" s="5"/>
      <c r="P41" s="5"/>
      <c r="Q41" s="5"/>
      <c r="R41" s="5"/>
      <c r="S41" s="5"/>
      <c r="W41" s="11">
        <v>44536</v>
      </c>
      <c r="X41" s="5">
        <v>21040.599999999999</v>
      </c>
      <c r="Y41" s="5"/>
      <c r="Z41" s="5"/>
      <c r="AA41" s="5"/>
      <c r="AB41" s="5"/>
      <c r="AC41" s="5"/>
      <c r="AD41" s="5"/>
      <c r="AE41" s="5"/>
      <c r="AF41" s="5"/>
      <c r="AG41" s="5"/>
      <c r="AH41" s="5"/>
      <c r="AI41" s="5"/>
      <c r="AJ41" s="5"/>
      <c r="AK41" s="5"/>
      <c r="AL41" s="5"/>
      <c r="AM41" s="5"/>
      <c r="AN41" s="5"/>
      <c r="AO41" s="5"/>
    </row>
    <row r="42">
      <c r="A42" s="11">
        <v>44537</v>
      </c>
      <c r="B42" s="14"/>
      <c r="C42" s="14"/>
      <c r="D42" s="14"/>
      <c r="E42" s="14"/>
      <c r="F42" s="14"/>
      <c r="G42" s="14"/>
      <c r="H42" s="14"/>
      <c r="I42" s="14"/>
      <c r="J42" s="14"/>
      <c r="K42" s="14"/>
      <c r="L42" s="14"/>
      <c r="M42" s="14"/>
      <c r="N42" s="14"/>
      <c r="O42" s="14"/>
      <c r="P42" s="14"/>
      <c r="Q42" s="14"/>
      <c r="R42" s="14"/>
      <c r="S42" s="14"/>
      <c r="W42" s="11">
        <v>44537</v>
      </c>
      <c r="X42" s="14"/>
      <c r="Y42" s="14"/>
      <c r="Z42" s="14"/>
      <c r="AA42" s="14"/>
      <c r="AB42" s="14"/>
      <c r="AC42" s="14"/>
      <c r="AD42" s="14"/>
      <c r="AE42" s="14"/>
      <c r="AF42" s="14"/>
      <c r="AG42" s="14"/>
      <c r="AH42" s="14"/>
      <c r="AI42" s="14"/>
      <c r="AJ42" s="14"/>
      <c r="AK42" s="14"/>
      <c r="AL42" s="14"/>
      <c r="AM42" s="14"/>
      <c r="AN42" s="14"/>
      <c r="AO42" s="14"/>
    </row>
    <row r="43">
      <c r="A43" s="11">
        <v>44538</v>
      </c>
      <c r="B43" s="5"/>
      <c r="C43" s="5"/>
      <c r="D43" s="5"/>
      <c r="E43" s="5"/>
      <c r="F43" s="5"/>
      <c r="G43" s="5"/>
      <c r="H43" s="5"/>
      <c r="I43" s="5"/>
      <c r="J43" s="5"/>
      <c r="K43" s="5"/>
      <c r="L43" s="5"/>
      <c r="M43" s="5"/>
      <c r="N43" s="5"/>
      <c r="O43" s="5"/>
      <c r="P43" s="5"/>
      <c r="Q43" s="5"/>
      <c r="R43" s="5"/>
      <c r="S43" s="5"/>
      <c r="W43" s="11">
        <v>44538</v>
      </c>
      <c r="X43" s="5"/>
      <c r="Y43" s="5"/>
      <c r="Z43" s="5"/>
      <c r="AA43" s="5"/>
      <c r="AB43" s="5"/>
      <c r="AC43" s="5"/>
      <c r="AD43" s="5"/>
      <c r="AE43" s="5"/>
      <c r="AF43" s="5"/>
      <c r="AG43" s="5"/>
      <c r="AH43" s="5"/>
      <c r="AI43" s="5"/>
      <c r="AJ43" s="5"/>
      <c r="AK43" s="5"/>
      <c r="AL43" s="5"/>
      <c r="AM43" s="5"/>
      <c r="AN43" s="5"/>
      <c r="AO43" s="5"/>
    </row>
    <row r="44">
      <c r="A44" s="11">
        <v>44539</v>
      </c>
      <c r="B44" s="79">
        <v>17923.560000000001</v>
      </c>
      <c r="C44" s="14"/>
      <c r="D44" s="14"/>
      <c r="E44" s="14"/>
      <c r="F44" s="14"/>
      <c r="G44" s="14"/>
      <c r="H44" s="14"/>
      <c r="I44" s="14">
        <v>100</v>
      </c>
      <c r="J44" s="14"/>
      <c r="K44" s="14"/>
      <c r="L44" s="14"/>
      <c r="M44" s="14"/>
      <c r="N44" s="14"/>
      <c r="O44" s="14"/>
      <c r="P44" s="14"/>
      <c r="Q44" s="14"/>
      <c r="R44" s="14"/>
      <c r="S44" s="14"/>
      <c r="W44" s="11">
        <v>44539</v>
      </c>
      <c r="X44" s="79"/>
      <c r="Y44" s="14"/>
      <c r="Z44" s="14"/>
      <c r="AA44" s="14"/>
      <c r="AB44" s="14"/>
      <c r="AC44" s="14"/>
      <c r="AD44" s="14"/>
      <c r="AE44" s="14"/>
      <c r="AF44" s="14"/>
      <c r="AG44" s="14"/>
      <c r="AH44" s="14"/>
      <c r="AI44" s="14"/>
      <c r="AJ44" s="14"/>
      <c r="AK44" s="14"/>
      <c r="AL44" s="14"/>
      <c r="AM44" s="14"/>
      <c r="AN44" s="14"/>
      <c r="AO44" s="14"/>
    </row>
    <row r="45">
      <c r="A45" s="11">
        <v>44540</v>
      </c>
      <c r="B45" s="5">
        <v>23687.779999999999</v>
      </c>
      <c r="C45" s="5"/>
      <c r="D45" s="5"/>
      <c r="E45" s="5"/>
      <c r="F45" s="5"/>
      <c r="G45" s="5"/>
      <c r="H45" s="5"/>
      <c r="I45" s="5"/>
      <c r="J45" s="5"/>
      <c r="K45" s="5"/>
      <c r="L45" s="5"/>
      <c r="M45" s="5"/>
      <c r="N45" s="5"/>
      <c r="O45" s="5"/>
      <c r="P45" s="5"/>
      <c r="Q45" s="5"/>
      <c r="R45" s="5"/>
      <c r="S45" s="5"/>
      <c r="W45" s="11">
        <v>44540</v>
      </c>
      <c r="X45" s="5"/>
      <c r="Y45" s="5"/>
      <c r="Z45" s="5"/>
      <c r="AA45" s="5"/>
      <c r="AB45" s="5"/>
      <c r="AC45" s="5"/>
      <c r="AD45" s="5"/>
      <c r="AE45" s="5"/>
      <c r="AF45" s="5"/>
      <c r="AG45" s="5"/>
      <c r="AH45" s="5"/>
      <c r="AI45" s="5"/>
      <c r="AJ45" s="5"/>
      <c r="AK45" s="5"/>
      <c r="AL45" s="5"/>
      <c r="AM45" s="5"/>
      <c r="AN45" s="5"/>
      <c r="AO45" s="5"/>
    </row>
    <row r="46">
      <c r="A46" s="11">
        <v>44541</v>
      </c>
      <c r="B46" s="14"/>
      <c r="C46" s="14"/>
      <c r="D46" s="14"/>
      <c r="E46" s="14"/>
      <c r="F46" s="14"/>
      <c r="G46" s="14"/>
      <c r="H46" s="14"/>
      <c r="I46" s="14">
        <v>150</v>
      </c>
      <c r="J46" s="14"/>
      <c r="K46" s="14"/>
      <c r="L46" s="14"/>
      <c r="M46" s="14"/>
      <c r="N46" s="14"/>
      <c r="O46" s="14"/>
      <c r="P46" s="14"/>
      <c r="Q46" s="14"/>
      <c r="R46" s="14"/>
      <c r="S46" s="14"/>
      <c r="W46" s="11">
        <v>44541</v>
      </c>
      <c r="X46" s="14"/>
      <c r="Y46" s="14"/>
      <c r="Z46" s="14"/>
      <c r="AA46" s="14"/>
      <c r="AB46" s="14"/>
      <c r="AC46" s="14"/>
      <c r="AD46" s="14"/>
      <c r="AE46" s="14"/>
      <c r="AF46" s="14"/>
      <c r="AG46" s="14"/>
      <c r="AH46" s="14"/>
      <c r="AI46" s="14"/>
      <c r="AJ46" s="14"/>
      <c r="AK46" s="14"/>
      <c r="AL46" s="14"/>
      <c r="AM46" s="14"/>
      <c r="AN46" s="14"/>
      <c r="AO46" s="14"/>
    </row>
    <row r="47">
      <c r="A47" s="11">
        <v>44542</v>
      </c>
      <c r="B47" s="5"/>
      <c r="C47" s="5"/>
      <c r="D47" s="5"/>
      <c r="E47" s="5"/>
      <c r="F47" s="5"/>
      <c r="G47" s="5"/>
      <c r="H47" s="5"/>
      <c r="I47" s="5"/>
      <c r="J47" s="5"/>
      <c r="K47" s="5"/>
      <c r="L47" s="5"/>
      <c r="M47" s="5"/>
      <c r="N47" s="5"/>
      <c r="O47" s="5"/>
      <c r="P47" s="5"/>
      <c r="Q47" s="5"/>
      <c r="R47" s="5"/>
      <c r="S47" s="5"/>
      <c r="W47" s="11">
        <v>44542</v>
      </c>
      <c r="X47" s="5"/>
      <c r="Y47" s="5"/>
      <c r="Z47" s="5"/>
      <c r="AA47" s="5"/>
      <c r="AB47" s="5"/>
      <c r="AC47" s="5"/>
      <c r="AD47" s="5"/>
      <c r="AE47" s="5"/>
      <c r="AF47" s="5"/>
      <c r="AG47" s="5"/>
      <c r="AH47" s="5"/>
      <c r="AI47" s="5"/>
      <c r="AJ47" s="5"/>
      <c r="AK47" s="5"/>
      <c r="AL47" s="5"/>
      <c r="AM47" s="5"/>
      <c r="AN47" s="5"/>
      <c r="AO47" s="5"/>
    </row>
    <row r="48">
      <c r="A48" s="11">
        <v>44543</v>
      </c>
      <c r="B48" s="14"/>
      <c r="C48" s="14"/>
      <c r="D48" s="14"/>
      <c r="E48" s="14"/>
      <c r="F48" s="14"/>
      <c r="G48" s="14"/>
      <c r="H48" s="14"/>
      <c r="I48" s="14"/>
      <c r="J48" s="14"/>
      <c r="K48" s="14"/>
      <c r="L48" s="14"/>
      <c r="M48" s="14"/>
      <c r="N48" s="14"/>
      <c r="O48" s="14"/>
      <c r="P48" s="14"/>
      <c r="Q48" s="14"/>
      <c r="R48" s="14"/>
      <c r="S48" s="14"/>
      <c r="W48" s="11">
        <v>44543</v>
      </c>
      <c r="X48" s="14"/>
      <c r="Y48" s="14"/>
      <c r="Z48" s="14"/>
      <c r="AA48" s="14"/>
      <c r="AB48" s="14"/>
      <c r="AC48" s="14"/>
      <c r="AD48" s="14"/>
      <c r="AE48" s="14"/>
      <c r="AF48" s="14"/>
      <c r="AG48" s="14"/>
      <c r="AH48" s="14"/>
      <c r="AI48" s="14"/>
      <c r="AJ48" s="14"/>
      <c r="AK48" s="14"/>
      <c r="AL48" s="14"/>
      <c r="AM48" s="14"/>
      <c r="AN48" s="14"/>
      <c r="AO48" s="14"/>
    </row>
    <row r="49">
      <c r="A49" s="11">
        <v>44544</v>
      </c>
      <c r="B49" s="5"/>
      <c r="C49" s="5"/>
      <c r="D49" s="5"/>
      <c r="E49" s="5"/>
      <c r="F49" s="5"/>
      <c r="G49" s="5"/>
      <c r="H49" s="5"/>
      <c r="I49" s="5"/>
      <c r="J49" s="5"/>
      <c r="K49" s="5"/>
      <c r="L49" s="5"/>
      <c r="M49" s="5"/>
      <c r="N49" s="5"/>
      <c r="O49" s="5"/>
      <c r="P49" s="5"/>
      <c r="Q49" s="5"/>
      <c r="R49" s="5"/>
      <c r="S49" s="5"/>
      <c r="W49" s="11">
        <v>44544</v>
      </c>
      <c r="X49" s="5">
        <v>32189.529999999999</v>
      </c>
      <c r="Y49" s="5"/>
      <c r="Z49" s="5"/>
      <c r="AA49" s="5"/>
      <c r="AB49" s="5"/>
      <c r="AC49" s="5"/>
      <c r="AD49" s="5"/>
      <c r="AE49" s="5"/>
      <c r="AF49" s="5"/>
      <c r="AG49" s="5"/>
      <c r="AH49" s="5"/>
      <c r="AI49" s="5"/>
      <c r="AJ49" s="5"/>
      <c r="AK49" s="5"/>
      <c r="AL49" s="5"/>
      <c r="AM49" s="5"/>
      <c r="AN49" s="5"/>
      <c r="AO49" s="5"/>
    </row>
    <row r="50">
      <c r="A50" s="11">
        <v>44545</v>
      </c>
      <c r="B50" s="14"/>
      <c r="C50" s="14"/>
      <c r="D50" s="14"/>
      <c r="E50" s="14"/>
      <c r="F50" s="14"/>
      <c r="G50" s="14"/>
      <c r="H50" s="14"/>
      <c r="I50" s="14"/>
      <c r="J50" s="14"/>
      <c r="K50" s="14"/>
      <c r="L50" s="14"/>
      <c r="M50" s="14"/>
      <c r="N50" s="14"/>
      <c r="O50" s="14"/>
      <c r="P50" s="14"/>
      <c r="Q50" s="14"/>
      <c r="R50" s="14"/>
      <c r="S50" s="14"/>
      <c r="W50" s="11">
        <v>44545</v>
      </c>
      <c r="X50" s="14"/>
      <c r="Y50" s="14"/>
      <c r="Z50" s="14"/>
      <c r="AA50" s="14"/>
      <c r="AB50" s="14"/>
      <c r="AC50" s="14"/>
      <c r="AD50" s="14"/>
      <c r="AE50" s="14"/>
      <c r="AF50" s="14"/>
      <c r="AG50" s="14"/>
      <c r="AH50" s="14"/>
      <c r="AI50" s="14"/>
      <c r="AJ50" s="14"/>
      <c r="AK50" s="14"/>
      <c r="AL50" s="14"/>
      <c r="AM50" s="14"/>
      <c r="AN50" s="14"/>
      <c r="AO50" s="14"/>
    </row>
    <row r="51">
      <c r="A51" s="11">
        <v>44546</v>
      </c>
      <c r="B51" s="5"/>
      <c r="C51" s="5"/>
      <c r="D51" s="5"/>
      <c r="E51" s="5"/>
      <c r="F51" s="5"/>
      <c r="G51" s="5"/>
      <c r="H51" s="5"/>
      <c r="I51" s="5"/>
      <c r="J51" s="5"/>
      <c r="K51" s="5"/>
      <c r="L51" s="5"/>
      <c r="M51" s="5"/>
      <c r="N51" s="5"/>
      <c r="O51" s="5"/>
      <c r="P51" s="5"/>
      <c r="Q51" s="5"/>
      <c r="R51" s="5"/>
      <c r="S51" s="5"/>
      <c r="W51" s="11">
        <v>44546</v>
      </c>
      <c r="X51" s="5"/>
      <c r="Y51" s="5"/>
      <c r="Z51" s="5"/>
      <c r="AA51" s="5"/>
      <c r="AB51" s="5"/>
      <c r="AC51" s="5"/>
      <c r="AD51" s="5"/>
      <c r="AE51" s="5"/>
      <c r="AF51" s="5"/>
      <c r="AG51" s="5"/>
      <c r="AH51" s="5"/>
      <c r="AI51" s="5"/>
      <c r="AJ51" s="5"/>
      <c r="AK51" s="5"/>
      <c r="AL51" s="5"/>
      <c r="AM51" s="5"/>
      <c r="AN51" s="5"/>
      <c r="AO51" s="5"/>
    </row>
    <row r="52">
      <c r="A52" s="11">
        <v>44547</v>
      </c>
      <c r="B52" s="14"/>
      <c r="C52" s="14"/>
      <c r="D52" s="14"/>
      <c r="E52" s="14"/>
      <c r="F52" s="14"/>
      <c r="G52" s="14"/>
      <c r="H52" s="14"/>
      <c r="I52" s="14"/>
      <c r="J52" s="14"/>
      <c r="K52" s="14">
        <v>1000</v>
      </c>
      <c r="L52" s="14"/>
      <c r="M52" s="14"/>
      <c r="N52" s="14"/>
      <c r="O52" s="14"/>
      <c r="P52" s="14"/>
      <c r="Q52" s="14"/>
      <c r="R52" s="14"/>
      <c r="S52" s="14"/>
      <c r="W52" s="11">
        <v>44547</v>
      </c>
      <c r="X52" s="14"/>
      <c r="Y52" s="14"/>
      <c r="Z52" s="14"/>
      <c r="AA52" s="14"/>
      <c r="AB52" s="14"/>
      <c r="AC52" s="14"/>
      <c r="AD52" s="14"/>
      <c r="AE52" s="14"/>
      <c r="AF52" s="14"/>
      <c r="AG52" s="14"/>
      <c r="AH52" s="14"/>
      <c r="AI52" s="14"/>
      <c r="AJ52" s="14"/>
      <c r="AK52" s="14"/>
      <c r="AL52" s="14"/>
      <c r="AM52" s="14"/>
      <c r="AN52" s="14"/>
      <c r="AO52" s="14"/>
    </row>
    <row r="53">
      <c r="A53" s="11">
        <v>44548</v>
      </c>
      <c r="B53" s="5"/>
      <c r="C53" s="5"/>
      <c r="D53" s="5"/>
      <c r="E53" s="5"/>
      <c r="F53" s="5"/>
      <c r="G53" s="5"/>
      <c r="H53" s="5"/>
      <c r="I53" s="5"/>
      <c r="J53" s="5"/>
      <c r="K53" s="5"/>
      <c r="L53" s="5"/>
      <c r="M53" s="5"/>
      <c r="N53" s="5"/>
      <c r="O53" s="5"/>
      <c r="P53" s="5"/>
      <c r="Q53" s="5"/>
      <c r="R53" s="5"/>
      <c r="S53" s="5"/>
      <c r="W53" s="11">
        <v>44548</v>
      </c>
      <c r="X53" s="5"/>
      <c r="Y53" s="5"/>
      <c r="Z53" s="5"/>
      <c r="AA53" s="5"/>
      <c r="AB53" s="5"/>
      <c r="AC53" s="5"/>
      <c r="AD53" s="5"/>
      <c r="AE53" s="5"/>
      <c r="AF53" s="5"/>
      <c r="AG53" s="5"/>
      <c r="AH53" s="5"/>
      <c r="AI53" s="5"/>
      <c r="AJ53" s="5"/>
      <c r="AK53" s="5"/>
      <c r="AL53" s="5"/>
      <c r="AM53" s="5"/>
      <c r="AN53" s="5"/>
      <c r="AO53" s="5"/>
    </row>
    <row r="54">
      <c r="A54" s="11">
        <v>44549</v>
      </c>
      <c r="B54" s="14"/>
      <c r="C54" s="14"/>
      <c r="D54" s="14"/>
      <c r="E54" s="14"/>
      <c r="F54" s="14"/>
      <c r="G54" s="14"/>
      <c r="H54" s="14"/>
      <c r="I54" s="14"/>
      <c r="J54" s="14"/>
      <c r="K54" s="14"/>
      <c r="L54" s="14"/>
      <c r="M54" s="14"/>
      <c r="N54" s="14"/>
      <c r="O54" s="14"/>
      <c r="P54" s="14"/>
      <c r="Q54" s="14"/>
      <c r="R54" s="14"/>
      <c r="S54" s="14"/>
      <c r="W54" s="11">
        <v>44549</v>
      </c>
      <c r="X54" s="14"/>
      <c r="Y54" s="14"/>
      <c r="Z54" s="14"/>
      <c r="AA54" s="14"/>
      <c r="AB54" s="14"/>
      <c r="AC54" s="14"/>
      <c r="AD54" s="14"/>
      <c r="AE54" s="14"/>
      <c r="AF54" s="14"/>
      <c r="AG54" s="14"/>
      <c r="AH54" s="14"/>
      <c r="AI54" s="14"/>
      <c r="AJ54" s="14"/>
      <c r="AK54" s="14"/>
      <c r="AL54" s="14"/>
      <c r="AM54" s="14"/>
      <c r="AN54" s="14"/>
      <c r="AO54" s="14"/>
    </row>
    <row r="55">
      <c r="A55" s="11">
        <v>44550</v>
      </c>
      <c r="B55" s="5"/>
      <c r="C55" s="5"/>
      <c r="D55" s="5"/>
      <c r="E55" s="5"/>
      <c r="F55" s="5"/>
      <c r="G55" s="5"/>
      <c r="H55" s="5"/>
      <c r="I55" s="5"/>
      <c r="J55" s="5"/>
      <c r="K55" s="5"/>
      <c r="L55" s="5"/>
      <c r="M55" s="5"/>
      <c r="N55" s="5"/>
      <c r="O55" s="5"/>
      <c r="P55" s="5"/>
      <c r="Q55" s="5"/>
      <c r="R55" s="5"/>
      <c r="S55" s="5"/>
      <c r="W55" s="11">
        <v>44550</v>
      </c>
      <c r="X55" s="5"/>
      <c r="Y55" s="5"/>
      <c r="Z55" s="5"/>
      <c r="AA55" s="5"/>
      <c r="AB55" s="5"/>
      <c r="AC55" s="5"/>
      <c r="AD55" s="5"/>
      <c r="AE55" s="5"/>
      <c r="AF55" s="5"/>
      <c r="AG55" s="5"/>
      <c r="AH55" s="5"/>
      <c r="AI55" s="5"/>
      <c r="AJ55" s="5"/>
      <c r="AK55" s="5"/>
      <c r="AL55" s="5"/>
      <c r="AM55" s="5"/>
      <c r="AN55" s="5"/>
      <c r="AO55" s="5"/>
    </row>
    <row r="56">
      <c r="A56" s="11">
        <v>44551</v>
      </c>
      <c r="B56" s="14">
        <v>3480</v>
      </c>
      <c r="C56" s="14"/>
      <c r="D56" s="14"/>
      <c r="E56" s="14"/>
      <c r="F56" s="14"/>
      <c r="G56" s="14"/>
      <c r="H56" s="14"/>
      <c r="I56" s="14"/>
      <c r="J56" s="14"/>
      <c r="K56" s="14"/>
      <c r="L56" s="14"/>
      <c r="M56" s="14"/>
      <c r="N56" s="14"/>
      <c r="O56" s="14"/>
      <c r="P56" s="14"/>
      <c r="Q56" s="14"/>
      <c r="R56" s="14"/>
      <c r="S56" s="14"/>
      <c r="W56" s="11">
        <v>44551</v>
      </c>
      <c r="X56" s="14"/>
      <c r="Y56" s="14"/>
      <c r="Z56" s="14"/>
      <c r="AA56" s="14"/>
      <c r="AB56" s="14"/>
      <c r="AC56" s="14"/>
      <c r="AD56" s="14"/>
      <c r="AE56" s="14"/>
      <c r="AF56" s="14"/>
      <c r="AG56" s="14"/>
      <c r="AH56" s="14"/>
      <c r="AI56" s="14"/>
      <c r="AJ56" s="14"/>
      <c r="AK56" s="14"/>
      <c r="AL56" s="14"/>
      <c r="AM56" s="14"/>
      <c r="AN56" s="14"/>
      <c r="AO56" s="14"/>
    </row>
    <row r="57">
      <c r="A57" s="11">
        <v>44552</v>
      </c>
      <c r="B57" s="5"/>
      <c r="C57" s="5"/>
      <c r="D57" s="5"/>
      <c r="E57" s="5"/>
      <c r="F57" s="5"/>
      <c r="G57" s="5"/>
      <c r="H57" s="5"/>
      <c r="I57" s="5"/>
      <c r="J57" s="5"/>
      <c r="K57" s="5"/>
      <c r="L57" s="5"/>
      <c r="M57" s="5"/>
      <c r="N57" s="5"/>
      <c r="O57" s="5"/>
      <c r="P57" s="5"/>
      <c r="Q57" s="5"/>
      <c r="R57" s="5"/>
      <c r="S57" s="5"/>
      <c r="W57" s="11">
        <v>44552</v>
      </c>
      <c r="X57" s="5"/>
      <c r="Y57" s="5"/>
      <c r="Z57" s="5"/>
      <c r="AA57" s="5"/>
      <c r="AB57" s="5"/>
      <c r="AC57" s="5"/>
      <c r="AD57" s="5"/>
      <c r="AE57" s="5"/>
      <c r="AF57" s="5"/>
      <c r="AG57" s="5"/>
      <c r="AH57" s="5"/>
      <c r="AI57" s="5"/>
      <c r="AJ57" s="5"/>
      <c r="AK57" s="5"/>
      <c r="AL57" s="5"/>
      <c r="AM57" s="5"/>
      <c r="AN57" s="5"/>
      <c r="AO57" s="5"/>
    </row>
    <row r="58">
      <c r="A58" s="11">
        <v>44553</v>
      </c>
      <c r="B58" s="14"/>
      <c r="C58" s="14"/>
      <c r="D58" s="14"/>
      <c r="E58" s="14"/>
      <c r="F58" s="14"/>
      <c r="G58" s="14"/>
      <c r="H58" s="14"/>
      <c r="I58" s="14"/>
      <c r="J58" s="14"/>
      <c r="K58" s="14"/>
      <c r="L58" s="14"/>
      <c r="M58" s="14"/>
      <c r="N58" s="14"/>
      <c r="O58" s="14"/>
      <c r="P58" s="14"/>
      <c r="Q58" s="14"/>
      <c r="R58" s="14"/>
      <c r="S58" s="14"/>
      <c r="W58" s="11">
        <v>44553</v>
      </c>
      <c r="X58" s="14"/>
      <c r="Y58" s="14"/>
      <c r="Z58" s="14"/>
      <c r="AA58" s="14"/>
      <c r="AB58" s="14"/>
      <c r="AC58" s="14"/>
      <c r="AD58" s="14"/>
      <c r="AE58" s="14"/>
      <c r="AF58" s="14"/>
      <c r="AG58" s="14"/>
      <c r="AH58" s="14"/>
      <c r="AI58" s="14"/>
      <c r="AJ58" s="14"/>
      <c r="AK58" s="14"/>
      <c r="AL58" s="14"/>
      <c r="AM58" s="14"/>
      <c r="AN58" s="14"/>
      <c r="AO58" s="14"/>
    </row>
    <row r="59">
      <c r="A59" s="11">
        <v>44554</v>
      </c>
      <c r="B59" s="5">
        <v>10877.5</v>
      </c>
      <c r="C59" s="5"/>
      <c r="D59" s="5"/>
      <c r="E59" s="5"/>
      <c r="F59" s="5"/>
      <c r="G59" s="5"/>
      <c r="H59" s="5"/>
      <c r="I59" s="5"/>
      <c r="J59" s="5"/>
      <c r="K59" s="5"/>
      <c r="L59" s="5"/>
      <c r="M59" s="5"/>
      <c r="N59" s="5"/>
      <c r="O59" s="5"/>
      <c r="P59" s="5"/>
      <c r="Q59" s="5"/>
      <c r="R59" s="5"/>
      <c r="S59" s="5"/>
      <c r="W59" s="11">
        <v>44554</v>
      </c>
      <c r="X59" s="5"/>
      <c r="Y59" s="5"/>
      <c r="Z59" s="5"/>
      <c r="AA59" s="5"/>
      <c r="AB59" s="5"/>
      <c r="AC59" s="5"/>
      <c r="AD59" s="5"/>
      <c r="AE59" s="5"/>
      <c r="AF59" s="5"/>
      <c r="AG59" s="5"/>
      <c r="AH59" s="5"/>
      <c r="AI59" s="5"/>
      <c r="AJ59" s="5"/>
      <c r="AK59" s="5"/>
      <c r="AL59" s="5"/>
      <c r="AM59" s="5"/>
      <c r="AN59" s="5"/>
      <c r="AO59" s="5"/>
    </row>
    <row r="60">
      <c r="A60" s="11">
        <v>44555</v>
      </c>
      <c r="B60" s="14"/>
      <c r="C60" s="14">
        <v>500</v>
      </c>
      <c r="D60" s="14"/>
      <c r="E60" s="14"/>
      <c r="F60" s="14"/>
      <c r="G60" s="14"/>
      <c r="H60" s="14"/>
      <c r="I60" s="14"/>
      <c r="J60" s="14"/>
      <c r="K60" s="14"/>
      <c r="L60" s="14"/>
      <c r="M60" s="14"/>
      <c r="N60" s="14"/>
      <c r="O60" s="14"/>
      <c r="P60" s="14"/>
      <c r="Q60" s="14"/>
      <c r="R60" s="14"/>
      <c r="S60" s="14"/>
      <c r="W60" s="11">
        <v>44555</v>
      </c>
      <c r="X60" s="14"/>
      <c r="Y60" s="14"/>
      <c r="Z60" s="14"/>
      <c r="AA60" s="14"/>
      <c r="AB60" s="14"/>
      <c r="AC60" s="14"/>
      <c r="AD60" s="14"/>
      <c r="AE60" s="14"/>
      <c r="AF60" s="14"/>
      <c r="AG60" s="14"/>
      <c r="AH60" s="14"/>
      <c r="AI60" s="14"/>
      <c r="AJ60" s="14"/>
      <c r="AK60" s="14"/>
      <c r="AL60" s="14"/>
      <c r="AM60" s="14"/>
      <c r="AN60" s="14"/>
      <c r="AO60" s="14"/>
    </row>
    <row r="61">
      <c r="A61" s="11">
        <v>44556</v>
      </c>
      <c r="B61" s="5"/>
      <c r="C61" s="5"/>
      <c r="D61" s="5"/>
      <c r="E61" s="5"/>
      <c r="F61" s="5"/>
      <c r="G61" s="5"/>
      <c r="H61" s="5"/>
      <c r="I61" s="5"/>
      <c r="J61" s="5"/>
      <c r="K61" s="5"/>
      <c r="L61" s="5"/>
      <c r="M61" s="5"/>
      <c r="N61" s="5"/>
      <c r="O61" s="5"/>
      <c r="P61" s="5"/>
      <c r="Q61" s="5"/>
      <c r="R61" s="5"/>
      <c r="S61" s="5"/>
      <c r="W61" s="11">
        <v>44556</v>
      </c>
      <c r="X61" s="5"/>
      <c r="Y61" s="5"/>
      <c r="Z61" s="5"/>
      <c r="AA61" s="5"/>
      <c r="AB61" s="5"/>
      <c r="AC61" s="5"/>
      <c r="AD61" s="5"/>
      <c r="AE61" s="5"/>
      <c r="AF61" s="5"/>
      <c r="AG61" s="5"/>
      <c r="AH61" s="5"/>
      <c r="AI61" s="5"/>
      <c r="AJ61" s="5"/>
      <c r="AK61" s="5"/>
      <c r="AL61" s="5"/>
      <c r="AM61" s="5"/>
      <c r="AN61" s="5"/>
      <c r="AO61" s="5"/>
    </row>
    <row r="62">
      <c r="A62" s="11">
        <v>44557</v>
      </c>
      <c r="B62" s="14">
        <v>37196</v>
      </c>
      <c r="C62" s="14"/>
      <c r="D62" s="14"/>
      <c r="E62" s="14"/>
      <c r="F62" s="14"/>
      <c r="G62" s="14"/>
      <c r="H62" s="14"/>
      <c r="I62" s="14"/>
      <c r="J62" s="14"/>
      <c r="K62" s="14"/>
      <c r="L62" s="14"/>
      <c r="M62" s="14"/>
      <c r="N62" s="14"/>
      <c r="O62" s="14"/>
      <c r="P62" s="14"/>
      <c r="Q62" s="14"/>
      <c r="R62" s="14"/>
      <c r="S62" s="14"/>
      <c r="W62" s="11">
        <v>44557</v>
      </c>
      <c r="X62" s="14">
        <v>5590</v>
      </c>
      <c r="Y62" s="14"/>
      <c r="Z62" s="14"/>
      <c r="AA62" s="14"/>
      <c r="AB62" s="14"/>
      <c r="AC62" s="14"/>
      <c r="AD62" s="14"/>
      <c r="AE62" s="14"/>
      <c r="AF62" s="14"/>
      <c r="AG62" s="14"/>
      <c r="AH62" s="14"/>
      <c r="AI62" s="14"/>
      <c r="AJ62" s="14"/>
      <c r="AK62" s="14"/>
      <c r="AL62" s="14"/>
      <c r="AM62" s="14"/>
      <c r="AN62" s="14"/>
      <c r="AO62" s="14"/>
    </row>
    <row r="63">
      <c r="A63" s="11">
        <v>44558</v>
      </c>
      <c r="B63" s="5"/>
      <c r="C63" s="5"/>
      <c r="D63" s="5"/>
      <c r="E63" s="5"/>
      <c r="F63" s="5"/>
      <c r="G63" s="5"/>
      <c r="H63" s="5"/>
      <c r="I63" s="5"/>
      <c r="J63" s="5"/>
      <c r="K63" s="5"/>
      <c r="L63" s="5"/>
      <c r="M63" s="5"/>
      <c r="N63" s="5"/>
      <c r="O63" s="5"/>
      <c r="P63" s="5"/>
      <c r="Q63" s="5"/>
      <c r="R63" s="48"/>
      <c r="S63" s="5"/>
      <c r="W63" s="11">
        <v>44558</v>
      </c>
      <c r="X63" s="5">
        <v>6146.5699999999997</v>
      </c>
      <c r="Y63" s="5"/>
      <c r="Z63" s="5"/>
      <c r="AA63" s="5"/>
      <c r="AB63" s="5"/>
      <c r="AC63" s="5"/>
      <c r="AD63" s="5"/>
      <c r="AE63" s="5"/>
      <c r="AF63" s="5"/>
      <c r="AG63" s="5"/>
      <c r="AH63" s="5"/>
      <c r="AI63" s="5"/>
      <c r="AJ63" s="5"/>
      <c r="AK63" s="5"/>
      <c r="AL63" s="5"/>
      <c r="AM63" s="5"/>
      <c r="AN63" s="48"/>
      <c r="AO63" s="5"/>
    </row>
    <row r="64">
      <c r="A64" s="11">
        <v>44559</v>
      </c>
      <c r="B64" s="22"/>
      <c r="C64" s="22"/>
      <c r="D64" s="22"/>
      <c r="E64" s="22"/>
      <c r="F64" s="22"/>
      <c r="G64" s="22"/>
      <c r="H64" s="22"/>
      <c r="I64" s="22"/>
      <c r="J64" s="14"/>
      <c r="K64" s="14"/>
      <c r="L64" s="14"/>
      <c r="M64" s="14"/>
      <c r="N64" s="14"/>
      <c r="O64" s="14"/>
      <c r="P64" s="14"/>
      <c r="Q64" s="14"/>
      <c r="R64" s="80"/>
      <c r="S64" s="14"/>
      <c r="W64" s="11">
        <v>44559</v>
      </c>
      <c r="X64" s="22"/>
      <c r="Y64" s="22"/>
      <c r="Z64" s="22"/>
      <c r="AA64" s="22"/>
      <c r="AB64" s="22"/>
      <c r="AC64" s="22"/>
      <c r="AD64" s="22"/>
      <c r="AE64" s="22"/>
      <c r="AF64" s="14"/>
      <c r="AG64" s="14"/>
      <c r="AH64" s="14"/>
      <c r="AI64" s="14"/>
      <c r="AJ64" s="14"/>
      <c r="AK64" s="14"/>
      <c r="AL64" s="14"/>
      <c r="AM64" s="14"/>
      <c r="AN64" s="80"/>
      <c r="AO64" s="14"/>
    </row>
    <row r="65">
      <c r="A65" s="11">
        <v>44560</v>
      </c>
      <c r="B65" s="5"/>
      <c r="C65" s="5"/>
      <c r="D65" s="5"/>
      <c r="E65" s="5"/>
      <c r="F65" s="5"/>
      <c r="G65" s="5"/>
      <c r="H65" s="5"/>
      <c r="I65" s="5"/>
      <c r="J65" s="5"/>
      <c r="K65" s="5"/>
      <c r="L65" s="5"/>
      <c r="M65" s="5"/>
      <c r="N65" s="5"/>
      <c r="O65" s="5"/>
      <c r="P65" s="5"/>
      <c r="Q65" s="5"/>
      <c r="R65" s="48"/>
      <c r="S65" s="5"/>
      <c r="W65" s="11">
        <v>44560</v>
      </c>
      <c r="X65" s="5"/>
      <c r="Y65" s="5"/>
      <c r="Z65" s="5"/>
      <c r="AA65" s="5"/>
      <c r="AB65" s="5"/>
      <c r="AC65" s="5"/>
      <c r="AD65" s="5"/>
      <c r="AE65" s="5"/>
      <c r="AF65" s="5"/>
      <c r="AG65" s="5"/>
      <c r="AH65" s="5"/>
      <c r="AI65" s="5"/>
      <c r="AJ65" s="5"/>
      <c r="AK65" s="5"/>
      <c r="AL65" s="5"/>
      <c r="AM65" s="5"/>
      <c r="AN65" s="48"/>
      <c r="AO65" s="5"/>
    </row>
    <row r="66">
      <c r="A66" s="11">
        <v>44561</v>
      </c>
      <c r="B66" s="22"/>
      <c r="C66" s="22"/>
      <c r="D66" s="22">
        <v>3000</v>
      </c>
      <c r="E66" s="22">
        <f>1284.63*2+110.61</f>
        <v>2679.8700000000003</v>
      </c>
      <c r="F66" s="22"/>
      <c r="G66" s="22"/>
      <c r="H66" s="22"/>
      <c r="I66" s="22"/>
      <c r="J66" s="14"/>
      <c r="K66" s="14"/>
      <c r="L66" s="14"/>
      <c r="M66" s="14"/>
      <c r="N66" s="14"/>
      <c r="O66" s="14"/>
      <c r="P66" s="14"/>
      <c r="Q66" s="14"/>
      <c r="R66" s="80"/>
      <c r="S66" s="14"/>
      <c r="W66" s="11">
        <v>44561</v>
      </c>
      <c r="X66" s="22"/>
      <c r="Y66" s="22"/>
      <c r="Z66" s="22"/>
      <c r="AA66" s="22"/>
      <c r="AB66" s="22"/>
      <c r="AC66" s="22"/>
      <c r="AD66" s="22"/>
      <c r="AE66" s="22"/>
      <c r="AF66" s="14"/>
      <c r="AG66" s="14"/>
      <c r="AH66" s="14"/>
      <c r="AI66" s="14"/>
      <c r="AJ66" s="14"/>
      <c r="AK66" s="14"/>
      <c r="AL66" s="14"/>
      <c r="AM66" s="14"/>
      <c r="AN66" s="80"/>
      <c r="AO66" s="14"/>
    </row>
    <row r="67">
      <c r="A67" s="74"/>
      <c r="B67" s="75">
        <f t="shared" ref="B67:R67" si="96">SUM(B36:B66)</f>
        <v>93164.839999999997</v>
      </c>
      <c r="C67" s="75">
        <f t="shared" si="96"/>
        <v>500</v>
      </c>
      <c r="D67" s="75">
        <f t="shared" si="96"/>
        <v>3000</v>
      </c>
      <c r="E67" s="75">
        <f t="shared" si="96"/>
        <v>2701.0500000000002</v>
      </c>
      <c r="F67" s="75">
        <f t="shared" si="96"/>
        <v>897.5</v>
      </c>
      <c r="G67" s="75">
        <f t="shared" si="96"/>
        <v>0</v>
      </c>
      <c r="H67" s="75">
        <f t="shared" si="96"/>
        <v>0</v>
      </c>
      <c r="I67" s="75">
        <f t="shared" si="96"/>
        <v>338</v>
      </c>
      <c r="J67" s="75">
        <f t="shared" si="96"/>
        <v>0</v>
      </c>
      <c r="K67" s="75">
        <f t="shared" si="96"/>
        <v>1000</v>
      </c>
      <c r="L67" s="75">
        <f t="shared" si="96"/>
        <v>0</v>
      </c>
      <c r="M67" s="75">
        <f t="shared" si="96"/>
        <v>0</v>
      </c>
      <c r="N67" s="75">
        <f t="shared" si="96"/>
        <v>0</v>
      </c>
      <c r="O67" s="75">
        <f t="shared" si="96"/>
        <v>0</v>
      </c>
      <c r="P67" s="75">
        <f t="shared" si="96"/>
        <v>0</v>
      </c>
      <c r="Q67" s="75">
        <f t="shared" si="96"/>
        <v>0</v>
      </c>
      <c r="R67" s="75">
        <f t="shared" si="96"/>
        <v>0</v>
      </c>
      <c r="S67" s="75">
        <f>SUM(B67:R67)</f>
        <v>101601.39</v>
      </c>
      <c r="W67" s="74"/>
      <c r="X67" s="75">
        <f t="shared" ref="X67:AN67" si="97">SUM(X36:X66)</f>
        <v>64966.699999999997</v>
      </c>
      <c r="Y67" s="75">
        <f t="shared" si="97"/>
        <v>0</v>
      </c>
      <c r="Z67" s="75">
        <f t="shared" si="97"/>
        <v>0</v>
      </c>
      <c r="AA67" s="75">
        <f t="shared" si="97"/>
        <v>0</v>
      </c>
      <c r="AB67" s="75">
        <f t="shared" si="97"/>
        <v>0</v>
      </c>
      <c r="AC67" s="75">
        <f t="shared" si="97"/>
        <v>0</v>
      </c>
      <c r="AD67" s="75">
        <f t="shared" si="97"/>
        <v>0</v>
      </c>
      <c r="AE67" s="75">
        <f t="shared" si="97"/>
        <v>0</v>
      </c>
      <c r="AF67" s="75">
        <f t="shared" si="97"/>
        <v>0</v>
      </c>
      <c r="AG67" s="75">
        <f t="shared" si="97"/>
        <v>0</v>
      </c>
      <c r="AH67" s="75">
        <f t="shared" si="97"/>
        <v>0</v>
      </c>
      <c r="AI67" s="75">
        <f t="shared" si="97"/>
        <v>0</v>
      </c>
      <c r="AJ67" s="75">
        <f t="shared" si="97"/>
        <v>0</v>
      </c>
      <c r="AK67" s="75">
        <f t="shared" si="97"/>
        <v>0</v>
      </c>
      <c r="AL67" s="75">
        <f t="shared" si="97"/>
        <v>0</v>
      </c>
      <c r="AM67" s="75">
        <f t="shared" si="97"/>
        <v>0</v>
      </c>
      <c r="AN67" s="75">
        <f t="shared" si="97"/>
        <v>0</v>
      </c>
      <c r="AO67" s="75">
        <f>SUM(X67:AN67)</f>
        <v>64966.699999999997</v>
      </c>
    </row>
    <row r="68">
      <c r="A68" s="84"/>
      <c r="B68" s="84"/>
      <c r="C68" s="84"/>
      <c r="D68" s="84"/>
      <c r="E68" s="84"/>
      <c r="F68" s="84"/>
      <c r="G68" s="84"/>
      <c r="H68" s="84"/>
      <c r="I68" s="84"/>
      <c r="J68" s="84"/>
      <c r="K68" s="84"/>
      <c r="L68" s="84"/>
      <c r="M68" s="84"/>
      <c r="N68" s="84"/>
      <c r="O68" s="84"/>
      <c r="P68" s="84"/>
      <c r="Q68" s="84"/>
      <c r="R68" s="84"/>
      <c r="S68" s="84"/>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row>
    <row r="70">
      <c r="A70" s="5" t="s">
        <v>68</v>
      </c>
      <c r="B70" s="71">
        <f>21000-344+2039+(23000-23000)-344-344+8164.1-4600-3300+(3000-3000)+80000+2000+(5500-5500)+(5650-5100)+1000+300</f>
        <v>106121.10000000001</v>
      </c>
      <c r="C70" s="5"/>
      <c r="D70" s="5"/>
      <c r="E70" s="5"/>
      <c r="F70" s="5"/>
      <c r="G70" s="5"/>
      <c r="H70" s="5"/>
      <c r="I70" s="5"/>
      <c r="J70" s="5"/>
      <c r="K70" s="5"/>
      <c r="L70" s="5"/>
      <c r="M70" s="5"/>
      <c r="N70" s="5"/>
      <c r="O70" s="5"/>
      <c r="P70" s="5"/>
      <c r="Q70" s="5"/>
      <c r="R70" s="5"/>
      <c r="S70" s="5"/>
    </row>
    <row r="71">
      <c r="A71" s="5" t="s">
        <v>76</v>
      </c>
      <c r="B71" s="5"/>
      <c r="C71" s="5"/>
      <c r="D71" s="5"/>
      <c r="E71" s="5"/>
      <c r="F71" s="5"/>
      <c r="G71" s="5"/>
      <c r="H71" s="5"/>
      <c r="I71" s="5"/>
      <c r="J71" s="5"/>
      <c r="K71" s="5"/>
      <c r="L71" s="5"/>
      <c r="M71" s="5"/>
      <c r="N71" s="5"/>
      <c r="O71" s="5"/>
      <c r="P71" s="5"/>
      <c r="Q71" s="5"/>
      <c r="R71" s="5"/>
      <c r="S71" s="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N34" zoomScale="100" workbookViewId="0">
      <selection activeCell="F21" activeCellId="0" sqref="F21"/>
    </sheetView>
  </sheetViews>
  <sheetFormatPr defaultRowHeight="14.25"/>
  <cols>
    <col bestFit="1" customWidth="1" min="1" max="1" width="11.5703125"/>
    <col customWidth="1" min="23" max="23" width="12.28515625"/>
  </cols>
  <sheetData>
    <row r="1">
      <c r="A1" s="82" t="s">
        <v>0</v>
      </c>
      <c r="B1" s="83" t="s">
        <v>70</v>
      </c>
      <c r="C1" s="83" t="s">
        <v>71</v>
      </c>
      <c r="D1" s="83" t="s">
        <v>72</v>
      </c>
      <c r="E1" s="83" t="s">
        <v>3</v>
      </c>
      <c r="F1" s="83" t="s">
        <v>4</v>
      </c>
      <c r="G1" s="83" t="s">
        <v>5</v>
      </c>
      <c r="H1" s="83" t="s">
        <v>6</v>
      </c>
      <c r="I1" s="83" t="s">
        <v>7</v>
      </c>
      <c r="J1" s="83" t="s">
        <v>8</v>
      </c>
      <c r="K1" s="83" t="s">
        <v>9</v>
      </c>
      <c r="L1" s="83" t="s">
        <v>10</v>
      </c>
      <c r="M1" s="83" t="s">
        <v>11</v>
      </c>
      <c r="N1" s="83" t="s">
        <v>12</v>
      </c>
      <c r="O1" s="83" t="s">
        <v>13</v>
      </c>
      <c r="P1" s="83" t="s">
        <v>19</v>
      </c>
      <c r="Q1" s="83" t="s">
        <v>20</v>
      </c>
      <c r="R1" s="83" t="s">
        <v>73</v>
      </c>
      <c r="S1" s="83" t="s">
        <v>62</v>
      </c>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19</v>
      </c>
      <c r="AM1" s="83" t="s">
        <v>20</v>
      </c>
      <c r="AN1" s="83" t="s">
        <v>73</v>
      </c>
      <c r="AO1" s="83" t="s">
        <v>62</v>
      </c>
    </row>
    <row r="2">
      <c r="A2" s="11">
        <v>44562</v>
      </c>
      <c r="B2" s="14"/>
      <c r="C2" s="14"/>
      <c r="D2" s="14"/>
      <c r="E2" s="14"/>
      <c r="F2" s="14"/>
      <c r="G2" s="14"/>
      <c r="H2" s="14"/>
      <c r="I2" s="14"/>
      <c r="J2" s="14"/>
      <c r="K2" s="14"/>
      <c r="L2" s="14"/>
      <c r="M2" s="14"/>
      <c r="N2" s="14"/>
      <c r="O2" s="14"/>
      <c r="P2" s="14"/>
      <c r="Q2" s="14"/>
      <c r="R2" s="14"/>
      <c r="S2" s="14"/>
      <c r="W2" s="11">
        <v>44562</v>
      </c>
      <c r="X2" s="14"/>
      <c r="Y2" s="14"/>
      <c r="Z2" s="14"/>
      <c r="AA2" s="14"/>
      <c r="AB2" s="14"/>
      <c r="AC2" s="14"/>
      <c r="AD2" s="14"/>
      <c r="AE2" s="14"/>
      <c r="AF2" s="14"/>
      <c r="AG2" s="14"/>
      <c r="AH2" s="14"/>
      <c r="AI2" s="14"/>
      <c r="AJ2" s="14"/>
      <c r="AK2" s="14"/>
      <c r="AL2" s="14"/>
      <c r="AM2" s="14"/>
      <c r="AN2" s="14"/>
      <c r="AO2" s="14"/>
    </row>
    <row r="3">
      <c r="A3" s="11">
        <v>44563</v>
      </c>
      <c r="B3" s="5"/>
      <c r="C3" s="5">
        <f>288.97</f>
        <v>288.97000000000003</v>
      </c>
      <c r="D3" s="5"/>
      <c r="E3" s="5"/>
      <c r="F3" s="5"/>
      <c r="G3" s="5"/>
      <c r="H3" s="5"/>
      <c r="I3" s="5"/>
      <c r="J3" s="5"/>
      <c r="K3" s="5"/>
      <c r="L3" s="5"/>
      <c r="M3" s="5"/>
      <c r="N3" s="5">
        <v>600</v>
      </c>
      <c r="O3" s="5"/>
      <c r="P3" s="5"/>
      <c r="Q3" s="5"/>
      <c r="R3" s="5"/>
      <c r="S3" s="5"/>
      <c r="W3" s="11">
        <v>44563</v>
      </c>
      <c r="X3" s="5"/>
      <c r="Y3" s="5"/>
      <c r="Z3" s="5"/>
      <c r="AA3" s="5"/>
      <c r="AB3" s="5"/>
      <c r="AC3" s="5"/>
      <c r="AD3" s="5"/>
      <c r="AE3" s="5"/>
      <c r="AF3" s="5"/>
      <c r="AG3" s="5"/>
      <c r="AH3" s="5"/>
      <c r="AI3" s="5"/>
      <c r="AJ3" s="5"/>
      <c r="AK3" s="5"/>
      <c r="AL3" s="5"/>
      <c r="AM3" s="5"/>
      <c r="AN3" s="5"/>
      <c r="AO3" s="5"/>
    </row>
    <row r="4">
      <c r="A4" s="11">
        <v>44564</v>
      </c>
      <c r="B4" s="14"/>
      <c r="C4" s="14">
        <v>32.899999999999999</v>
      </c>
      <c r="D4" s="14"/>
      <c r="E4" s="14"/>
      <c r="F4" s="14"/>
      <c r="G4" s="14"/>
      <c r="H4" s="14"/>
      <c r="I4" s="14"/>
      <c r="J4" s="14"/>
      <c r="K4" s="14"/>
      <c r="L4" s="14"/>
      <c r="M4" s="14"/>
      <c r="N4" s="14"/>
      <c r="O4" s="14"/>
      <c r="P4" s="14"/>
      <c r="Q4" s="14"/>
      <c r="R4" s="14"/>
      <c r="S4" s="14"/>
      <c r="W4" s="11">
        <v>44564</v>
      </c>
      <c r="X4" s="14"/>
      <c r="Y4" s="14"/>
      <c r="Z4" s="14"/>
      <c r="AA4" s="14"/>
      <c r="AB4" s="14"/>
      <c r="AC4" s="14"/>
      <c r="AD4" s="14"/>
      <c r="AE4" s="14"/>
      <c r="AF4" s="14"/>
      <c r="AG4" s="14"/>
      <c r="AH4" s="14"/>
      <c r="AI4" s="14"/>
      <c r="AJ4" s="14"/>
      <c r="AK4" s="14"/>
      <c r="AL4" s="14"/>
      <c r="AM4" s="14"/>
      <c r="AN4" s="14"/>
      <c r="AO4" s="14"/>
    </row>
    <row r="5">
      <c r="A5" s="11">
        <v>44565</v>
      </c>
      <c r="B5" s="5"/>
      <c r="C5" s="5"/>
      <c r="D5" s="5"/>
      <c r="E5" s="5"/>
      <c r="F5" s="5"/>
      <c r="G5" s="5"/>
      <c r="H5" s="5"/>
      <c r="I5" s="5"/>
      <c r="J5" s="5">
        <v>89.099999999999994</v>
      </c>
      <c r="K5" s="5"/>
      <c r="L5" s="5"/>
      <c r="M5" s="5"/>
      <c r="N5" s="5"/>
      <c r="O5" s="5"/>
      <c r="P5" s="5"/>
      <c r="Q5" s="5"/>
      <c r="R5" s="5"/>
      <c r="S5" s="5">
        <v>320</v>
      </c>
      <c r="W5" s="11">
        <v>44565</v>
      </c>
      <c r="X5" s="5"/>
      <c r="Y5" s="5"/>
      <c r="Z5" s="5"/>
      <c r="AA5" s="5"/>
      <c r="AB5" s="5"/>
      <c r="AC5" s="5"/>
      <c r="AD5" s="5"/>
      <c r="AE5" s="5"/>
      <c r="AF5" s="5"/>
      <c r="AG5" s="5"/>
      <c r="AH5" s="5"/>
      <c r="AI5" s="5"/>
      <c r="AJ5" s="5"/>
      <c r="AK5" s="5"/>
      <c r="AL5" s="5"/>
      <c r="AM5" s="5"/>
      <c r="AN5" s="5"/>
      <c r="AO5" s="5"/>
    </row>
    <row r="6">
      <c r="A6" s="11">
        <v>44566</v>
      </c>
      <c r="B6" s="14"/>
      <c r="C6" s="14"/>
      <c r="D6" s="14"/>
      <c r="E6" s="14"/>
      <c r="F6" s="14"/>
      <c r="G6" s="14"/>
      <c r="H6" s="14"/>
      <c r="I6" s="14"/>
      <c r="J6" s="14">
        <v>994</v>
      </c>
      <c r="K6" s="14"/>
      <c r="L6" s="14"/>
      <c r="M6" s="14"/>
      <c r="N6" s="14"/>
      <c r="O6" s="14"/>
      <c r="P6" s="14"/>
      <c r="Q6" s="14"/>
      <c r="R6" s="14"/>
      <c r="S6" s="14"/>
      <c r="W6" s="11">
        <v>44566</v>
      </c>
      <c r="X6" s="14"/>
      <c r="Y6" s="14"/>
      <c r="Z6" s="14"/>
      <c r="AA6" s="14"/>
      <c r="AB6" s="14"/>
      <c r="AC6" s="14"/>
      <c r="AD6" s="14"/>
      <c r="AE6" s="14"/>
      <c r="AF6" s="14"/>
      <c r="AG6" s="14"/>
      <c r="AH6" s="14"/>
      <c r="AI6" s="14"/>
      <c r="AJ6" s="14"/>
      <c r="AK6" s="14"/>
      <c r="AL6" s="14"/>
      <c r="AM6" s="14"/>
      <c r="AN6" s="14"/>
      <c r="AO6" s="14"/>
    </row>
    <row r="7">
      <c r="A7" s="11">
        <v>44567</v>
      </c>
      <c r="B7" s="5"/>
      <c r="C7" s="5"/>
      <c r="D7" s="5"/>
      <c r="E7" s="5"/>
      <c r="F7" s="5"/>
      <c r="G7" s="5"/>
      <c r="H7" s="5"/>
      <c r="I7" s="5"/>
      <c r="J7" s="5"/>
      <c r="K7" s="5"/>
      <c r="L7" s="5"/>
      <c r="M7" s="5"/>
      <c r="N7" s="5"/>
      <c r="O7" s="5"/>
      <c r="P7" s="5"/>
      <c r="Q7" s="5"/>
      <c r="R7" s="5"/>
      <c r="S7" s="5"/>
      <c r="W7" s="11">
        <v>44567</v>
      </c>
      <c r="X7" s="5"/>
      <c r="Y7" s="5"/>
      <c r="Z7" s="5"/>
      <c r="AA7" s="5"/>
      <c r="AB7" s="5"/>
      <c r="AC7" s="5"/>
      <c r="AD7" s="5"/>
      <c r="AE7" s="5"/>
      <c r="AF7" s="5"/>
      <c r="AG7" s="5"/>
      <c r="AH7" s="5"/>
      <c r="AI7" s="5"/>
      <c r="AJ7" s="5"/>
      <c r="AK7" s="5"/>
      <c r="AL7" s="5"/>
      <c r="AM7" s="5"/>
      <c r="AN7" s="5"/>
      <c r="AO7" s="5"/>
    </row>
    <row r="8">
      <c r="A8" s="11">
        <v>44568</v>
      </c>
      <c r="B8" s="14"/>
      <c r="C8" s="14">
        <v>850.22000000000003</v>
      </c>
      <c r="D8" s="14"/>
      <c r="E8" s="14"/>
      <c r="F8" s="14"/>
      <c r="G8" s="14"/>
      <c r="H8" s="14"/>
      <c r="I8" s="14"/>
      <c r="J8" s="14"/>
      <c r="K8" s="14"/>
      <c r="L8" s="14"/>
      <c r="M8" s="14"/>
      <c r="N8" s="14"/>
      <c r="O8" s="14"/>
      <c r="P8" s="14"/>
      <c r="Q8" s="14"/>
      <c r="R8" s="14"/>
      <c r="S8" s="14"/>
      <c r="W8" s="11">
        <v>44568</v>
      </c>
      <c r="X8" s="14"/>
      <c r="Y8" s="14"/>
      <c r="Z8" s="14"/>
      <c r="AA8" s="14"/>
      <c r="AB8" s="14"/>
      <c r="AC8" s="14"/>
      <c r="AD8" s="14"/>
      <c r="AE8" s="14"/>
      <c r="AF8" s="14"/>
      <c r="AG8" s="14"/>
      <c r="AH8" s="14"/>
      <c r="AI8" s="14"/>
      <c r="AJ8" s="14"/>
      <c r="AK8" s="14"/>
      <c r="AL8" s="14"/>
      <c r="AM8" s="14"/>
      <c r="AN8" s="14"/>
      <c r="AO8" s="14"/>
    </row>
    <row r="9">
      <c r="A9" s="11">
        <v>44569</v>
      </c>
      <c r="B9" s="5"/>
      <c r="C9" s="5">
        <v>304.95999999999998</v>
      </c>
      <c r="D9" s="5"/>
      <c r="E9" s="5"/>
      <c r="F9" s="5"/>
      <c r="G9" s="5"/>
      <c r="H9" s="5"/>
      <c r="I9" s="5"/>
      <c r="J9" s="5"/>
      <c r="K9" s="5"/>
      <c r="L9" s="5"/>
      <c r="M9" s="5"/>
      <c r="N9" s="5"/>
      <c r="O9" s="5"/>
      <c r="P9" s="5"/>
      <c r="Q9" s="5"/>
      <c r="R9" s="5"/>
      <c r="S9" s="5"/>
      <c r="W9" s="11">
        <v>44569</v>
      </c>
      <c r="X9" s="5"/>
      <c r="Y9" s="5"/>
      <c r="Z9" s="5"/>
      <c r="AA9" s="5"/>
      <c r="AB9" s="5"/>
      <c r="AC9" s="5"/>
      <c r="AD9" s="5"/>
      <c r="AE9" s="5"/>
      <c r="AF9" s="5"/>
      <c r="AG9" s="5"/>
      <c r="AH9" s="5"/>
      <c r="AI9" s="5"/>
      <c r="AJ9" s="5"/>
      <c r="AK9" s="5"/>
      <c r="AL9" s="5"/>
      <c r="AM9" s="5"/>
      <c r="AN9" s="5"/>
      <c r="AO9" s="5"/>
    </row>
    <row r="10">
      <c r="A10" s="11">
        <v>44570</v>
      </c>
      <c r="B10" s="14"/>
      <c r="C10" s="14"/>
      <c r="D10" s="14"/>
      <c r="E10" s="14"/>
      <c r="F10" s="14"/>
      <c r="G10" s="14"/>
      <c r="H10" s="14"/>
      <c r="I10" s="14"/>
      <c r="J10" s="14"/>
      <c r="K10" s="14"/>
      <c r="L10" s="14"/>
      <c r="M10" s="14"/>
      <c r="N10" s="14"/>
      <c r="O10" s="14"/>
      <c r="P10" s="14"/>
      <c r="Q10" s="14"/>
      <c r="R10" s="14"/>
      <c r="S10" s="14"/>
      <c r="W10" s="11">
        <v>44570</v>
      </c>
      <c r="X10" s="14"/>
      <c r="Y10" s="14"/>
      <c r="Z10" s="14"/>
      <c r="AA10" s="14"/>
      <c r="AB10" s="14"/>
      <c r="AC10" s="14"/>
      <c r="AD10" s="14"/>
      <c r="AE10" s="14"/>
      <c r="AF10" s="14"/>
      <c r="AG10" s="14"/>
      <c r="AH10" s="14"/>
      <c r="AI10" s="14"/>
      <c r="AJ10" s="14"/>
      <c r="AK10" s="14"/>
      <c r="AL10" s="14"/>
      <c r="AM10" s="14"/>
      <c r="AN10" s="14"/>
      <c r="AO10" s="14"/>
    </row>
    <row r="11">
      <c r="A11" s="11">
        <v>44571</v>
      </c>
      <c r="B11" s="5"/>
      <c r="C11" s="5">
        <v>500.23000000000002</v>
      </c>
      <c r="D11" s="5">
        <v>195</v>
      </c>
      <c r="E11" s="5"/>
      <c r="F11" s="5"/>
      <c r="G11" s="5"/>
      <c r="H11" s="5"/>
      <c r="I11" s="5"/>
      <c r="J11" s="5"/>
      <c r="K11" s="5"/>
      <c r="L11" s="5"/>
      <c r="M11" s="5"/>
      <c r="N11" s="5"/>
      <c r="O11" s="5"/>
      <c r="P11" s="5"/>
      <c r="Q11" s="5"/>
      <c r="R11" s="5"/>
      <c r="S11" s="5"/>
      <c r="W11" s="11">
        <v>44571</v>
      </c>
      <c r="X11" s="5"/>
      <c r="Y11" s="5"/>
      <c r="Z11" s="5"/>
      <c r="AA11" s="5"/>
      <c r="AB11" s="5"/>
      <c r="AC11" s="5"/>
      <c r="AD11" s="5"/>
      <c r="AE11" s="5"/>
      <c r="AF11" s="5"/>
      <c r="AG11" s="5"/>
      <c r="AH11" s="5"/>
      <c r="AI11" s="5"/>
      <c r="AJ11" s="5"/>
      <c r="AK11" s="5"/>
      <c r="AL11" s="5"/>
      <c r="AM11" s="5"/>
      <c r="AN11" s="5"/>
      <c r="AO11" s="5"/>
    </row>
    <row r="12">
      <c r="A12" s="11">
        <v>44572</v>
      </c>
      <c r="B12" s="14"/>
      <c r="C12" s="14">
        <v>740.84000000000003</v>
      </c>
      <c r="D12" s="14">
        <v>121</v>
      </c>
      <c r="E12" s="14"/>
      <c r="F12" s="14"/>
      <c r="G12" s="14"/>
      <c r="H12" s="14"/>
      <c r="I12" s="14"/>
      <c r="J12" s="14"/>
      <c r="K12" s="14"/>
      <c r="L12" s="14"/>
      <c r="M12" s="14"/>
      <c r="N12" s="14"/>
      <c r="O12" s="14"/>
      <c r="P12" s="14"/>
      <c r="Q12" s="14"/>
      <c r="R12" s="14"/>
      <c r="S12" s="14"/>
      <c r="W12" s="11">
        <v>44572</v>
      </c>
      <c r="X12" s="14"/>
      <c r="Y12" s="14"/>
      <c r="Z12" s="14"/>
      <c r="AA12" s="14"/>
      <c r="AB12" s="14"/>
      <c r="AC12" s="14"/>
      <c r="AD12" s="14"/>
      <c r="AE12" s="14"/>
      <c r="AF12" s="14"/>
      <c r="AG12" s="14"/>
      <c r="AH12" s="14"/>
      <c r="AI12" s="14"/>
      <c r="AJ12" s="14"/>
      <c r="AK12" s="14"/>
      <c r="AL12" s="14"/>
      <c r="AM12" s="14"/>
      <c r="AN12" s="14"/>
      <c r="AO12" s="14"/>
    </row>
    <row r="13">
      <c r="A13" s="11">
        <v>44573</v>
      </c>
      <c r="B13" s="5"/>
      <c r="C13" s="5"/>
      <c r="D13" s="5">
        <v>154</v>
      </c>
      <c r="E13" s="5"/>
      <c r="F13" s="5"/>
      <c r="G13" s="5"/>
      <c r="H13" s="5"/>
      <c r="I13" s="5"/>
      <c r="J13" s="5"/>
      <c r="K13" s="5"/>
      <c r="L13" s="5"/>
      <c r="M13" s="5"/>
      <c r="N13" s="5"/>
      <c r="O13" s="5"/>
      <c r="P13" s="5"/>
      <c r="Q13" s="5"/>
      <c r="R13" s="5"/>
      <c r="S13" s="5"/>
      <c r="W13" s="11">
        <v>44573</v>
      </c>
      <c r="X13" s="5"/>
      <c r="Y13" s="5"/>
      <c r="Z13" s="5"/>
      <c r="AA13" s="5"/>
      <c r="AB13" s="5"/>
      <c r="AC13" s="5"/>
      <c r="AD13" s="5"/>
      <c r="AE13" s="5"/>
      <c r="AF13" s="5"/>
      <c r="AG13" s="5"/>
      <c r="AH13" s="5"/>
      <c r="AI13" s="5"/>
      <c r="AJ13" s="5"/>
      <c r="AK13" s="5"/>
      <c r="AL13" s="5"/>
      <c r="AM13" s="5"/>
      <c r="AN13" s="5"/>
      <c r="AO13" s="5"/>
    </row>
    <row r="14">
      <c r="A14" s="11">
        <v>44574</v>
      </c>
      <c r="B14" s="14"/>
      <c r="C14" s="14"/>
      <c r="D14" s="14">
        <v>89</v>
      </c>
      <c r="E14" s="14"/>
      <c r="F14" s="14"/>
      <c r="G14" s="14"/>
      <c r="H14" s="14"/>
      <c r="I14" s="14"/>
      <c r="J14" s="14"/>
      <c r="K14" s="14"/>
      <c r="L14" s="14"/>
      <c r="M14" s="14"/>
      <c r="N14" s="14"/>
      <c r="O14" s="14"/>
      <c r="P14" s="14"/>
      <c r="Q14" s="14"/>
      <c r="R14" s="14"/>
      <c r="S14" s="14"/>
      <c r="W14" s="11">
        <v>44574</v>
      </c>
      <c r="X14" s="14"/>
      <c r="Y14" s="14"/>
      <c r="Z14" s="14"/>
      <c r="AA14" s="14"/>
      <c r="AB14" s="14"/>
      <c r="AC14" s="14"/>
      <c r="AD14" s="14"/>
      <c r="AE14" s="14"/>
      <c r="AF14" s="14"/>
      <c r="AG14" s="14"/>
      <c r="AH14" s="14"/>
      <c r="AI14" s="14"/>
      <c r="AJ14" s="14"/>
      <c r="AK14" s="14"/>
      <c r="AL14" s="14"/>
      <c r="AM14" s="14"/>
      <c r="AN14" s="14"/>
      <c r="AO14" s="14"/>
    </row>
    <row r="15">
      <c r="A15" s="11">
        <v>44575</v>
      </c>
      <c r="B15" s="5"/>
      <c r="C15" s="5">
        <v>288.95999999999998</v>
      </c>
      <c r="D15" s="5">
        <f>56+68</f>
        <v>124</v>
      </c>
      <c r="E15" s="5"/>
      <c r="F15" s="5"/>
      <c r="G15" s="5"/>
      <c r="H15" s="5"/>
      <c r="I15" s="5"/>
      <c r="J15" s="5"/>
      <c r="K15" s="5"/>
      <c r="L15" s="5"/>
      <c r="M15" s="5"/>
      <c r="N15" s="5"/>
      <c r="O15" s="5"/>
      <c r="P15" s="5"/>
      <c r="Q15" s="5"/>
      <c r="R15" s="5"/>
      <c r="S15" s="5"/>
      <c r="W15" s="11">
        <v>44575</v>
      </c>
      <c r="X15" s="5"/>
      <c r="Y15" s="5"/>
      <c r="Z15" s="5"/>
      <c r="AA15" s="5"/>
      <c r="AB15" s="5"/>
      <c r="AC15" s="5"/>
      <c r="AD15" s="5"/>
      <c r="AE15" s="5"/>
      <c r="AF15" s="5"/>
      <c r="AG15" s="5"/>
      <c r="AH15" s="5"/>
      <c r="AI15" s="5"/>
      <c r="AJ15" s="5"/>
      <c r="AK15" s="5"/>
      <c r="AL15" s="5"/>
      <c r="AM15" s="5"/>
      <c r="AN15" s="5"/>
      <c r="AO15" s="5"/>
    </row>
    <row r="16">
      <c r="A16" s="11">
        <v>44576</v>
      </c>
      <c r="B16" s="14"/>
      <c r="C16" s="14"/>
      <c r="D16" s="14"/>
      <c r="E16" s="14">
        <f>303+339</f>
        <v>642</v>
      </c>
      <c r="F16" s="14"/>
      <c r="G16" s="14"/>
      <c r="H16" s="14"/>
      <c r="I16" s="14"/>
      <c r="J16" s="14"/>
      <c r="K16" s="14"/>
      <c r="L16" s="14"/>
      <c r="M16" s="14"/>
      <c r="N16" s="14"/>
      <c r="O16" s="14"/>
      <c r="P16" s="14"/>
      <c r="Q16" s="14"/>
      <c r="R16" s="14"/>
      <c r="S16" s="14"/>
      <c r="W16" s="11">
        <v>44576</v>
      </c>
      <c r="X16" s="14"/>
      <c r="Y16" s="14"/>
      <c r="Z16" s="14"/>
      <c r="AA16" s="14"/>
      <c r="AB16" s="14"/>
      <c r="AC16" s="14"/>
      <c r="AD16" s="14"/>
      <c r="AE16" s="14"/>
      <c r="AF16" s="14"/>
      <c r="AG16" s="14"/>
      <c r="AH16" s="14"/>
      <c r="AI16" s="14"/>
      <c r="AJ16" s="14"/>
      <c r="AK16" s="14"/>
      <c r="AL16" s="14"/>
      <c r="AM16" s="14"/>
      <c r="AN16" s="14"/>
      <c r="AO16" s="14"/>
    </row>
    <row r="17">
      <c r="A17" s="11">
        <v>44577</v>
      </c>
      <c r="B17" s="5"/>
      <c r="C17" s="5"/>
      <c r="D17" s="5"/>
      <c r="E17" s="5"/>
      <c r="F17" s="5"/>
      <c r="G17" s="5"/>
      <c r="H17" s="5"/>
      <c r="I17" s="5">
        <v>1216</v>
      </c>
      <c r="J17" s="5"/>
      <c r="K17" s="5"/>
      <c r="L17" s="5"/>
      <c r="M17" s="5"/>
      <c r="N17" s="5"/>
      <c r="O17" s="5"/>
      <c r="P17" s="5"/>
      <c r="Q17" s="5"/>
      <c r="R17" s="5"/>
      <c r="S17" s="5"/>
      <c r="W17" s="11">
        <v>44577</v>
      </c>
      <c r="X17" s="5"/>
      <c r="Y17" s="5"/>
      <c r="Z17" s="5"/>
      <c r="AA17" s="5"/>
      <c r="AB17" s="5"/>
      <c r="AC17" s="5"/>
      <c r="AD17" s="5"/>
      <c r="AE17" s="5"/>
      <c r="AF17" s="5"/>
      <c r="AG17" s="5"/>
      <c r="AH17" s="5"/>
      <c r="AI17" s="5"/>
      <c r="AJ17" s="5"/>
      <c r="AK17" s="5"/>
      <c r="AL17" s="5"/>
      <c r="AM17" s="5"/>
      <c r="AN17" s="5"/>
      <c r="AO17" s="5"/>
    </row>
    <row r="18">
      <c r="A18" s="11">
        <v>44578</v>
      </c>
      <c r="B18" s="14"/>
      <c r="C18" s="14"/>
      <c r="D18" s="14">
        <v>103</v>
      </c>
      <c r="E18" s="14"/>
      <c r="F18" s="14"/>
      <c r="G18" s="14"/>
      <c r="H18" s="14"/>
      <c r="I18" s="14"/>
      <c r="J18" s="14"/>
      <c r="K18" s="14"/>
      <c r="L18" s="14"/>
      <c r="M18" s="14"/>
      <c r="N18" s="14"/>
      <c r="O18" s="14"/>
      <c r="P18" s="14"/>
      <c r="Q18" s="14"/>
      <c r="R18" s="14"/>
      <c r="S18" s="14"/>
      <c r="W18" s="11">
        <v>44578</v>
      </c>
      <c r="X18" s="14"/>
      <c r="Y18" s="14"/>
      <c r="Z18" s="14"/>
      <c r="AA18" s="14"/>
      <c r="AB18" s="14"/>
      <c r="AC18" s="14"/>
      <c r="AD18" s="14"/>
      <c r="AE18" s="14"/>
      <c r="AF18" s="14"/>
      <c r="AG18" s="14"/>
      <c r="AH18" s="14"/>
      <c r="AI18" s="14"/>
      <c r="AJ18" s="14"/>
      <c r="AK18" s="14"/>
      <c r="AL18" s="14"/>
      <c r="AM18" s="14"/>
      <c r="AN18" s="14"/>
      <c r="AO18" s="14"/>
    </row>
    <row r="19">
      <c r="A19" s="11">
        <v>44579</v>
      </c>
      <c r="B19" s="5"/>
      <c r="C19" s="5"/>
      <c r="D19" s="5">
        <v>93</v>
      </c>
      <c r="E19" s="5"/>
      <c r="F19" s="5"/>
      <c r="G19" s="5"/>
      <c r="H19" s="5"/>
      <c r="I19" s="5"/>
      <c r="J19" s="5"/>
      <c r="K19" s="5"/>
      <c r="L19" s="5"/>
      <c r="M19" s="5"/>
      <c r="N19" s="5"/>
      <c r="O19" s="5"/>
      <c r="P19" s="5"/>
      <c r="Q19" s="5"/>
      <c r="R19" s="5"/>
      <c r="S19" s="5"/>
      <c r="W19" s="11">
        <v>44579</v>
      </c>
      <c r="X19" s="5"/>
      <c r="Y19" s="5"/>
      <c r="Z19" s="5"/>
      <c r="AA19" s="5"/>
      <c r="AB19" s="5"/>
      <c r="AC19" s="5"/>
      <c r="AD19" s="5"/>
      <c r="AE19" s="5"/>
      <c r="AF19" s="5"/>
      <c r="AG19" s="5"/>
      <c r="AH19" s="5"/>
      <c r="AI19" s="5"/>
      <c r="AJ19" s="5"/>
      <c r="AK19" s="5"/>
      <c r="AL19" s="5"/>
      <c r="AM19" s="5"/>
      <c r="AN19" s="5"/>
      <c r="AO19" s="5"/>
    </row>
    <row r="20">
      <c r="A20" s="11">
        <v>44580</v>
      </c>
      <c r="B20" s="14"/>
      <c r="C20" s="14">
        <v>148</v>
      </c>
      <c r="D20" s="14">
        <v>102</v>
      </c>
      <c r="E20" s="14"/>
      <c r="F20" s="14"/>
      <c r="G20" s="14"/>
      <c r="H20" s="14"/>
      <c r="I20" s="14"/>
      <c r="J20" s="14"/>
      <c r="K20" s="14"/>
      <c r="L20" s="14"/>
      <c r="M20" s="14"/>
      <c r="N20" s="14"/>
      <c r="O20" s="14"/>
      <c r="P20" s="34"/>
      <c r="Q20" s="14"/>
      <c r="R20" s="14"/>
      <c r="S20" s="14"/>
      <c r="W20" s="11">
        <v>44580</v>
      </c>
      <c r="X20" s="14"/>
      <c r="Y20" s="14"/>
      <c r="Z20" s="14"/>
      <c r="AA20" s="14"/>
      <c r="AB20" s="14"/>
      <c r="AC20" s="14"/>
      <c r="AD20" s="14"/>
      <c r="AE20" s="14"/>
      <c r="AF20" s="14"/>
      <c r="AG20" s="14"/>
      <c r="AH20" s="14"/>
      <c r="AI20" s="14"/>
      <c r="AJ20" s="14"/>
      <c r="AK20" s="14"/>
      <c r="AL20" s="34"/>
      <c r="AM20" s="14"/>
      <c r="AN20" s="14"/>
      <c r="AO20" s="14"/>
    </row>
    <row r="21">
      <c r="A21" s="11">
        <v>44581</v>
      </c>
      <c r="B21" s="69"/>
      <c r="C21" s="5">
        <v>99.900000000000006</v>
      </c>
      <c r="D21" s="5">
        <v>51</v>
      </c>
      <c r="E21" s="5"/>
      <c r="F21" s="5">
        <v>1300</v>
      </c>
      <c r="G21" s="5"/>
      <c r="H21" s="5"/>
      <c r="I21" s="5"/>
      <c r="J21" s="5"/>
      <c r="K21" s="5"/>
      <c r="L21" s="5"/>
      <c r="M21" s="5"/>
      <c r="N21" s="5"/>
      <c r="O21" s="5"/>
      <c r="P21" s="5"/>
      <c r="Q21" s="5"/>
      <c r="R21" s="5"/>
      <c r="S21" s="5"/>
      <c r="W21" s="11">
        <v>44581</v>
      </c>
      <c r="X21" s="69"/>
      <c r="Y21" s="5"/>
      <c r="Z21" s="5"/>
      <c r="AA21" s="5"/>
      <c r="AB21" s="5"/>
      <c r="AC21" s="5"/>
      <c r="AD21" s="5"/>
      <c r="AE21" s="5"/>
      <c r="AF21" s="5"/>
      <c r="AG21" s="5"/>
      <c r="AH21" s="5"/>
      <c r="AI21" s="5"/>
      <c r="AJ21" s="5"/>
      <c r="AK21" s="5"/>
      <c r="AL21" s="5"/>
      <c r="AM21" s="5"/>
      <c r="AN21" s="5"/>
      <c r="AO21" s="5"/>
    </row>
    <row r="22">
      <c r="A22" s="11">
        <v>44582</v>
      </c>
      <c r="B22" s="22"/>
      <c r="C22" s="14">
        <v>73.989999999999995</v>
      </c>
      <c r="D22" s="14">
        <v>119</v>
      </c>
      <c r="E22" s="14">
        <v>620</v>
      </c>
      <c r="F22" s="14"/>
      <c r="G22" s="14"/>
      <c r="H22" s="14"/>
      <c r="I22" s="14"/>
      <c r="J22" s="14">
        <v>26.989999999999998</v>
      </c>
      <c r="K22" s="14"/>
      <c r="L22" s="14"/>
      <c r="M22" s="14">
        <v>1640</v>
      </c>
      <c r="N22" s="14"/>
      <c r="O22" s="14"/>
      <c r="P22" s="14"/>
      <c r="Q22" s="14"/>
      <c r="R22" s="14"/>
      <c r="S22" s="14"/>
      <c r="W22" s="11">
        <v>44582</v>
      </c>
      <c r="X22" s="22"/>
      <c r="Y22" s="14"/>
      <c r="Z22" s="14"/>
      <c r="AA22" s="14"/>
      <c r="AB22" s="14"/>
      <c r="AC22" s="14"/>
      <c r="AD22" s="14"/>
      <c r="AE22" s="14"/>
      <c r="AF22" s="14"/>
      <c r="AG22" s="14"/>
      <c r="AH22" s="14"/>
      <c r="AI22" s="14"/>
      <c r="AJ22" s="14"/>
      <c r="AK22" s="14"/>
      <c r="AL22" s="14"/>
      <c r="AM22" s="14"/>
      <c r="AN22" s="14"/>
      <c r="AO22" s="14"/>
    </row>
    <row r="23">
      <c r="A23" s="11">
        <v>44583</v>
      </c>
      <c r="B23" s="5"/>
      <c r="C23" s="5">
        <f>132.99+454.78</f>
        <v>587.76999999999998</v>
      </c>
      <c r="D23" s="5"/>
      <c r="E23" s="5"/>
      <c r="F23" s="5"/>
      <c r="G23" s="5"/>
      <c r="H23" s="5"/>
      <c r="I23" s="5"/>
      <c r="J23" s="5"/>
      <c r="K23" s="5"/>
      <c r="L23" s="5"/>
      <c r="M23" s="5"/>
      <c r="N23" s="5"/>
      <c r="O23" s="5"/>
      <c r="P23" s="5"/>
      <c r="Q23" s="5"/>
      <c r="R23" s="5"/>
      <c r="S23" s="5"/>
      <c r="W23" s="11">
        <v>44583</v>
      </c>
      <c r="X23" s="5"/>
      <c r="Y23" s="5"/>
      <c r="Z23" s="5"/>
      <c r="AA23" s="5"/>
      <c r="AB23" s="5"/>
      <c r="AC23" s="5"/>
      <c r="AD23" s="5"/>
      <c r="AE23" s="5"/>
      <c r="AF23" s="5"/>
      <c r="AG23" s="5"/>
      <c r="AH23" s="5"/>
      <c r="AI23" s="5"/>
      <c r="AJ23" s="5"/>
      <c r="AK23" s="5"/>
      <c r="AL23" s="5"/>
      <c r="AM23" s="5"/>
      <c r="AN23" s="5"/>
      <c r="AO23" s="5"/>
    </row>
    <row r="24">
      <c r="A24" s="11">
        <v>44584</v>
      </c>
      <c r="B24" s="14"/>
      <c r="C24" s="14"/>
      <c r="D24" s="14"/>
      <c r="E24" s="14"/>
      <c r="F24" s="14"/>
      <c r="G24" s="14"/>
      <c r="H24" s="14"/>
      <c r="I24" s="14"/>
      <c r="J24" s="14"/>
      <c r="K24" s="14"/>
      <c r="L24" s="14"/>
      <c r="M24" s="14"/>
      <c r="N24" s="14"/>
      <c r="O24" s="14"/>
      <c r="P24" s="14"/>
      <c r="Q24" s="14"/>
      <c r="R24" s="14"/>
      <c r="S24" s="14"/>
      <c r="W24" s="11">
        <v>44584</v>
      </c>
      <c r="X24" s="14"/>
      <c r="Y24" s="14"/>
      <c r="Z24" s="14"/>
      <c r="AA24" s="14"/>
      <c r="AB24" s="14"/>
      <c r="AC24" s="14"/>
      <c r="AD24" s="14"/>
      <c r="AE24" s="14"/>
      <c r="AF24" s="14"/>
      <c r="AG24" s="14"/>
      <c r="AH24" s="14"/>
      <c r="AI24" s="14"/>
      <c r="AJ24" s="14"/>
      <c r="AK24" s="14"/>
      <c r="AL24" s="14"/>
      <c r="AM24" s="14"/>
      <c r="AN24" s="14"/>
      <c r="AO24" s="14"/>
    </row>
    <row r="25">
      <c r="A25" s="11">
        <v>44585</v>
      </c>
      <c r="B25" s="28"/>
      <c r="C25" s="5"/>
      <c r="D25" s="5">
        <v>145</v>
      </c>
      <c r="E25" s="5"/>
      <c r="F25" s="5"/>
      <c r="G25" s="5"/>
      <c r="H25" s="5"/>
      <c r="I25" s="5"/>
      <c r="J25" s="5"/>
      <c r="K25" s="5"/>
      <c r="L25" s="5"/>
      <c r="M25" s="5"/>
      <c r="N25" s="5"/>
      <c r="O25" s="5"/>
      <c r="P25" s="5"/>
      <c r="Q25" s="5"/>
      <c r="R25" s="5"/>
      <c r="S25" s="5"/>
      <c r="W25" s="11">
        <v>44585</v>
      </c>
      <c r="X25" s="28"/>
      <c r="Y25" s="5"/>
      <c r="Z25" s="5"/>
      <c r="AA25" s="5"/>
      <c r="AB25" s="5"/>
      <c r="AC25" s="5"/>
      <c r="AD25" s="5"/>
      <c r="AE25" s="5"/>
      <c r="AF25" s="5"/>
      <c r="AG25" s="5"/>
      <c r="AH25" s="5"/>
      <c r="AI25" s="5"/>
      <c r="AJ25" s="5"/>
      <c r="AK25" s="5"/>
      <c r="AL25" s="5"/>
      <c r="AM25" s="5"/>
      <c r="AN25" s="5"/>
      <c r="AO25" s="5"/>
    </row>
    <row r="26">
      <c r="A26" s="11">
        <v>44586</v>
      </c>
      <c r="B26" s="14"/>
      <c r="C26" s="14">
        <v>261.07999999999998</v>
      </c>
      <c r="D26" s="14">
        <v>77</v>
      </c>
      <c r="E26" s="14"/>
      <c r="F26" s="14"/>
      <c r="G26" s="14"/>
      <c r="H26" s="14"/>
      <c r="I26" s="14"/>
      <c r="J26" s="14"/>
      <c r="K26" s="14"/>
      <c r="L26" s="14"/>
      <c r="M26" s="14"/>
      <c r="N26" s="14"/>
      <c r="O26" s="14"/>
      <c r="P26" s="14"/>
      <c r="Q26" s="14"/>
      <c r="R26" s="14"/>
      <c r="S26" s="14"/>
      <c r="W26" s="11">
        <v>44586</v>
      </c>
      <c r="X26" s="14"/>
      <c r="Y26" s="14"/>
      <c r="Z26" s="14"/>
      <c r="AA26" s="14"/>
      <c r="AB26" s="14"/>
      <c r="AC26" s="14"/>
      <c r="AD26" s="14"/>
      <c r="AE26" s="14"/>
      <c r="AF26" s="14"/>
      <c r="AG26" s="14"/>
      <c r="AH26" s="14"/>
      <c r="AI26" s="14"/>
      <c r="AJ26" s="14"/>
      <c r="AK26" s="14"/>
      <c r="AL26" s="14"/>
      <c r="AM26" s="14"/>
      <c r="AN26" s="14"/>
      <c r="AO26" s="14"/>
    </row>
    <row r="27">
      <c r="A27" s="11">
        <v>44587</v>
      </c>
      <c r="B27" s="5"/>
      <c r="C27" s="5"/>
      <c r="D27" s="5">
        <v>117</v>
      </c>
      <c r="E27" s="5"/>
      <c r="F27" s="5"/>
      <c r="G27" s="5"/>
      <c r="H27" s="5"/>
      <c r="I27" s="5"/>
      <c r="J27" s="5"/>
      <c r="K27" s="5"/>
      <c r="L27" s="5"/>
      <c r="M27" s="5"/>
      <c r="N27" s="5"/>
      <c r="O27" s="5"/>
      <c r="P27" s="5"/>
      <c r="Q27" s="5"/>
      <c r="R27" s="5"/>
      <c r="S27" s="5"/>
      <c r="W27" s="11">
        <v>44587</v>
      </c>
      <c r="X27" s="5"/>
      <c r="Y27" s="5"/>
      <c r="Z27" s="5"/>
      <c r="AA27" s="5"/>
      <c r="AB27" s="5"/>
      <c r="AC27" s="5"/>
      <c r="AD27" s="5"/>
      <c r="AE27" s="5"/>
      <c r="AF27" s="5"/>
      <c r="AG27" s="5"/>
      <c r="AH27" s="5"/>
      <c r="AI27" s="5"/>
      <c r="AJ27" s="5"/>
      <c r="AK27" s="5"/>
      <c r="AL27" s="5"/>
      <c r="AM27" s="5"/>
      <c r="AN27" s="5"/>
      <c r="AO27" s="5"/>
    </row>
    <row r="28">
      <c r="A28" s="11">
        <v>44588</v>
      </c>
      <c r="B28" s="14"/>
      <c r="C28" s="14">
        <f>189.51+284.91</f>
        <v>474.42000000000002</v>
      </c>
      <c r="D28" s="14">
        <f>56+40</f>
        <v>96</v>
      </c>
      <c r="E28" s="14"/>
      <c r="F28" s="14"/>
      <c r="G28" s="14"/>
      <c r="H28" s="14"/>
      <c r="I28" s="14"/>
      <c r="J28" s="14">
        <v>309.98000000000002</v>
      </c>
      <c r="K28" s="14"/>
      <c r="L28" s="14"/>
      <c r="M28" s="14"/>
      <c r="N28" s="14"/>
      <c r="O28" s="14"/>
      <c r="P28" s="14"/>
      <c r="Q28" s="14"/>
      <c r="R28" s="14"/>
      <c r="S28" s="14"/>
      <c r="W28" s="11">
        <v>44588</v>
      </c>
      <c r="X28" s="14"/>
      <c r="Y28" s="14"/>
      <c r="Z28" s="14"/>
      <c r="AA28" s="14"/>
      <c r="AB28" s="14"/>
      <c r="AC28" s="14"/>
      <c r="AD28" s="14"/>
      <c r="AE28" s="14"/>
      <c r="AF28" s="14"/>
      <c r="AG28" s="14"/>
      <c r="AH28" s="14"/>
      <c r="AI28" s="14"/>
      <c r="AJ28" s="14"/>
      <c r="AK28" s="14"/>
      <c r="AL28" s="14"/>
      <c r="AM28" s="14"/>
      <c r="AN28" s="14"/>
      <c r="AO28" s="14"/>
    </row>
    <row r="29">
      <c r="A29" s="11">
        <v>44589</v>
      </c>
      <c r="B29" s="5"/>
      <c r="C29" s="5"/>
      <c r="D29" s="5">
        <v>85</v>
      </c>
      <c r="E29" s="5"/>
      <c r="F29" s="5"/>
      <c r="G29" s="5"/>
      <c r="H29" s="5"/>
      <c r="I29" s="5"/>
      <c r="J29" s="5"/>
      <c r="K29" s="5"/>
      <c r="L29" s="5"/>
      <c r="M29" s="5"/>
      <c r="N29" s="5"/>
      <c r="O29" s="5"/>
      <c r="P29" s="5"/>
      <c r="Q29" s="5"/>
      <c r="R29" s="5"/>
      <c r="S29" s="5"/>
      <c r="W29" s="11">
        <v>44589</v>
      </c>
      <c r="X29" s="5"/>
      <c r="Y29" s="5"/>
      <c r="Z29" s="5"/>
      <c r="AA29" s="5"/>
      <c r="AB29" s="5"/>
      <c r="AC29" s="5"/>
      <c r="AD29" s="5"/>
      <c r="AE29" s="5"/>
      <c r="AF29" s="5"/>
      <c r="AG29" s="5"/>
      <c r="AH29" s="5"/>
      <c r="AI29" s="5"/>
      <c r="AJ29" s="5"/>
      <c r="AK29" s="5"/>
      <c r="AL29" s="5"/>
      <c r="AM29" s="5"/>
      <c r="AN29" s="5"/>
      <c r="AO29" s="5"/>
    </row>
    <row r="30">
      <c r="A30" s="11">
        <v>44590</v>
      </c>
      <c r="B30" s="22"/>
      <c r="C30" s="22">
        <v>99.959999999999994</v>
      </c>
      <c r="D30" s="22"/>
      <c r="E30" s="22"/>
      <c r="F30" s="22"/>
      <c r="G30" s="22"/>
      <c r="H30" s="22"/>
      <c r="I30" s="22"/>
      <c r="J30" s="22"/>
      <c r="K30" s="22"/>
      <c r="L30" s="22"/>
      <c r="M30" s="22"/>
      <c r="N30" s="22"/>
      <c r="O30" s="22"/>
      <c r="P30" s="22"/>
      <c r="Q30" s="22"/>
      <c r="R30" s="22">
        <v>99.959999999999994</v>
      </c>
      <c r="S30" s="22"/>
      <c r="W30" s="11">
        <v>44590</v>
      </c>
      <c r="X30" s="22"/>
      <c r="Y30" s="22"/>
      <c r="Z30" s="22"/>
      <c r="AA30" s="22"/>
      <c r="AB30" s="22"/>
      <c r="AC30" s="22"/>
      <c r="AD30" s="22"/>
      <c r="AE30" s="22"/>
      <c r="AF30" s="22"/>
      <c r="AG30" s="22"/>
      <c r="AH30" s="22"/>
      <c r="AI30" s="22"/>
      <c r="AJ30" s="22"/>
      <c r="AK30" s="22"/>
      <c r="AL30" s="22"/>
      <c r="AM30" s="22"/>
      <c r="AN30" s="22"/>
      <c r="AO30" s="22"/>
    </row>
    <row r="31">
      <c r="A31" s="11">
        <v>44591</v>
      </c>
      <c r="B31" s="5"/>
      <c r="C31" s="5">
        <v>451.50999999999999</v>
      </c>
      <c r="D31" s="5"/>
      <c r="E31" s="5"/>
      <c r="F31" s="5"/>
      <c r="G31" s="5"/>
      <c r="H31" s="5"/>
      <c r="I31" s="5"/>
      <c r="J31" s="5"/>
      <c r="K31" s="5"/>
      <c r="L31" s="5"/>
      <c r="M31" s="5"/>
      <c r="N31" s="5"/>
      <c r="O31" s="5"/>
      <c r="P31" s="5"/>
      <c r="Q31" s="5"/>
      <c r="R31" s="5"/>
      <c r="S31" s="5"/>
      <c r="W31" s="11">
        <v>44591</v>
      </c>
      <c r="X31" s="5"/>
      <c r="Y31" s="5"/>
      <c r="Z31" s="5"/>
      <c r="AA31" s="5"/>
      <c r="AB31" s="5"/>
      <c r="AC31" s="5"/>
      <c r="AD31" s="5"/>
      <c r="AE31" s="5"/>
      <c r="AF31" s="5"/>
      <c r="AG31" s="5"/>
      <c r="AH31" s="5"/>
      <c r="AI31" s="5"/>
      <c r="AJ31" s="5"/>
      <c r="AK31" s="5"/>
      <c r="AL31" s="5"/>
      <c r="AM31" s="5"/>
      <c r="AN31" s="5"/>
      <c r="AO31" s="5"/>
    </row>
    <row r="32">
      <c r="A32" s="11">
        <v>44592</v>
      </c>
      <c r="B32" s="22"/>
      <c r="C32" s="22"/>
      <c r="D32" s="22"/>
      <c r="E32" s="22"/>
      <c r="F32" s="22"/>
      <c r="G32" s="22"/>
      <c r="H32" s="22"/>
      <c r="I32" s="22"/>
      <c r="J32" s="22"/>
      <c r="K32" s="22"/>
      <c r="L32" s="22">
        <f>3012.35+335.69+180.5</f>
        <v>3528.54</v>
      </c>
      <c r="M32" s="22"/>
      <c r="N32" s="22"/>
      <c r="O32" s="22"/>
      <c r="P32" s="22"/>
      <c r="Q32" s="22">
        <v>199</v>
      </c>
      <c r="R32" s="22"/>
      <c r="S32" s="22"/>
      <c r="W32" s="11">
        <v>44592</v>
      </c>
      <c r="X32" s="22"/>
      <c r="Y32" s="22"/>
      <c r="Z32" s="22"/>
      <c r="AA32" s="22"/>
      <c r="AB32" s="22"/>
      <c r="AC32" s="22"/>
      <c r="AD32" s="22"/>
      <c r="AE32" s="22"/>
      <c r="AF32" s="22"/>
      <c r="AG32" s="22"/>
      <c r="AH32" s="22"/>
      <c r="AI32" s="22"/>
      <c r="AJ32" s="22"/>
      <c r="AK32" s="22"/>
      <c r="AL32" s="22"/>
      <c r="AM32" s="22"/>
      <c r="AN32" s="22"/>
      <c r="AO32" s="22"/>
    </row>
    <row r="33">
      <c r="A33" s="74"/>
      <c r="B33" s="75">
        <f t="shared" ref="B33:R33" si="98">SUM(B2:B32)</f>
        <v>0</v>
      </c>
      <c r="C33" s="75">
        <f t="shared" si="98"/>
        <v>5203.7100000000009</v>
      </c>
      <c r="D33" s="75">
        <f t="shared" si="98"/>
        <v>1671</v>
      </c>
      <c r="E33" s="75">
        <f t="shared" si="98"/>
        <v>1262</v>
      </c>
      <c r="F33" s="75">
        <f t="shared" si="98"/>
        <v>1300</v>
      </c>
      <c r="G33" s="75">
        <f t="shared" si="98"/>
        <v>0</v>
      </c>
      <c r="H33" s="75">
        <f t="shared" si="98"/>
        <v>0</v>
      </c>
      <c r="I33" s="75">
        <f t="shared" si="98"/>
        <v>1216</v>
      </c>
      <c r="J33" s="75">
        <f t="shared" si="98"/>
        <v>1420.0699999999999</v>
      </c>
      <c r="K33" s="75">
        <f t="shared" si="98"/>
        <v>0</v>
      </c>
      <c r="L33" s="75">
        <f t="shared" si="98"/>
        <v>3528.54</v>
      </c>
      <c r="M33" s="75">
        <f t="shared" si="98"/>
        <v>1640</v>
      </c>
      <c r="N33" s="75">
        <f t="shared" si="98"/>
        <v>600</v>
      </c>
      <c r="O33" s="75">
        <f t="shared" si="98"/>
        <v>0</v>
      </c>
      <c r="P33" s="75">
        <f t="shared" si="98"/>
        <v>0</v>
      </c>
      <c r="Q33" s="75">
        <f t="shared" si="98"/>
        <v>199</v>
      </c>
      <c r="R33" s="75">
        <f t="shared" si="98"/>
        <v>99.959999999999994</v>
      </c>
      <c r="S33" s="75">
        <f>SUM(B33:R33)+S5</f>
        <v>18460.279999999999</v>
      </c>
      <c r="W33" s="74"/>
      <c r="X33" s="75">
        <f t="shared" ref="X33:AN33" si="99">SUM(X2:X32)</f>
        <v>0</v>
      </c>
      <c r="Y33" s="75">
        <f t="shared" si="99"/>
        <v>0</v>
      </c>
      <c r="Z33" s="75">
        <f t="shared" si="99"/>
        <v>0</v>
      </c>
      <c r="AA33" s="75">
        <f t="shared" si="99"/>
        <v>0</v>
      </c>
      <c r="AB33" s="75">
        <f t="shared" si="99"/>
        <v>0</v>
      </c>
      <c r="AC33" s="75">
        <f t="shared" si="99"/>
        <v>0</v>
      </c>
      <c r="AD33" s="75">
        <f t="shared" si="99"/>
        <v>0</v>
      </c>
      <c r="AE33" s="75">
        <f t="shared" si="99"/>
        <v>0</v>
      </c>
      <c r="AF33" s="75">
        <f t="shared" si="99"/>
        <v>0</v>
      </c>
      <c r="AG33" s="75">
        <f t="shared" si="99"/>
        <v>0</v>
      </c>
      <c r="AH33" s="75">
        <f t="shared" si="99"/>
        <v>0</v>
      </c>
      <c r="AI33" s="75">
        <f t="shared" si="99"/>
        <v>0</v>
      </c>
      <c r="AJ33" s="75">
        <f t="shared" si="99"/>
        <v>0</v>
      </c>
      <c r="AK33" s="75">
        <f t="shared" si="99"/>
        <v>0</v>
      </c>
      <c r="AL33" s="75">
        <f t="shared" si="99"/>
        <v>0</v>
      </c>
      <c r="AM33" s="75">
        <f t="shared" si="99"/>
        <v>0</v>
      </c>
      <c r="AN33" s="75">
        <f t="shared" si="99"/>
        <v>0</v>
      </c>
      <c r="AO33" s="75">
        <f>SUM(X33:AN33)+AO5</f>
        <v>0</v>
      </c>
    </row>
    <row r="34">
      <c r="A34" s="84"/>
      <c r="B34" s="84"/>
      <c r="C34" s="84"/>
      <c r="D34" s="84"/>
      <c r="E34" s="84"/>
      <c r="F34" s="84"/>
      <c r="G34" s="84"/>
      <c r="H34" s="84"/>
      <c r="I34" s="84"/>
      <c r="J34" s="84"/>
      <c r="K34" s="84"/>
      <c r="L34" s="84"/>
      <c r="M34" s="84"/>
      <c r="N34" s="84"/>
      <c r="O34" s="84"/>
      <c r="P34" s="84"/>
      <c r="Q34" s="84"/>
      <c r="R34" s="84"/>
      <c r="S34" s="84"/>
      <c r="W34" s="84"/>
      <c r="X34" s="84"/>
      <c r="Y34" s="84"/>
      <c r="Z34" s="84"/>
      <c r="AA34" s="84"/>
      <c r="AB34" s="84"/>
      <c r="AC34" s="84"/>
      <c r="AD34" s="84"/>
      <c r="AE34" s="84"/>
      <c r="AF34" s="84"/>
      <c r="AG34" s="84"/>
      <c r="AH34" s="84"/>
      <c r="AI34" s="84"/>
      <c r="AJ34" s="84"/>
      <c r="AK34" s="84"/>
      <c r="AL34" s="84"/>
      <c r="AM34" s="84"/>
      <c r="AN34" s="84"/>
      <c r="AO34" s="84"/>
    </row>
    <row r="35">
      <c r="A35" s="85" t="s">
        <v>0</v>
      </c>
      <c r="B35" s="85" t="s">
        <v>50</v>
      </c>
      <c r="C35" s="85" t="s">
        <v>13</v>
      </c>
      <c r="D35" s="85" t="s">
        <v>11</v>
      </c>
      <c r="E35" s="85" t="s">
        <v>51</v>
      </c>
      <c r="F35" s="85" t="s">
        <v>52</v>
      </c>
      <c r="G35" s="85" t="s">
        <v>53</v>
      </c>
      <c r="H35" s="85" t="s">
        <v>54</v>
      </c>
      <c r="I35" s="85" t="s">
        <v>55</v>
      </c>
      <c r="J35" s="85" t="s">
        <v>61</v>
      </c>
      <c r="K35" s="85" t="s">
        <v>74</v>
      </c>
      <c r="L35" s="86"/>
      <c r="M35" s="86"/>
      <c r="N35" s="86"/>
      <c r="O35" s="86"/>
      <c r="P35" s="86"/>
      <c r="Q35" s="86"/>
      <c r="R35" s="86"/>
      <c r="S35" s="86"/>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44562</v>
      </c>
      <c r="B36" s="14"/>
      <c r="C36" s="14"/>
      <c r="D36" s="14"/>
      <c r="E36" s="14"/>
      <c r="F36" s="14"/>
      <c r="G36" s="14"/>
      <c r="H36" s="14"/>
      <c r="I36" s="14"/>
      <c r="J36" s="22"/>
      <c r="K36" s="22"/>
      <c r="L36" s="22"/>
      <c r="M36" s="22"/>
      <c r="N36" s="22"/>
      <c r="O36" s="22"/>
      <c r="P36" s="22"/>
      <c r="Q36" s="22"/>
      <c r="R36" s="22"/>
      <c r="S36" s="22"/>
      <c r="W36" s="11">
        <v>44562</v>
      </c>
      <c r="X36" s="14"/>
      <c r="Y36" s="14"/>
      <c r="Z36" s="14"/>
      <c r="AA36" s="14"/>
      <c r="AB36" s="14"/>
      <c r="AC36" s="14"/>
      <c r="AD36" s="14"/>
      <c r="AE36" s="14"/>
      <c r="AF36" s="22"/>
      <c r="AG36" s="22"/>
      <c r="AH36" s="22"/>
      <c r="AI36" s="22"/>
      <c r="AJ36" s="22"/>
      <c r="AK36" s="22"/>
      <c r="AL36" s="22"/>
      <c r="AM36" s="22"/>
      <c r="AN36" s="22"/>
      <c r="AO36" s="22"/>
    </row>
    <row r="37">
      <c r="A37" s="11">
        <v>44563</v>
      </c>
      <c r="B37" s="5"/>
      <c r="C37" s="5"/>
      <c r="D37" s="5"/>
      <c r="E37" s="5"/>
      <c r="F37" s="5"/>
      <c r="G37" s="5"/>
      <c r="H37" s="5"/>
      <c r="I37" s="5"/>
      <c r="J37" s="5"/>
      <c r="K37" s="5"/>
      <c r="L37" s="5"/>
      <c r="M37" s="5"/>
      <c r="N37" s="5"/>
      <c r="O37" s="5"/>
      <c r="P37" s="5"/>
      <c r="Q37" s="5"/>
      <c r="R37" s="5"/>
      <c r="S37" s="5"/>
      <c r="W37" s="11">
        <v>44563</v>
      </c>
      <c r="X37" s="5"/>
      <c r="Y37" s="5"/>
      <c r="Z37" s="5"/>
      <c r="AA37" s="5"/>
      <c r="AB37" s="5"/>
      <c r="AC37" s="5"/>
      <c r="AD37" s="5"/>
      <c r="AE37" s="5"/>
      <c r="AF37" s="5"/>
      <c r="AG37" s="5"/>
      <c r="AH37" s="5"/>
      <c r="AI37" s="5"/>
      <c r="AJ37" s="5"/>
      <c r="AK37" s="5"/>
      <c r="AL37" s="5"/>
      <c r="AM37" s="5"/>
      <c r="AN37" s="5"/>
      <c r="AO37" s="5"/>
    </row>
    <row r="38">
      <c r="A38" s="11">
        <v>44564</v>
      </c>
      <c r="B38" s="14"/>
      <c r="C38" s="14"/>
      <c r="D38" s="14"/>
      <c r="E38" s="14"/>
      <c r="F38" s="14"/>
      <c r="G38" s="14"/>
      <c r="H38" s="14"/>
      <c r="I38" s="14"/>
      <c r="J38" s="22"/>
      <c r="K38" s="22"/>
      <c r="L38" s="22"/>
      <c r="M38" s="22"/>
      <c r="N38" s="22"/>
      <c r="O38" s="22"/>
      <c r="P38" s="22"/>
      <c r="Q38" s="22"/>
      <c r="R38" s="22"/>
      <c r="S38" s="22"/>
      <c r="W38" s="11">
        <v>44564</v>
      </c>
      <c r="X38" s="14"/>
      <c r="Y38" s="14"/>
      <c r="Z38" s="14"/>
      <c r="AA38" s="14"/>
      <c r="AB38" s="14"/>
      <c r="AC38" s="14"/>
      <c r="AD38" s="14"/>
      <c r="AE38" s="14"/>
      <c r="AF38" s="22"/>
      <c r="AG38" s="22"/>
      <c r="AH38" s="22"/>
      <c r="AI38" s="22"/>
      <c r="AJ38" s="22"/>
      <c r="AK38" s="22"/>
      <c r="AL38" s="22"/>
      <c r="AM38" s="22"/>
      <c r="AN38" s="22"/>
      <c r="AO38" s="22"/>
    </row>
    <row r="39">
      <c r="A39" s="11">
        <v>44565</v>
      </c>
      <c r="B39" s="5"/>
      <c r="C39" s="5"/>
      <c r="D39" s="5"/>
      <c r="E39" s="71"/>
      <c r="F39" s="5"/>
      <c r="G39" s="5"/>
      <c r="H39" s="5"/>
      <c r="I39" s="5">
        <v>137</v>
      </c>
      <c r="J39" s="5"/>
      <c r="K39" s="5"/>
      <c r="L39" s="5"/>
      <c r="M39" s="5"/>
      <c r="N39" s="5"/>
      <c r="O39" s="5"/>
      <c r="P39" s="5"/>
      <c r="Q39" s="5"/>
      <c r="R39" s="5"/>
      <c r="S39" s="5"/>
      <c r="W39" s="11">
        <v>44565</v>
      </c>
      <c r="X39" s="5"/>
      <c r="Y39" s="5"/>
      <c r="Z39" s="5"/>
      <c r="AA39" s="71"/>
      <c r="AB39" s="5"/>
      <c r="AC39" s="5"/>
      <c r="AD39" s="5"/>
      <c r="AE39" s="5"/>
      <c r="AF39" s="5"/>
      <c r="AG39" s="5"/>
      <c r="AH39" s="5"/>
      <c r="AI39" s="5"/>
      <c r="AJ39" s="5"/>
      <c r="AK39" s="5"/>
      <c r="AL39" s="5"/>
      <c r="AM39" s="5"/>
      <c r="AN39" s="5"/>
      <c r="AO39" s="5"/>
    </row>
    <row r="40">
      <c r="A40" s="11">
        <v>44566</v>
      </c>
      <c r="B40" s="14"/>
      <c r="C40" s="14"/>
      <c r="D40" s="14"/>
      <c r="E40" s="14"/>
      <c r="F40" s="14"/>
      <c r="G40" s="14"/>
      <c r="H40" s="14"/>
      <c r="I40" s="14"/>
      <c r="J40" s="14"/>
      <c r="K40" s="14"/>
      <c r="L40" s="14"/>
      <c r="M40" s="14"/>
      <c r="N40" s="14"/>
      <c r="O40" s="14"/>
      <c r="P40" s="14"/>
      <c r="Q40" s="14"/>
      <c r="R40" s="14"/>
      <c r="S40" s="14"/>
      <c r="W40" s="11">
        <v>44566</v>
      </c>
      <c r="X40" s="14"/>
      <c r="Y40" s="14"/>
      <c r="Z40" s="14"/>
      <c r="AA40" s="14"/>
      <c r="AB40" s="14"/>
      <c r="AC40" s="14"/>
      <c r="AD40" s="14"/>
      <c r="AE40" s="14"/>
      <c r="AF40" s="14"/>
      <c r="AG40" s="14"/>
      <c r="AH40" s="14"/>
      <c r="AI40" s="14"/>
      <c r="AJ40" s="14"/>
      <c r="AK40" s="14"/>
      <c r="AL40" s="14"/>
      <c r="AM40" s="14"/>
      <c r="AN40" s="14"/>
      <c r="AO40" s="14"/>
    </row>
    <row r="41">
      <c r="A41" s="11">
        <v>44567</v>
      </c>
      <c r="B41" s="5"/>
      <c r="C41" s="5"/>
      <c r="D41" s="5"/>
      <c r="E41" s="5"/>
      <c r="F41" s="5"/>
      <c r="G41" s="5"/>
      <c r="H41" s="5"/>
      <c r="I41" s="5"/>
      <c r="J41" s="5"/>
      <c r="K41" s="5"/>
      <c r="L41" s="5"/>
      <c r="M41" s="5"/>
      <c r="N41" s="5"/>
      <c r="O41" s="5"/>
      <c r="P41" s="5"/>
      <c r="Q41" s="5"/>
      <c r="R41" s="5"/>
      <c r="S41" s="5"/>
      <c r="W41" s="11">
        <v>44567</v>
      </c>
      <c r="X41" s="5"/>
      <c r="Y41" s="5"/>
      <c r="Z41" s="5"/>
      <c r="AA41" s="5"/>
      <c r="AB41" s="5"/>
      <c r="AC41" s="5"/>
      <c r="AD41" s="5"/>
      <c r="AE41" s="5"/>
      <c r="AF41" s="5"/>
      <c r="AG41" s="5"/>
      <c r="AH41" s="5"/>
      <c r="AI41" s="5"/>
      <c r="AJ41" s="5"/>
      <c r="AK41" s="5"/>
      <c r="AL41" s="5"/>
      <c r="AM41" s="5"/>
      <c r="AN41" s="5"/>
      <c r="AO41" s="5"/>
    </row>
    <row r="42">
      <c r="A42" s="11">
        <v>44568</v>
      </c>
      <c r="B42" s="14"/>
      <c r="C42" s="14"/>
      <c r="D42" s="14"/>
      <c r="E42" s="14"/>
      <c r="F42" s="14"/>
      <c r="G42" s="14"/>
      <c r="H42" s="14"/>
      <c r="I42" s="14"/>
      <c r="J42" s="14"/>
      <c r="K42" s="14"/>
      <c r="L42" s="14"/>
      <c r="M42" s="14"/>
      <c r="N42" s="14"/>
      <c r="O42" s="14"/>
      <c r="P42" s="14"/>
      <c r="Q42" s="14"/>
      <c r="R42" s="14"/>
      <c r="S42" s="14"/>
      <c r="W42" s="11">
        <v>44568</v>
      </c>
      <c r="X42" s="14"/>
      <c r="Y42" s="14"/>
      <c r="Z42" s="14"/>
      <c r="AA42" s="14"/>
      <c r="AB42" s="14"/>
      <c r="AC42" s="14"/>
      <c r="AD42" s="14"/>
      <c r="AE42" s="14"/>
      <c r="AF42" s="14"/>
      <c r="AG42" s="14"/>
      <c r="AH42" s="14"/>
      <c r="AI42" s="14"/>
      <c r="AJ42" s="14"/>
      <c r="AK42" s="14"/>
      <c r="AL42" s="14"/>
      <c r="AM42" s="14"/>
      <c r="AN42" s="14"/>
      <c r="AO42" s="14"/>
    </row>
    <row r="43">
      <c r="A43" s="11">
        <v>44569</v>
      </c>
      <c r="B43" s="5"/>
      <c r="C43" s="5"/>
      <c r="D43" s="5"/>
      <c r="E43" s="5"/>
      <c r="F43" s="5"/>
      <c r="G43" s="5"/>
      <c r="H43" s="5"/>
      <c r="I43" s="5"/>
      <c r="J43" s="5"/>
      <c r="K43" s="5"/>
      <c r="L43" s="5"/>
      <c r="M43" s="5"/>
      <c r="N43" s="5"/>
      <c r="O43" s="5"/>
      <c r="P43" s="5"/>
      <c r="Q43" s="5"/>
      <c r="R43" s="5"/>
      <c r="S43" s="5"/>
      <c r="W43" s="11">
        <v>44569</v>
      </c>
      <c r="X43" s="5"/>
      <c r="Y43" s="5"/>
      <c r="Z43" s="5"/>
      <c r="AA43" s="5"/>
      <c r="AB43" s="5"/>
      <c r="AC43" s="5"/>
      <c r="AD43" s="5"/>
      <c r="AE43" s="5"/>
      <c r="AF43" s="5"/>
      <c r="AG43" s="5"/>
      <c r="AH43" s="5"/>
      <c r="AI43" s="5"/>
      <c r="AJ43" s="5"/>
      <c r="AK43" s="5"/>
      <c r="AL43" s="5"/>
      <c r="AM43" s="5"/>
      <c r="AN43" s="5"/>
      <c r="AO43" s="5"/>
    </row>
    <row r="44">
      <c r="A44" s="11">
        <v>44570</v>
      </c>
      <c r="B44" s="79"/>
      <c r="C44" s="14"/>
      <c r="D44" s="14"/>
      <c r="E44" s="14"/>
      <c r="F44" s="14">
        <v>1000</v>
      </c>
      <c r="G44" s="14"/>
      <c r="H44" s="14"/>
      <c r="I44" s="14"/>
      <c r="J44" s="14"/>
      <c r="K44" s="14"/>
      <c r="L44" s="14"/>
      <c r="M44" s="14"/>
      <c r="N44" s="14"/>
      <c r="O44" s="14"/>
      <c r="P44" s="14"/>
      <c r="Q44" s="14"/>
      <c r="R44" s="14"/>
      <c r="S44" s="14"/>
      <c r="W44" s="11">
        <v>44570</v>
      </c>
      <c r="X44" s="79"/>
      <c r="Y44" s="14"/>
      <c r="Z44" s="14"/>
      <c r="AA44" s="14"/>
      <c r="AB44" s="14"/>
      <c r="AC44" s="14"/>
      <c r="AD44" s="14"/>
      <c r="AE44" s="14"/>
      <c r="AF44" s="14"/>
      <c r="AG44" s="14"/>
      <c r="AH44" s="14"/>
      <c r="AI44" s="14"/>
      <c r="AJ44" s="14"/>
      <c r="AK44" s="14"/>
      <c r="AL44" s="14"/>
      <c r="AM44" s="14"/>
      <c r="AN44" s="14"/>
      <c r="AO44" s="14"/>
    </row>
    <row r="45">
      <c r="A45" s="11">
        <v>44571</v>
      </c>
      <c r="B45" s="5">
        <f>17329.07</f>
        <v>17329.07</v>
      </c>
      <c r="C45" s="5"/>
      <c r="D45" s="5"/>
      <c r="E45" s="5"/>
      <c r="F45" s="5"/>
      <c r="G45" s="5"/>
      <c r="H45" s="5"/>
      <c r="I45" s="5">
        <v>354</v>
      </c>
      <c r="J45" s="5"/>
      <c r="K45" s="5"/>
      <c r="L45" s="5"/>
      <c r="M45" s="5"/>
      <c r="N45" s="5"/>
      <c r="O45" s="5"/>
      <c r="P45" s="5"/>
      <c r="Q45" s="5"/>
      <c r="R45" s="5"/>
      <c r="S45" s="5"/>
      <c r="W45" s="11">
        <v>44571</v>
      </c>
      <c r="X45" s="5"/>
      <c r="Y45" s="5"/>
      <c r="Z45" s="5"/>
      <c r="AA45" s="5"/>
      <c r="AB45" s="5"/>
      <c r="AC45" s="5"/>
      <c r="AD45" s="5"/>
      <c r="AE45" s="5"/>
      <c r="AF45" s="5"/>
      <c r="AG45" s="5"/>
      <c r="AH45" s="5"/>
      <c r="AI45" s="5"/>
      <c r="AJ45" s="5"/>
      <c r="AK45" s="5"/>
      <c r="AL45" s="5"/>
      <c r="AM45" s="5"/>
      <c r="AN45" s="5"/>
      <c r="AO45" s="5"/>
    </row>
    <row r="46">
      <c r="A46" s="11">
        <v>44572</v>
      </c>
      <c r="B46" s="14">
        <f>11279.24+4424</f>
        <v>15703.24</v>
      </c>
      <c r="C46" s="14"/>
      <c r="D46" s="14"/>
      <c r="E46" s="14"/>
      <c r="F46" s="14"/>
      <c r="G46" s="14"/>
      <c r="H46" s="14"/>
      <c r="I46" s="14"/>
      <c r="J46" s="14"/>
      <c r="K46" s="14"/>
      <c r="L46" s="14"/>
      <c r="M46" s="14"/>
      <c r="N46" s="14"/>
      <c r="O46" s="14"/>
      <c r="P46" s="14"/>
      <c r="Q46" s="14"/>
      <c r="R46" s="14"/>
      <c r="S46" s="14"/>
      <c r="W46" s="11">
        <v>44572</v>
      </c>
      <c r="X46" s="14"/>
      <c r="Y46" s="14"/>
      <c r="Z46" s="14"/>
      <c r="AA46" s="14"/>
      <c r="AB46" s="14"/>
      <c r="AC46" s="14"/>
      <c r="AD46" s="14"/>
      <c r="AE46" s="14"/>
      <c r="AF46" s="14"/>
      <c r="AG46" s="14"/>
      <c r="AH46" s="14"/>
      <c r="AI46" s="14"/>
      <c r="AJ46" s="14"/>
      <c r="AK46" s="14"/>
      <c r="AL46" s="14"/>
      <c r="AM46" s="14"/>
      <c r="AN46" s="14"/>
      <c r="AO46" s="14"/>
    </row>
    <row r="47">
      <c r="A47" s="11">
        <v>44573</v>
      </c>
      <c r="B47" s="5"/>
      <c r="C47" s="5"/>
      <c r="D47" s="5"/>
      <c r="E47" s="5"/>
      <c r="F47" s="5"/>
      <c r="G47" s="5"/>
      <c r="H47" s="5"/>
      <c r="I47" s="5"/>
      <c r="J47" s="5"/>
      <c r="K47" s="5"/>
      <c r="L47" s="5"/>
      <c r="M47" s="5"/>
      <c r="N47" s="5"/>
      <c r="O47" s="5"/>
      <c r="P47" s="5"/>
      <c r="Q47" s="5"/>
      <c r="R47" s="5"/>
      <c r="S47" s="5"/>
      <c r="W47" s="11">
        <v>44573</v>
      </c>
      <c r="X47" s="5"/>
      <c r="Y47" s="5"/>
      <c r="Z47" s="5"/>
      <c r="AA47" s="5"/>
      <c r="AB47" s="5"/>
      <c r="AC47" s="5"/>
      <c r="AD47" s="5"/>
      <c r="AE47" s="5"/>
      <c r="AF47" s="5"/>
      <c r="AG47" s="5"/>
      <c r="AH47" s="5"/>
      <c r="AI47" s="5"/>
      <c r="AJ47" s="5"/>
      <c r="AK47" s="5"/>
      <c r="AL47" s="5"/>
      <c r="AM47" s="5"/>
      <c r="AN47" s="5"/>
      <c r="AO47" s="5"/>
    </row>
    <row r="48">
      <c r="A48" s="11">
        <v>44574</v>
      </c>
      <c r="B48" s="14"/>
      <c r="C48" s="14"/>
      <c r="D48" s="14"/>
      <c r="E48" s="14"/>
      <c r="F48" s="14"/>
      <c r="G48" s="14"/>
      <c r="H48" s="14"/>
      <c r="I48" s="14"/>
      <c r="J48" s="14"/>
      <c r="K48" s="14"/>
      <c r="L48" s="14"/>
      <c r="M48" s="14"/>
      <c r="N48" s="14"/>
      <c r="O48" s="14"/>
      <c r="P48" s="14"/>
      <c r="Q48" s="14"/>
      <c r="R48" s="14"/>
      <c r="S48" s="14"/>
      <c r="W48" s="11">
        <v>44574</v>
      </c>
      <c r="X48" s="14"/>
      <c r="Y48" s="14"/>
      <c r="Z48" s="14"/>
      <c r="AA48" s="14"/>
      <c r="AB48" s="14"/>
      <c r="AC48" s="14"/>
      <c r="AD48" s="14"/>
      <c r="AE48" s="14"/>
      <c r="AF48" s="14"/>
      <c r="AG48" s="14"/>
      <c r="AH48" s="14"/>
      <c r="AI48" s="14"/>
      <c r="AJ48" s="14"/>
      <c r="AK48" s="14"/>
      <c r="AL48" s="14"/>
      <c r="AM48" s="14"/>
      <c r="AN48" s="14"/>
      <c r="AO48" s="14"/>
    </row>
    <row r="49">
      <c r="A49" s="11">
        <v>44575</v>
      </c>
      <c r="B49" s="5"/>
      <c r="C49" s="5"/>
      <c r="D49" s="5"/>
      <c r="E49" s="5"/>
      <c r="F49" s="5"/>
      <c r="G49" s="5"/>
      <c r="H49" s="5"/>
      <c r="I49" s="5"/>
      <c r="J49" s="5"/>
      <c r="K49" s="5"/>
      <c r="L49" s="5"/>
      <c r="M49" s="5"/>
      <c r="N49" s="5"/>
      <c r="O49" s="5"/>
      <c r="P49" s="5"/>
      <c r="Q49" s="5"/>
      <c r="R49" s="5"/>
      <c r="S49" s="5"/>
      <c r="W49" s="11">
        <v>44575</v>
      </c>
      <c r="X49" s="5">
        <v>11349.459999999999</v>
      </c>
      <c r="Y49" s="5"/>
      <c r="Z49" s="5"/>
      <c r="AA49" s="5"/>
      <c r="AB49" s="5"/>
      <c r="AC49" s="5"/>
      <c r="AD49" s="5"/>
      <c r="AE49" s="5"/>
      <c r="AF49" s="5"/>
      <c r="AG49" s="5"/>
      <c r="AH49" s="5"/>
      <c r="AI49" s="5"/>
      <c r="AJ49" s="5"/>
      <c r="AK49" s="5"/>
      <c r="AL49" s="5"/>
      <c r="AM49" s="5"/>
      <c r="AN49" s="5"/>
      <c r="AO49" s="5"/>
    </row>
    <row r="50">
      <c r="A50" s="11">
        <v>44576</v>
      </c>
      <c r="B50" s="14"/>
      <c r="C50" s="14"/>
      <c r="D50" s="14"/>
      <c r="E50" s="14"/>
      <c r="F50" s="14"/>
      <c r="G50" s="14"/>
      <c r="H50" s="14"/>
      <c r="I50" s="14"/>
      <c r="J50" s="14"/>
      <c r="K50" s="14"/>
      <c r="L50" s="14"/>
      <c r="M50" s="14"/>
      <c r="N50" s="14"/>
      <c r="O50" s="14"/>
      <c r="P50" s="14"/>
      <c r="Q50" s="14"/>
      <c r="R50" s="14"/>
      <c r="S50" s="14"/>
      <c r="W50" s="11">
        <v>44576</v>
      </c>
      <c r="X50" s="14"/>
      <c r="Y50" s="14"/>
      <c r="Z50" s="14"/>
      <c r="AA50" s="14"/>
      <c r="AB50" s="14"/>
      <c r="AC50" s="14"/>
      <c r="AD50" s="14"/>
      <c r="AE50" s="14"/>
      <c r="AF50" s="14"/>
      <c r="AG50" s="14"/>
      <c r="AH50" s="14"/>
      <c r="AI50" s="14"/>
      <c r="AJ50" s="14"/>
      <c r="AK50" s="14"/>
      <c r="AL50" s="14"/>
      <c r="AM50" s="14"/>
      <c r="AN50" s="14"/>
      <c r="AO50" s="14"/>
    </row>
    <row r="51">
      <c r="A51" s="11">
        <v>44577</v>
      </c>
      <c r="B51" s="5"/>
      <c r="C51" s="5"/>
      <c r="D51" s="5"/>
      <c r="E51" s="5"/>
      <c r="F51" s="5"/>
      <c r="G51" s="5"/>
      <c r="H51" s="5"/>
      <c r="I51" s="5"/>
      <c r="J51" s="5"/>
      <c r="K51" s="5"/>
      <c r="L51" s="5"/>
      <c r="M51" s="5"/>
      <c r="N51" s="5"/>
      <c r="O51" s="5"/>
      <c r="P51" s="5"/>
      <c r="Q51" s="5"/>
      <c r="R51" s="5"/>
      <c r="S51" s="5"/>
      <c r="W51" s="11">
        <v>44577</v>
      </c>
      <c r="X51" s="5"/>
      <c r="Y51" s="5"/>
      <c r="Z51" s="5"/>
      <c r="AA51" s="5"/>
      <c r="AB51" s="5"/>
      <c r="AC51" s="5"/>
      <c r="AD51" s="5"/>
      <c r="AE51" s="5"/>
      <c r="AF51" s="5"/>
      <c r="AG51" s="5"/>
      <c r="AH51" s="5"/>
      <c r="AI51" s="5"/>
      <c r="AJ51" s="5"/>
      <c r="AK51" s="5"/>
      <c r="AL51" s="5"/>
      <c r="AM51" s="5"/>
      <c r="AN51" s="5"/>
      <c r="AO51" s="5"/>
    </row>
    <row r="52">
      <c r="A52" s="11">
        <v>44578</v>
      </c>
      <c r="B52" s="14"/>
      <c r="C52" s="14"/>
      <c r="D52" s="14"/>
      <c r="E52" s="14"/>
      <c r="F52" s="14"/>
      <c r="G52" s="14"/>
      <c r="H52" s="14"/>
      <c r="I52" s="14"/>
      <c r="J52" s="14"/>
      <c r="K52" s="14"/>
      <c r="L52" s="14"/>
      <c r="M52" s="14"/>
      <c r="N52" s="14"/>
      <c r="O52" s="14"/>
      <c r="P52" s="14"/>
      <c r="Q52" s="14"/>
      <c r="R52" s="14"/>
      <c r="S52" s="14"/>
      <c r="W52" s="11">
        <v>44578</v>
      </c>
      <c r="X52" s="14"/>
      <c r="Y52" s="14"/>
      <c r="Z52" s="14"/>
      <c r="AA52" s="14"/>
      <c r="AB52" s="14"/>
      <c r="AC52" s="14"/>
      <c r="AD52" s="14"/>
      <c r="AE52" s="14"/>
      <c r="AF52" s="14"/>
      <c r="AG52" s="14"/>
      <c r="AH52" s="14"/>
      <c r="AI52" s="14"/>
      <c r="AJ52" s="14"/>
      <c r="AK52" s="14"/>
      <c r="AL52" s="14"/>
      <c r="AM52" s="14"/>
      <c r="AN52" s="14"/>
      <c r="AO52" s="14"/>
    </row>
    <row r="53">
      <c r="A53" s="11">
        <v>44579</v>
      </c>
      <c r="B53" s="5"/>
      <c r="C53" s="5"/>
      <c r="D53" s="5"/>
      <c r="E53" s="5"/>
      <c r="F53" s="5"/>
      <c r="G53" s="5"/>
      <c r="H53" s="5"/>
      <c r="I53" s="5"/>
      <c r="J53" s="5"/>
      <c r="K53" s="5"/>
      <c r="L53" s="5"/>
      <c r="M53" s="5"/>
      <c r="N53" s="5"/>
      <c r="O53" s="5"/>
      <c r="P53" s="5"/>
      <c r="Q53" s="5"/>
      <c r="R53" s="5"/>
      <c r="S53" s="5"/>
      <c r="W53" s="11">
        <v>44579</v>
      </c>
      <c r="X53" s="5"/>
      <c r="Y53" s="5"/>
      <c r="Z53" s="5"/>
      <c r="AA53" s="5"/>
      <c r="AB53" s="5"/>
      <c r="AC53" s="5"/>
      <c r="AD53" s="5"/>
      <c r="AE53" s="5"/>
      <c r="AF53" s="5"/>
      <c r="AG53" s="5"/>
      <c r="AH53" s="5"/>
      <c r="AI53" s="5"/>
      <c r="AJ53" s="5"/>
      <c r="AK53" s="5"/>
      <c r="AL53" s="5"/>
      <c r="AM53" s="5"/>
      <c r="AN53" s="5"/>
      <c r="AO53" s="5"/>
    </row>
    <row r="54">
      <c r="A54" s="11">
        <v>44580</v>
      </c>
      <c r="B54" s="14"/>
      <c r="C54" s="14"/>
      <c r="D54" s="14"/>
      <c r="E54" s="14"/>
      <c r="F54" s="14"/>
      <c r="G54" s="14"/>
      <c r="H54" s="14"/>
      <c r="I54" s="14"/>
      <c r="J54" s="14"/>
      <c r="K54" s="14"/>
      <c r="L54" s="14"/>
      <c r="M54" s="14"/>
      <c r="N54" s="14"/>
      <c r="O54" s="14"/>
      <c r="P54" s="14"/>
      <c r="Q54" s="14"/>
      <c r="R54" s="14"/>
      <c r="S54" s="14"/>
      <c r="W54" s="11">
        <v>44580</v>
      </c>
      <c r="X54" s="14"/>
      <c r="Y54" s="14"/>
      <c r="Z54" s="14"/>
      <c r="AA54" s="14"/>
      <c r="AB54" s="14"/>
      <c r="AC54" s="14"/>
      <c r="AD54" s="14"/>
      <c r="AE54" s="14"/>
      <c r="AF54" s="14"/>
      <c r="AG54" s="14"/>
      <c r="AH54" s="14"/>
      <c r="AI54" s="14"/>
      <c r="AJ54" s="14"/>
      <c r="AK54" s="14"/>
      <c r="AL54" s="14"/>
      <c r="AM54" s="14"/>
      <c r="AN54" s="14"/>
      <c r="AO54" s="14"/>
    </row>
    <row r="55">
      <c r="A55" s="11">
        <v>44581</v>
      </c>
      <c r="B55" s="5">
        <v>5438.25</v>
      </c>
      <c r="C55" s="5"/>
      <c r="D55" s="5"/>
      <c r="E55" s="5"/>
      <c r="F55" s="5"/>
      <c r="G55" s="5"/>
      <c r="H55" s="5"/>
      <c r="I55" s="5"/>
      <c r="J55" s="5"/>
      <c r="K55" s="5"/>
      <c r="L55" s="5"/>
      <c r="M55" s="5"/>
      <c r="N55" s="5"/>
      <c r="O55" s="5"/>
      <c r="P55" s="5"/>
      <c r="Q55" s="5"/>
      <c r="R55" s="5"/>
      <c r="S55" s="5"/>
      <c r="W55" s="11">
        <v>44581</v>
      </c>
      <c r="X55" s="5"/>
      <c r="Y55" s="5"/>
      <c r="Z55" s="5"/>
      <c r="AA55" s="5"/>
      <c r="AB55" s="5"/>
      <c r="AC55" s="5"/>
      <c r="AD55" s="5"/>
      <c r="AE55" s="5"/>
      <c r="AF55" s="5"/>
      <c r="AG55" s="5"/>
      <c r="AH55" s="5"/>
      <c r="AI55" s="5"/>
      <c r="AJ55" s="5"/>
      <c r="AK55" s="5"/>
      <c r="AL55" s="5"/>
      <c r="AM55" s="5"/>
      <c r="AN55" s="5"/>
      <c r="AO55" s="5"/>
    </row>
    <row r="56">
      <c r="A56" s="11">
        <v>44582</v>
      </c>
      <c r="B56" s="14"/>
      <c r="C56" s="14"/>
      <c r="D56" s="14"/>
      <c r="E56" s="14"/>
      <c r="F56" s="14"/>
      <c r="G56" s="14"/>
      <c r="H56" s="14"/>
      <c r="I56" s="14"/>
      <c r="J56" s="14"/>
      <c r="K56" s="14"/>
      <c r="L56" s="14"/>
      <c r="M56" s="14"/>
      <c r="N56" s="14"/>
      <c r="O56" s="14"/>
      <c r="P56" s="14"/>
      <c r="Q56" s="14"/>
      <c r="R56" s="14"/>
      <c r="S56" s="14"/>
      <c r="W56" s="11">
        <v>44582</v>
      </c>
      <c r="X56" s="14"/>
      <c r="Y56" s="14"/>
      <c r="Z56" s="14"/>
      <c r="AA56" s="14"/>
      <c r="AB56" s="14"/>
      <c r="AC56" s="14"/>
      <c r="AD56" s="14"/>
      <c r="AE56" s="14"/>
      <c r="AF56" s="14"/>
      <c r="AG56" s="14"/>
      <c r="AH56" s="14"/>
      <c r="AI56" s="14"/>
      <c r="AJ56" s="14"/>
      <c r="AK56" s="14"/>
      <c r="AL56" s="14"/>
      <c r="AM56" s="14"/>
      <c r="AN56" s="14"/>
      <c r="AO56" s="14"/>
    </row>
    <row r="57">
      <c r="A57" s="11">
        <v>44583</v>
      </c>
      <c r="B57" s="5"/>
      <c r="C57" s="5"/>
      <c r="D57" s="5"/>
      <c r="E57" s="5"/>
      <c r="F57" s="5"/>
      <c r="G57" s="5"/>
      <c r="H57" s="5"/>
      <c r="I57" s="5"/>
      <c r="J57" s="5"/>
      <c r="K57" s="5"/>
      <c r="L57" s="5"/>
      <c r="M57" s="5"/>
      <c r="N57" s="5"/>
      <c r="O57" s="5"/>
      <c r="P57" s="5"/>
      <c r="Q57" s="5"/>
      <c r="R57" s="5"/>
      <c r="S57" s="5"/>
      <c r="W57" s="11">
        <v>44583</v>
      </c>
      <c r="X57" s="5">
        <v>11510.75</v>
      </c>
      <c r="Y57" s="5"/>
      <c r="Z57" s="5"/>
      <c r="AA57" s="5"/>
      <c r="AB57" s="5"/>
      <c r="AC57" s="5"/>
      <c r="AD57" s="5"/>
      <c r="AE57" s="5"/>
      <c r="AF57" s="5"/>
      <c r="AG57" s="5"/>
      <c r="AH57" s="5"/>
      <c r="AI57" s="5"/>
      <c r="AJ57" s="5"/>
      <c r="AK57" s="5"/>
      <c r="AL57" s="5"/>
      <c r="AM57" s="5"/>
      <c r="AN57" s="5"/>
      <c r="AO57" s="5"/>
    </row>
    <row r="58">
      <c r="A58" s="11">
        <v>44584</v>
      </c>
      <c r="B58" s="14"/>
      <c r="C58" s="14"/>
      <c r="D58" s="14"/>
      <c r="E58" s="14"/>
      <c r="F58" s="14"/>
      <c r="G58" s="14"/>
      <c r="H58" s="14"/>
      <c r="I58" s="14"/>
      <c r="J58" s="14"/>
      <c r="K58" s="14"/>
      <c r="L58" s="14"/>
      <c r="M58" s="14"/>
      <c r="N58" s="14"/>
      <c r="O58" s="14"/>
      <c r="P58" s="14"/>
      <c r="Q58" s="14"/>
      <c r="R58" s="14"/>
      <c r="S58" s="14"/>
      <c r="W58" s="11">
        <v>44584</v>
      </c>
      <c r="X58" s="14"/>
      <c r="Y58" s="14"/>
      <c r="Z58" s="14"/>
      <c r="AA58" s="14"/>
      <c r="AB58" s="14"/>
      <c r="AC58" s="14"/>
      <c r="AD58" s="14"/>
      <c r="AE58" s="14"/>
      <c r="AF58" s="14"/>
      <c r="AG58" s="14"/>
      <c r="AH58" s="14"/>
      <c r="AI58" s="14"/>
      <c r="AJ58" s="14"/>
      <c r="AK58" s="14"/>
      <c r="AL58" s="14"/>
      <c r="AM58" s="14"/>
      <c r="AN58" s="14"/>
      <c r="AO58" s="14"/>
    </row>
    <row r="59">
      <c r="A59" s="11">
        <v>44585</v>
      </c>
      <c r="B59" s="5"/>
      <c r="C59" s="5"/>
      <c r="D59" s="5"/>
      <c r="E59" s="5"/>
      <c r="F59" s="5"/>
      <c r="G59" s="5"/>
      <c r="H59" s="5"/>
      <c r="I59" s="5"/>
      <c r="J59" s="5"/>
      <c r="K59" s="5"/>
      <c r="L59" s="5"/>
      <c r="M59" s="5"/>
      <c r="N59" s="5"/>
      <c r="O59" s="5"/>
      <c r="P59" s="5"/>
      <c r="Q59" s="5"/>
      <c r="R59" s="5"/>
      <c r="S59" s="5"/>
      <c r="W59" s="11">
        <v>44585</v>
      </c>
      <c r="X59" s="5"/>
      <c r="Y59" s="5"/>
      <c r="Z59" s="5"/>
      <c r="AA59" s="5"/>
      <c r="AB59" s="5"/>
      <c r="AC59" s="5"/>
      <c r="AD59" s="5"/>
      <c r="AE59" s="5"/>
      <c r="AF59" s="5"/>
      <c r="AG59" s="5"/>
      <c r="AH59" s="5"/>
      <c r="AI59" s="5"/>
      <c r="AJ59" s="5"/>
      <c r="AK59" s="5"/>
      <c r="AL59" s="5"/>
      <c r="AM59" s="5"/>
      <c r="AN59" s="5"/>
      <c r="AO59" s="5"/>
    </row>
    <row r="60">
      <c r="A60" s="11">
        <v>44586</v>
      </c>
      <c r="B60" s="14"/>
      <c r="C60" s="14"/>
      <c r="D60" s="14"/>
      <c r="E60" s="14"/>
      <c r="F60" s="14"/>
      <c r="G60" s="14"/>
      <c r="H60" s="14"/>
      <c r="I60" s="14"/>
      <c r="J60" s="14"/>
      <c r="K60" s="14"/>
      <c r="L60" s="14"/>
      <c r="M60" s="14"/>
      <c r="N60" s="14"/>
      <c r="O60" s="14"/>
      <c r="P60" s="14"/>
      <c r="Q60" s="14"/>
      <c r="R60" s="14"/>
      <c r="S60" s="14"/>
      <c r="W60" s="11">
        <v>44586</v>
      </c>
      <c r="X60" s="14"/>
      <c r="Y60" s="14"/>
      <c r="Z60" s="14"/>
      <c r="AA60" s="14"/>
      <c r="AB60" s="14"/>
      <c r="AC60" s="14"/>
      <c r="AD60" s="14"/>
      <c r="AE60" s="14"/>
      <c r="AF60" s="14"/>
      <c r="AG60" s="14"/>
      <c r="AH60" s="14"/>
      <c r="AI60" s="14"/>
      <c r="AJ60" s="14"/>
      <c r="AK60" s="14"/>
      <c r="AL60" s="14"/>
      <c r="AM60" s="14"/>
      <c r="AN60" s="14"/>
      <c r="AO60" s="14"/>
    </row>
    <row r="61">
      <c r="A61" s="11">
        <v>44587</v>
      </c>
      <c r="B61" s="5"/>
      <c r="C61" s="5"/>
      <c r="D61" s="5"/>
      <c r="E61" s="5"/>
      <c r="F61" s="5"/>
      <c r="G61" s="5"/>
      <c r="H61" s="5"/>
      <c r="I61" s="5"/>
      <c r="J61" s="5"/>
      <c r="K61" s="5"/>
      <c r="L61" s="5"/>
      <c r="M61" s="5"/>
      <c r="N61" s="5"/>
      <c r="O61" s="5"/>
      <c r="P61" s="5"/>
      <c r="Q61" s="5"/>
      <c r="R61" s="5"/>
      <c r="S61" s="5"/>
      <c r="W61" s="11">
        <v>44587</v>
      </c>
      <c r="X61" s="5"/>
      <c r="Y61" s="5"/>
      <c r="Z61" s="5"/>
      <c r="AA61" s="5"/>
      <c r="AB61" s="5"/>
      <c r="AC61" s="5"/>
      <c r="AD61" s="5"/>
      <c r="AE61" s="5"/>
      <c r="AF61" s="5"/>
      <c r="AG61" s="5"/>
      <c r="AH61" s="5"/>
      <c r="AI61" s="5"/>
      <c r="AJ61" s="5"/>
      <c r="AK61" s="5"/>
      <c r="AL61" s="5"/>
      <c r="AM61" s="5"/>
      <c r="AN61" s="5"/>
      <c r="AO61" s="5"/>
    </row>
    <row r="62">
      <c r="A62" s="11">
        <v>44588</v>
      </c>
      <c r="B62" s="14"/>
      <c r="C62" s="14"/>
      <c r="D62" s="14"/>
      <c r="E62" s="14"/>
      <c r="F62" s="14"/>
      <c r="G62" s="14"/>
      <c r="H62" s="14"/>
      <c r="I62" s="14"/>
      <c r="J62" s="14"/>
      <c r="K62" s="14"/>
      <c r="L62" s="14"/>
      <c r="M62" s="14"/>
      <c r="N62" s="14"/>
      <c r="O62" s="14"/>
      <c r="P62" s="14"/>
      <c r="Q62" s="14"/>
      <c r="R62" s="14"/>
      <c r="S62" s="14"/>
      <c r="W62" s="11">
        <v>44588</v>
      </c>
      <c r="X62" s="14"/>
      <c r="Y62" s="14"/>
      <c r="Z62" s="14"/>
      <c r="AA62" s="14"/>
      <c r="AB62" s="14"/>
      <c r="AC62" s="14"/>
      <c r="AD62" s="14"/>
      <c r="AE62" s="14"/>
      <c r="AF62" s="14"/>
      <c r="AG62" s="14"/>
      <c r="AH62" s="14"/>
      <c r="AI62" s="14"/>
      <c r="AJ62" s="14"/>
      <c r="AK62" s="14"/>
      <c r="AL62" s="14"/>
      <c r="AM62" s="14"/>
      <c r="AN62" s="14"/>
      <c r="AO62" s="14"/>
    </row>
    <row r="63">
      <c r="A63" s="11">
        <v>44589</v>
      </c>
      <c r="B63" s="5"/>
      <c r="C63" s="5"/>
      <c r="D63" s="5"/>
      <c r="E63" s="5"/>
      <c r="F63" s="5"/>
      <c r="G63" s="5"/>
      <c r="H63" s="5"/>
      <c r="I63" s="5"/>
      <c r="J63" s="5"/>
      <c r="K63" s="5"/>
      <c r="L63" s="5"/>
      <c r="M63" s="5"/>
      <c r="N63" s="5"/>
      <c r="O63" s="5"/>
      <c r="P63" s="5"/>
      <c r="Q63" s="5"/>
      <c r="R63" s="48"/>
      <c r="S63" s="5"/>
      <c r="W63" s="11">
        <v>44589</v>
      </c>
      <c r="X63" s="5"/>
      <c r="Y63" s="5"/>
      <c r="Z63" s="5"/>
      <c r="AA63" s="5"/>
      <c r="AB63" s="5"/>
      <c r="AC63" s="5"/>
      <c r="AD63" s="5"/>
      <c r="AE63" s="5"/>
      <c r="AF63" s="5"/>
      <c r="AG63" s="5"/>
      <c r="AH63" s="5"/>
      <c r="AI63" s="5"/>
      <c r="AJ63" s="5"/>
      <c r="AK63" s="5"/>
      <c r="AL63" s="5"/>
      <c r="AM63" s="5"/>
      <c r="AN63" s="48"/>
      <c r="AO63" s="5"/>
    </row>
    <row r="64">
      <c r="A64" s="11">
        <v>44590</v>
      </c>
      <c r="B64" s="22"/>
      <c r="C64" s="22"/>
      <c r="D64" s="22"/>
      <c r="E64" s="22"/>
      <c r="F64" s="22"/>
      <c r="G64" s="22"/>
      <c r="H64" s="22"/>
      <c r="I64" s="22"/>
      <c r="J64" s="14"/>
      <c r="K64" s="14"/>
      <c r="L64" s="14"/>
      <c r="M64" s="14"/>
      <c r="N64" s="14"/>
      <c r="O64" s="14"/>
      <c r="P64" s="14"/>
      <c r="Q64" s="14"/>
      <c r="R64" s="80"/>
      <c r="S64" s="14"/>
      <c r="W64" s="11">
        <v>44590</v>
      </c>
      <c r="X64" s="22"/>
      <c r="Y64" s="22"/>
      <c r="Z64" s="22"/>
      <c r="AA64" s="22"/>
      <c r="AB64" s="22"/>
      <c r="AC64" s="22"/>
      <c r="AD64" s="22"/>
      <c r="AE64" s="22"/>
      <c r="AF64" s="14"/>
      <c r="AG64" s="14"/>
      <c r="AH64" s="14"/>
      <c r="AI64" s="14"/>
      <c r="AJ64" s="14"/>
      <c r="AK64" s="14"/>
      <c r="AL64" s="14"/>
      <c r="AM64" s="14"/>
      <c r="AN64" s="80"/>
      <c r="AO64" s="14"/>
    </row>
    <row r="65">
      <c r="A65" s="11">
        <v>44591</v>
      </c>
      <c r="B65" s="5"/>
      <c r="C65" s="5"/>
      <c r="D65" s="5"/>
      <c r="E65" s="5">
        <v>28</v>
      </c>
      <c r="F65" s="5"/>
      <c r="G65" s="5"/>
      <c r="H65" s="5"/>
      <c r="I65" s="5">
        <v>28</v>
      </c>
      <c r="J65" s="5"/>
      <c r="K65" s="5"/>
      <c r="L65" s="5"/>
      <c r="M65" s="5"/>
      <c r="N65" s="5"/>
      <c r="O65" s="5"/>
      <c r="P65" s="5"/>
      <c r="Q65" s="5"/>
      <c r="R65" s="48"/>
      <c r="S65" s="5"/>
      <c r="W65" s="11">
        <v>44591</v>
      </c>
      <c r="X65" s="5"/>
      <c r="Y65" s="5"/>
      <c r="Z65" s="5"/>
      <c r="AA65" s="5"/>
      <c r="AB65" s="5"/>
      <c r="AC65" s="5"/>
      <c r="AD65" s="5"/>
      <c r="AE65" s="5"/>
      <c r="AF65" s="5"/>
      <c r="AG65" s="5"/>
      <c r="AH65" s="5"/>
      <c r="AI65" s="5"/>
      <c r="AJ65" s="5"/>
      <c r="AK65" s="5"/>
      <c r="AL65" s="5"/>
      <c r="AM65" s="5"/>
      <c r="AN65" s="48"/>
      <c r="AO65" s="5"/>
    </row>
    <row r="66">
      <c r="A66" s="11">
        <v>44592</v>
      </c>
      <c r="B66" s="22"/>
      <c r="C66" s="22"/>
      <c r="D66" s="22"/>
      <c r="E66" s="22">
        <f>1502.29+1502.29+24.18</f>
        <v>3028.7599999999998</v>
      </c>
      <c r="F66" s="22"/>
      <c r="G66" s="22"/>
      <c r="H66" s="22"/>
      <c r="I66" s="22"/>
      <c r="J66" s="14"/>
      <c r="K66" s="14"/>
      <c r="L66" s="14"/>
      <c r="M66" s="14"/>
      <c r="N66" s="14"/>
      <c r="O66" s="14"/>
      <c r="P66" s="14"/>
      <c r="Q66" s="14"/>
      <c r="R66" s="80"/>
      <c r="S66" s="14"/>
      <c r="W66" s="11">
        <v>44592</v>
      </c>
      <c r="X66" s="22"/>
      <c r="Y66" s="22"/>
      <c r="Z66" s="22"/>
      <c r="AA66" s="22"/>
      <c r="AB66" s="22"/>
      <c r="AC66" s="22"/>
      <c r="AD66" s="22"/>
      <c r="AE66" s="22"/>
      <c r="AF66" s="14"/>
      <c r="AG66" s="14"/>
      <c r="AH66" s="14"/>
      <c r="AI66" s="14"/>
      <c r="AJ66" s="14"/>
      <c r="AK66" s="14"/>
      <c r="AL66" s="14"/>
      <c r="AM66" s="14"/>
      <c r="AN66" s="80"/>
      <c r="AO66" s="14"/>
    </row>
    <row r="67">
      <c r="A67" s="74"/>
      <c r="B67" s="75">
        <f t="shared" ref="B67:R67" si="100">SUM(B36:B66)</f>
        <v>38470.559999999998</v>
      </c>
      <c r="C67" s="75">
        <f t="shared" si="100"/>
        <v>0</v>
      </c>
      <c r="D67" s="75">
        <f t="shared" si="100"/>
        <v>0</v>
      </c>
      <c r="E67" s="75">
        <f t="shared" si="100"/>
        <v>3056.7599999999998</v>
      </c>
      <c r="F67" s="75">
        <f t="shared" si="100"/>
        <v>1000</v>
      </c>
      <c r="G67" s="75">
        <f t="shared" si="100"/>
        <v>0</v>
      </c>
      <c r="H67" s="75">
        <f t="shared" si="100"/>
        <v>0</v>
      </c>
      <c r="I67" s="75">
        <f t="shared" si="100"/>
        <v>519</v>
      </c>
      <c r="J67" s="75">
        <f t="shared" si="100"/>
        <v>0</v>
      </c>
      <c r="K67" s="75">
        <f t="shared" si="100"/>
        <v>0</v>
      </c>
      <c r="L67" s="75">
        <f t="shared" si="100"/>
        <v>0</v>
      </c>
      <c r="M67" s="75">
        <f t="shared" si="100"/>
        <v>0</v>
      </c>
      <c r="N67" s="75">
        <f t="shared" si="100"/>
        <v>0</v>
      </c>
      <c r="O67" s="75">
        <f t="shared" si="100"/>
        <v>0</v>
      </c>
      <c r="P67" s="75">
        <f t="shared" si="100"/>
        <v>0</v>
      </c>
      <c r="Q67" s="75">
        <f t="shared" si="100"/>
        <v>0</v>
      </c>
      <c r="R67" s="75">
        <f t="shared" si="100"/>
        <v>0</v>
      </c>
      <c r="S67" s="75">
        <f>SUM(B67:R67)</f>
        <v>43046.32</v>
      </c>
      <c r="W67" s="74"/>
      <c r="X67" s="75">
        <f t="shared" ref="X67:AN67" si="101">SUM(X36:X66)</f>
        <v>22860.209999999999</v>
      </c>
      <c r="Y67" s="75">
        <f t="shared" si="101"/>
        <v>0</v>
      </c>
      <c r="Z67" s="75">
        <f t="shared" si="101"/>
        <v>0</v>
      </c>
      <c r="AA67" s="75">
        <f t="shared" si="101"/>
        <v>0</v>
      </c>
      <c r="AB67" s="75">
        <f t="shared" si="101"/>
        <v>0</v>
      </c>
      <c r="AC67" s="75">
        <f t="shared" si="101"/>
        <v>0</v>
      </c>
      <c r="AD67" s="75">
        <f t="shared" si="101"/>
        <v>0</v>
      </c>
      <c r="AE67" s="75">
        <f t="shared" si="101"/>
        <v>0</v>
      </c>
      <c r="AF67" s="75">
        <f t="shared" si="101"/>
        <v>0</v>
      </c>
      <c r="AG67" s="75">
        <f t="shared" si="101"/>
        <v>0</v>
      </c>
      <c r="AH67" s="75">
        <f t="shared" si="101"/>
        <v>0</v>
      </c>
      <c r="AI67" s="75">
        <f t="shared" si="101"/>
        <v>0</v>
      </c>
      <c r="AJ67" s="75">
        <f t="shared" si="101"/>
        <v>0</v>
      </c>
      <c r="AK67" s="75">
        <f t="shared" si="101"/>
        <v>0</v>
      </c>
      <c r="AL67" s="75">
        <f t="shared" si="101"/>
        <v>0</v>
      </c>
      <c r="AM67" s="75">
        <f t="shared" si="101"/>
        <v>0</v>
      </c>
      <c r="AN67" s="75">
        <f t="shared" si="101"/>
        <v>0</v>
      </c>
      <c r="AO67" s="75">
        <f>SUM(X67:AN67)</f>
        <v>22860.209999999999</v>
      </c>
    </row>
    <row r="68">
      <c r="A68" s="84"/>
      <c r="B68" s="84"/>
      <c r="C68" s="84"/>
      <c r="D68" s="84"/>
      <c r="E68" s="84"/>
      <c r="F68" s="84"/>
      <c r="G68" s="84"/>
      <c r="H68" s="84"/>
      <c r="I68" s="84"/>
      <c r="J68" s="84"/>
      <c r="K68" s="84"/>
      <c r="L68" s="84"/>
      <c r="M68" s="84"/>
      <c r="N68" s="84"/>
      <c r="O68" s="84"/>
      <c r="P68" s="84"/>
      <c r="Q68" s="84"/>
      <c r="R68" s="84"/>
      <c r="S68" s="84"/>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row>
    <row r="70">
      <c r="A70" s="5" t="s">
        <v>68</v>
      </c>
      <c r="B70" s="71">
        <f>21000-344+2039+(23000-23000)-344-344+8164.1-4600-3300+(3000-3000)+80000+2000+(5500-5500)+(5650-5100)+1000+300</f>
        <v>106121.10000000001</v>
      </c>
      <c r="C70" s="5"/>
      <c r="D70" s="5"/>
      <c r="E70" s="5"/>
      <c r="F70" s="5"/>
      <c r="G70" s="5"/>
      <c r="H70" s="5"/>
      <c r="I70" s="5"/>
      <c r="J70" s="5"/>
      <c r="K70" s="5"/>
      <c r="L70" s="5"/>
      <c r="M70" s="5"/>
      <c r="N70" s="5"/>
      <c r="O70" s="5"/>
      <c r="P70" s="5"/>
      <c r="Q70" s="5"/>
      <c r="R70" s="5"/>
      <c r="S70" s="5"/>
    </row>
    <row r="71">
      <c r="A71" s="5" t="s">
        <v>76</v>
      </c>
      <c r="B71" s="5">
        <v>1300</v>
      </c>
      <c r="C71" s="5"/>
      <c r="D71" s="5"/>
      <c r="E71" s="5"/>
      <c r="F71" s="5"/>
      <c r="G71" s="5"/>
      <c r="H71" s="5"/>
      <c r="I71" s="5"/>
      <c r="J71" s="5"/>
      <c r="K71" s="5"/>
      <c r="L71" s="5"/>
      <c r="M71" s="5"/>
      <c r="N71" s="5"/>
      <c r="O71" s="5"/>
      <c r="P71" s="5"/>
      <c r="Q71" s="5"/>
      <c r="R71" s="5"/>
      <c r="S71" s="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N31" zoomScale="100" workbookViewId="0">
      <selection activeCell="A1" activeCellId="0" sqref="A1"/>
    </sheetView>
  </sheetViews>
  <sheetFormatPr defaultRowHeight="14.25"/>
  <cols>
    <col bestFit="1" customWidth="1" min="1" max="1" width="12.5703125"/>
    <col bestFit="1" customWidth="1" min="23" max="23" width="12.42578125"/>
  </cols>
  <sheetData>
    <row r="1">
      <c r="A1" s="82" t="s">
        <v>0</v>
      </c>
      <c r="B1" s="83" t="s">
        <v>70</v>
      </c>
      <c r="C1" s="83" t="s">
        <v>71</v>
      </c>
      <c r="D1" s="83" t="s">
        <v>72</v>
      </c>
      <c r="E1" s="83" t="s">
        <v>3</v>
      </c>
      <c r="F1" s="83" t="s">
        <v>4</v>
      </c>
      <c r="G1" s="83" t="s">
        <v>5</v>
      </c>
      <c r="H1" s="83" t="s">
        <v>6</v>
      </c>
      <c r="I1" s="83" t="s">
        <v>7</v>
      </c>
      <c r="J1" s="83" t="s">
        <v>8</v>
      </c>
      <c r="K1" s="83" t="s">
        <v>9</v>
      </c>
      <c r="L1" s="83" t="s">
        <v>10</v>
      </c>
      <c r="M1" s="83" t="s">
        <v>11</v>
      </c>
      <c r="N1" s="83" t="s">
        <v>12</v>
      </c>
      <c r="O1" s="83" t="s">
        <v>13</v>
      </c>
      <c r="P1" s="83" t="s">
        <v>19</v>
      </c>
      <c r="Q1" s="83" t="s">
        <v>20</v>
      </c>
      <c r="R1" s="83" t="s">
        <v>73</v>
      </c>
      <c r="S1" s="83" t="s">
        <v>62</v>
      </c>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19</v>
      </c>
      <c r="AM1" s="83" t="s">
        <v>20</v>
      </c>
      <c r="AN1" s="83" t="s">
        <v>73</v>
      </c>
      <c r="AO1" s="83" t="s">
        <v>62</v>
      </c>
    </row>
    <row r="2">
      <c r="A2" s="11">
        <v>44593</v>
      </c>
      <c r="B2" s="14"/>
      <c r="C2" s="14">
        <v>469.97000000000003</v>
      </c>
      <c r="D2" s="14">
        <v>103</v>
      </c>
      <c r="E2" s="14"/>
      <c r="F2" s="14"/>
      <c r="G2" s="14"/>
      <c r="H2" s="14"/>
      <c r="I2" s="14"/>
      <c r="J2" s="14"/>
      <c r="K2" s="14"/>
      <c r="L2" s="14"/>
      <c r="M2" s="14"/>
      <c r="N2" s="14"/>
      <c r="O2" s="14"/>
      <c r="P2" s="14"/>
      <c r="Q2" s="14"/>
      <c r="R2" s="14"/>
      <c r="S2" s="14"/>
      <c r="W2" s="11">
        <v>44593</v>
      </c>
      <c r="X2" s="14"/>
      <c r="Y2" s="14">
        <f>330.77+78.8+187.6</f>
        <v>597.16999999999996</v>
      </c>
      <c r="Z2" s="14"/>
      <c r="AA2" s="14"/>
      <c r="AB2" s="14">
        <f>2700-2700</f>
        <v>0</v>
      </c>
      <c r="AC2" s="14"/>
      <c r="AD2" s="14"/>
      <c r="AE2" s="14"/>
      <c r="AF2" s="14"/>
      <c r="AG2" s="14"/>
      <c r="AH2" s="14"/>
      <c r="AI2" s="14"/>
      <c r="AJ2" s="14"/>
      <c r="AK2" s="14"/>
      <c r="AL2" s="14"/>
      <c r="AM2" s="14"/>
      <c r="AN2" s="14"/>
      <c r="AO2" s="14"/>
    </row>
    <row r="3">
      <c r="A3" s="11">
        <v>44594</v>
      </c>
      <c r="B3" s="5"/>
      <c r="C3" s="5"/>
      <c r="D3" s="5"/>
      <c r="E3" s="5"/>
      <c r="F3" s="5"/>
      <c r="G3" s="5"/>
      <c r="H3" s="5"/>
      <c r="I3" s="5"/>
      <c r="J3" s="5"/>
      <c r="K3" s="5"/>
      <c r="L3" s="5"/>
      <c r="M3" s="5"/>
      <c r="N3" s="5">
        <v>600</v>
      </c>
      <c r="O3" s="5"/>
      <c r="P3" s="5"/>
      <c r="Q3" s="5"/>
      <c r="R3" s="5"/>
      <c r="S3" s="5"/>
      <c r="W3" s="11">
        <v>44594</v>
      </c>
      <c r="X3" s="5"/>
      <c r="Y3" s="5"/>
      <c r="Z3" s="5"/>
      <c r="AA3" s="5"/>
      <c r="AB3" s="5"/>
      <c r="AC3" s="5"/>
      <c r="AD3" s="5"/>
      <c r="AE3" s="5"/>
      <c r="AF3" s="5"/>
      <c r="AG3" s="5"/>
      <c r="AH3" s="5"/>
      <c r="AI3" s="5"/>
      <c r="AJ3" s="5"/>
      <c r="AK3" s="5"/>
      <c r="AL3" s="5"/>
      <c r="AM3" s="5"/>
      <c r="AN3" s="5"/>
      <c r="AO3" s="5"/>
    </row>
    <row r="4">
      <c r="A4" s="11">
        <v>44595</v>
      </c>
      <c r="B4" s="14"/>
      <c r="C4" s="14"/>
      <c r="D4" s="14">
        <v>79</v>
      </c>
      <c r="E4" s="14"/>
      <c r="F4" s="14"/>
      <c r="G4" s="14"/>
      <c r="H4" s="14"/>
      <c r="I4" s="14"/>
      <c r="J4" s="14"/>
      <c r="K4" s="14"/>
      <c r="L4" s="14"/>
      <c r="M4" s="14"/>
      <c r="N4" s="14"/>
      <c r="O4" s="14"/>
      <c r="P4" s="14"/>
      <c r="Q4" s="14"/>
      <c r="R4" s="14"/>
      <c r="S4" s="14"/>
      <c r="W4" s="11">
        <v>44595</v>
      </c>
      <c r="X4" s="14"/>
      <c r="Y4" s="14"/>
      <c r="Z4" s="14"/>
      <c r="AA4" s="14"/>
      <c r="AB4" s="14"/>
      <c r="AC4" s="14"/>
      <c r="AD4" s="14"/>
      <c r="AE4" s="14"/>
      <c r="AF4" s="14"/>
      <c r="AG4" s="14"/>
      <c r="AH4" s="14"/>
      <c r="AI4" s="14"/>
      <c r="AJ4" s="14"/>
      <c r="AK4" s="14"/>
      <c r="AL4" s="14"/>
      <c r="AM4" s="14"/>
      <c r="AN4" s="14"/>
      <c r="AO4" s="14"/>
    </row>
    <row r="5">
      <c r="A5" s="11">
        <v>44596</v>
      </c>
      <c r="B5" s="5"/>
      <c r="C5" s="5"/>
      <c r="D5" s="5"/>
      <c r="E5" s="5"/>
      <c r="F5" s="5"/>
      <c r="G5" s="5"/>
      <c r="H5" s="5"/>
      <c r="I5" s="5"/>
      <c r="J5" s="5"/>
      <c r="K5" s="5"/>
      <c r="L5" s="5"/>
      <c r="M5" s="5"/>
      <c r="N5" s="5"/>
      <c r="O5" s="5"/>
      <c r="P5" s="5"/>
      <c r="Q5" s="5"/>
      <c r="R5" s="5"/>
      <c r="S5" s="5">
        <v>325</v>
      </c>
      <c r="W5" s="11">
        <v>44596</v>
      </c>
      <c r="X5" s="5"/>
      <c r="Y5" s="5">
        <f>104.98+2262</f>
        <v>2366.98</v>
      </c>
      <c r="Z5" s="5"/>
      <c r="AA5" s="5"/>
      <c r="AB5" s="5"/>
      <c r="AC5" s="5"/>
      <c r="AD5" s="5"/>
      <c r="AE5" s="5"/>
      <c r="AF5" s="5"/>
      <c r="AG5" s="5"/>
      <c r="AH5" s="5"/>
      <c r="AI5" s="5"/>
      <c r="AJ5" s="5"/>
      <c r="AK5" s="5"/>
      <c r="AL5" s="5"/>
      <c r="AM5" s="5"/>
      <c r="AN5" s="5"/>
      <c r="AO5" s="5"/>
    </row>
    <row r="6">
      <c r="A6" s="11">
        <v>44597</v>
      </c>
      <c r="B6" s="14"/>
      <c r="C6" s="14"/>
      <c r="D6" s="14"/>
      <c r="E6" s="14"/>
      <c r="F6" s="14"/>
      <c r="G6" s="14"/>
      <c r="H6" s="14"/>
      <c r="I6" s="14"/>
      <c r="J6" s="14"/>
      <c r="K6" s="14"/>
      <c r="L6" s="14"/>
      <c r="M6" s="14">
        <v>2000</v>
      </c>
      <c r="N6" s="14"/>
      <c r="O6" s="14"/>
      <c r="P6" s="14"/>
      <c r="Q6" s="14"/>
      <c r="R6" s="14"/>
      <c r="S6" s="14"/>
      <c r="W6" s="11">
        <v>44597</v>
      </c>
      <c r="X6" s="14">
        <v>25</v>
      </c>
      <c r="Y6" s="14"/>
      <c r="Z6" s="14"/>
      <c r="AA6" s="14"/>
      <c r="AB6" s="14"/>
      <c r="AC6" s="14"/>
      <c r="AD6" s="14">
        <v>25</v>
      </c>
      <c r="AE6" s="14"/>
      <c r="AF6" s="14"/>
      <c r="AG6" s="14">
        <v>450</v>
      </c>
      <c r="AH6" s="14"/>
      <c r="AI6" s="14"/>
      <c r="AJ6" s="14"/>
      <c r="AK6" s="14"/>
      <c r="AL6" s="14"/>
      <c r="AM6" s="14"/>
      <c r="AN6" s="14"/>
      <c r="AO6" s="14"/>
    </row>
    <row r="7">
      <c r="A7" s="11">
        <v>44598</v>
      </c>
      <c r="B7" s="5"/>
      <c r="C7" s="5"/>
      <c r="D7" s="5"/>
      <c r="E7" s="5"/>
      <c r="F7" s="5"/>
      <c r="G7" s="5"/>
      <c r="H7" s="5"/>
      <c r="I7" s="5"/>
      <c r="J7" s="5"/>
      <c r="K7" s="5"/>
      <c r="L7" s="5"/>
      <c r="M7" s="5"/>
      <c r="N7" s="5"/>
      <c r="O7" s="5"/>
      <c r="P7" s="5"/>
      <c r="Q7" s="5"/>
      <c r="R7" s="5"/>
      <c r="S7" s="5"/>
      <c r="W7" s="11">
        <v>44598</v>
      </c>
      <c r="X7" s="5">
        <v>500</v>
      </c>
      <c r="Y7" s="5"/>
      <c r="Z7" s="5"/>
      <c r="AA7" s="5"/>
      <c r="AB7" s="5"/>
      <c r="AC7" s="5"/>
      <c r="AD7" s="5"/>
      <c r="AE7" s="5"/>
      <c r="AF7" s="5"/>
      <c r="AG7" s="5"/>
      <c r="AH7" s="5"/>
      <c r="AI7" s="5"/>
      <c r="AJ7" s="5"/>
      <c r="AK7" s="5"/>
      <c r="AL7" s="5"/>
      <c r="AM7" s="5"/>
      <c r="AN7" s="5"/>
      <c r="AO7" s="5"/>
    </row>
    <row r="8">
      <c r="A8" s="11">
        <v>44599</v>
      </c>
      <c r="B8" s="14"/>
      <c r="C8" s="14"/>
      <c r="D8" s="14">
        <v>101</v>
      </c>
      <c r="E8" s="14"/>
      <c r="F8" s="14"/>
      <c r="G8" s="14"/>
      <c r="H8" s="14"/>
      <c r="I8" s="14"/>
      <c r="J8" s="14"/>
      <c r="K8" s="14"/>
      <c r="L8" s="14"/>
      <c r="M8" s="14"/>
      <c r="N8" s="14"/>
      <c r="O8" s="14"/>
      <c r="P8" s="14"/>
      <c r="Q8" s="14"/>
      <c r="R8" s="14"/>
      <c r="S8" s="14"/>
      <c r="W8" s="11">
        <v>44599</v>
      </c>
      <c r="X8" s="14"/>
      <c r="Y8" s="14">
        <v>202.99000000000001</v>
      </c>
      <c r="Z8" s="14"/>
      <c r="AA8" s="14"/>
      <c r="AB8" s="14"/>
      <c r="AC8" s="14"/>
      <c r="AD8" s="14"/>
      <c r="AE8" s="14"/>
      <c r="AF8" s="14"/>
      <c r="AG8" s="14"/>
      <c r="AH8" s="14"/>
      <c r="AI8" s="14"/>
      <c r="AJ8" s="14"/>
      <c r="AK8" s="14"/>
      <c r="AL8" s="14"/>
      <c r="AM8" s="14"/>
      <c r="AN8" s="14"/>
      <c r="AO8" s="14"/>
    </row>
    <row r="9">
      <c r="A9" s="11">
        <v>44600</v>
      </c>
      <c r="B9" s="5"/>
      <c r="C9" s="5"/>
      <c r="D9" s="5"/>
      <c r="E9" s="5"/>
      <c r="F9" s="5"/>
      <c r="G9" s="5"/>
      <c r="H9" s="5"/>
      <c r="I9" s="5"/>
      <c r="J9" s="5"/>
      <c r="K9" s="5"/>
      <c r="L9" s="5"/>
      <c r="M9" s="5"/>
      <c r="N9" s="5"/>
      <c r="O9" s="5"/>
      <c r="P9" s="5"/>
      <c r="Q9" s="5"/>
      <c r="R9" s="5"/>
      <c r="S9" s="5"/>
      <c r="W9" s="11">
        <v>44600</v>
      </c>
      <c r="X9" s="5"/>
      <c r="Y9" s="5">
        <v>190.68000000000001</v>
      </c>
      <c r="Z9" s="5"/>
      <c r="AA9" s="5"/>
      <c r="AB9" s="5"/>
      <c r="AC9" s="5"/>
      <c r="AD9" s="5"/>
      <c r="AE9" s="5"/>
      <c r="AF9" s="5"/>
      <c r="AG9" s="5"/>
      <c r="AH9" s="5"/>
      <c r="AI9" s="5"/>
      <c r="AJ9" s="5"/>
      <c r="AK9" s="5"/>
      <c r="AL9" s="5"/>
      <c r="AM9" s="5"/>
      <c r="AN9" s="5"/>
      <c r="AO9" s="5"/>
    </row>
    <row r="10">
      <c r="A10" s="11">
        <v>44601</v>
      </c>
      <c r="B10" s="14"/>
      <c r="C10" s="14"/>
      <c r="D10" s="14">
        <v>105</v>
      </c>
      <c r="E10" s="14"/>
      <c r="F10" s="14"/>
      <c r="G10" s="14"/>
      <c r="H10" s="14"/>
      <c r="I10" s="14"/>
      <c r="J10" s="14"/>
      <c r="K10" s="14"/>
      <c r="L10" s="14"/>
      <c r="M10" s="14"/>
      <c r="N10" s="14"/>
      <c r="O10" s="14"/>
      <c r="P10" s="14"/>
      <c r="Q10" s="14"/>
      <c r="R10" s="14">
        <v>360</v>
      </c>
      <c r="S10" s="14"/>
      <c r="W10" s="11">
        <v>44601</v>
      </c>
      <c r="X10" s="14"/>
      <c r="Y10" s="14">
        <v>800.71000000000004</v>
      </c>
      <c r="Z10" s="14"/>
      <c r="AA10" s="14"/>
      <c r="AB10" s="14"/>
      <c r="AC10" s="14"/>
      <c r="AD10" s="14"/>
      <c r="AE10" s="14"/>
      <c r="AF10" s="14"/>
      <c r="AG10" s="14"/>
      <c r="AH10" s="14"/>
      <c r="AI10" s="14"/>
      <c r="AJ10" s="14"/>
      <c r="AK10" s="14"/>
      <c r="AL10" s="14"/>
      <c r="AM10" s="14"/>
      <c r="AN10" s="14"/>
      <c r="AO10" s="14"/>
    </row>
    <row r="11">
      <c r="A11" s="11">
        <v>44602</v>
      </c>
      <c r="B11" s="5">
        <v>50</v>
      </c>
      <c r="C11" s="5">
        <f>676+43.99</f>
        <v>719.99000000000001</v>
      </c>
      <c r="D11" s="5"/>
      <c r="E11" s="5">
        <v>730</v>
      </c>
      <c r="F11" s="5"/>
      <c r="G11" s="5"/>
      <c r="H11" s="5"/>
      <c r="I11" s="5"/>
      <c r="J11" s="5">
        <v>9.3900000000000006</v>
      </c>
      <c r="K11" s="5"/>
      <c r="L11" s="5"/>
      <c r="M11" s="5"/>
      <c r="N11" s="5"/>
      <c r="O11" s="5"/>
      <c r="P11" s="5"/>
      <c r="Q11" s="5"/>
      <c r="R11" s="5"/>
      <c r="S11" s="5">
        <v>149</v>
      </c>
      <c r="W11" s="11">
        <v>44602</v>
      </c>
      <c r="X11" s="5"/>
      <c r="Y11" s="5"/>
      <c r="Z11" s="5"/>
      <c r="AA11" s="5"/>
      <c r="AB11" s="5"/>
      <c r="AC11" s="5"/>
      <c r="AD11" s="5"/>
      <c r="AE11" s="5"/>
      <c r="AF11" s="5">
        <v>104</v>
      </c>
      <c r="AG11" s="5">
        <v>10000</v>
      </c>
      <c r="AH11" s="5"/>
      <c r="AI11" s="5"/>
      <c r="AJ11" s="5"/>
      <c r="AK11" s="5"/>
      <c r="AL11" s="5"/>
      <c r="AM11" s="5"/>
      <c r="AN11" s="5"/>
      <c r="AO11" s="5"/>
    </row>
    <row r="12">
      <c r="A12" s="11">
        <v>44603</v>
      </c>
      <c r="B12" s="14">
        <v>89</v>
      </c>
      <c r="C12" s="14"/>
      <c r="D12" s="14">
        <f>69.04+58</f>
        <v>127.04000000000001</v>
      </c>
      <c r="E12" s="14"/>
      <c r="F12" s="14"/>
      <c r="G12" s="14"/>
      <c r="H12" s="14"/>
      <c r="I12" s="14"/>
      <c r="J12" s="14"/>
      <c r="K12" s="14"/>
      <c r="L12" s="14"/>
      <c r="M12" s="14"/>
      <c r="N12" s="14"/>
      <c r="O12" s="14"/>
      <c r="P12" s="14"/>
      <c r="Q12" s="14"/>
      <c r="R12" s="14"/>
      <c r="S12" s="14"/>
      <c r="W12" s="11">
        <v>44603</v>
      </c>
      <c r="X12" s="14"/>
      <c r="Y12" s="14"/>
      <c r="Z12" s="14"/>
      <c r="AA12" s="14"/>
      <c r="AB12" s="14"/>
      <c r="AC12" s="14"/>
      <c r="AD12" s="14"/>
      <c r="AE12" s="14"/>
      <c r="AF12" s="14"/>
      <c r="AG12" s="14"/>
      <c r="AH12" s="14"/>
      <c r="AI12" s="14"/>
      <c r="AJ12" s="14"/>
      <c r="AK12" s="14"/>
      <c r="AL12" s="14"/>
      <c r="AM12" s="14"/>
      <c r="AN12" s="14"/>
      <c r="AO12" s="14"/>
    </row>
    <row r="13">
      <c r="A13" s="11">
        <v>44604</v>
      </c>
      <c r="B13" s="5"/>
      <c r="C13" s="5">
        <v>199.99000000000001</v>
      </c>
      <c r="D13" s="5"/>
      <c r="E13" s="5"/>
      <c r="F13" s="5"/>
      <c r="G13" s="5"/>
      <c r="H13" s="5"/>
      <c r="I13" s="5"/>
      <c r="J13" s="5"/>
      <c r="K13" s="5">
        <v>281.19999999999999</v>
      </c>
      <c r="L13" s="5"/>
      <c r="M13" s="5">
        <v>1519.0999999999999</v>
      </c>
      <c r="N13" s="5"/>
      <c r="O13" s="5"/>
      <c r="P13" s="5"/>
      <c r="Q13" s="5"/>
      <c r="R13" s="5"/>
      <c r="S13" s="5"/>
      <c r="W13" s="11">
        <v>44604</v>
      </c>
      <c r="X13" s="5"/>
      <c r="Y13" s="5"/>
      <c r="Z13" s="5"/>
      <c r="AA13" s="5"/>
      <c r="AB13" s="5"/>
      <c r="AC13" s="5"/>
      <c r="AD13" s="5"/>
      <c r="AE13" s="5"/>
      <c r="AF13" s="5"/>
      <c r="AG13" s="5"/>
      <c r="AH13" s="5"/>
      <c r="AI13" s="5"/>
      <c r="AJ13" s="5"/>
      <c r="AK13" s="5"/>
      <c r="AL13" s="5"/>
      <c r="AM13" s="5"/>
      <c r="AN13" s="5"/>
      <c r="AO13" s="5"/>
    </row>
    <row r="14">
      <c r="A14" s="11">
        <v>44605</v>
      </c>
      <c r="B14" s="14">
        <v>25</v>
      </c>
      <c r="C14" s="14">
        <f>191.7+1225</f>
        <v>1416.7</v>
      </c>
      <c r="D14" s="14"/>
      <c r="E14" s="14"/>
      <c r="F14" s="14"/>
      <c r="G14" s="14"/>
      <c r="H14" s="14"/>
      <c r="I14" s="14"/>
      <c r="J14" s="14">
        <v>300</v>
      </c>
      <c r="K14" s="14"/>
      <c r="L14" s="14"/>
      <c r="M14" s="14"/>
      <c r="N14" s="14"/>
      <c r="O14" s="14"/>
      <c r="P14" s="14"/>
      <c r="Q14" s="14"/>
      <c r="R14" s="14"/>
      <c r="S14" s="14"/>
      <c r="W14" s="11">
        <v>44605</v>
      </c>
      <c r="X14" s="14"/>
      <c r="Y14" s="14"/>
      <c r="Z14" s="14"/>
      <c r="AA14" s="14"/>
      <c r="AB14" s="14"/>
      <c r="AC14" s="14"/>
      <c r="AD14" s="14"/>
      <c r="AE14" s="14"/>
      <c r="AF14" s="14"/>
      <c r="AG14" s="14"/>
      <c r="AH14" s="14"/>
      <c r="AI14" s="14"/>
      <c r="AJ14" s="14"/>
      <c r="AK14" s="14"/>
      <c r="AL14" s="14"/>
      <c r="AM14" s="14"/>
      <c r="AN14" s="14"/>
      <c r="AO14" s="14"/>
    </row>
    <row r="15">
      <c r="A15" s="11">
        <v>44606</v>
      </c>
      <c r="B15" s="5"/>
      <c r="C15" s="5">
        <v>190.13999999999999</v>
      </c>
      <c r="D15" s="5"/>
      <c r="E15" s="5"/>
      <c r="F15" s="5">
        <f>7000-7000</f>
        <v>0</v>
      </c>
      <c r="G15" s="5"/>
      <c r="H15" s="5"/>
      <c r="I15" s="5"/>
      <c r="J15" s="5"/>
      <c r="K15" s="5"/>
      <c r="L15" s="5"/>
      <c r="M15" s="5"/>
      <c r="N15" s="5"/>
      <c r="O15" s="5"/>
      <c r="P15" s="5"/>
      <c r="Q15" s="5"/>
      <c r="R15" s="5"/>
      <c r="S15" s="5"/>
      <c r="W15" s="11">
        <v>44606</v>
      </c>
      <c r="X15" s="5"/>
      <c r="Y15" s="5">
        <v>329.89999999999998</v>
      </c>
      <c r="Z15" s="5"/>
      <c r="AA15" s="5"/>
      <c r="AB15" s="5"/>
      <c r="AC15" s="5"/>
      <c r="AD15" s="5"/>
      <c r="AE15" s="5"/>
      <c r="AF15" s="5"/>
      <c r="AG15" s="5"/>
      <c r="AH15" s="5"/>
      <c r="AI15" s="5"/>
      <c r="AJ15" s="5"/>
      <c r="AK15" s="5"/>
      <c r="AL15" s="5"/>
      <c r="AM15" s="5"/>
      <c r="AN15" s="5"/>
      <c r="AO15" s="5"/>
    </row>
    <row r="16">
      <c r="A16" s="11">
        <v>44607</v>
      </c>
      <c r="B16" s="14">
        <v>117</v>
      </c>
      <c r="C16" s="14"/>
      <c r="D16" s="14">
        <v>114</v>
      </c>
      <c r="E16" s="14">
        <v>1770</v>
      </c>
      <c r="F16" s="14"/>
      <c r="G16" s="14"/>
      <c r="H16" s="14"/>
      <c r="I16" s="14"/>
      <c r="J16" s="14"/>
      <c r="K16" s="14"/>
      <c r="L16" s="14"/>
      <c r="M16" s="14">
        <f>950+3000</f>
        <v>3950</v>
      </c>
      <c r="N16" s="14"/>
      <c r="O16" s="14"/>
      <c r="P16" s="14"/>
      <c r="Q16" s="14"/>
      <c r="R16" s="14"/>
      <c r="S16" s="14"/>
      <c r="W16" s="11">
        <v>44607</v>
      </c>
      <c r="X16" s="14"/>
      <c r="Y16" s="14">
        <v>59.979999999999997</v>
      </c>
      <c r="Z16" s="14"/>
      <c r="AA16" s="14"/>
      <c r="AB16" s="14"/>
      <c r="AC16" s="14"/>
      <c r="AD16" s="14"/>
      <c r="AE16" s="14"/>
      <c r="AF16" s="14"/>
      <c r="AG16" s="14"/>
      <c r="AH16" s="14"/>
      <c r="AI16" s="14">
        <v>552</v>
      </c>
      <c r="AJ16" s="14"/>
      <c r="AK16" s="14"/>
      <c r="AL16" s="14"/>
      <c r="AM16" s="14"/>
      <c r="AN16" s="14"/>
      <c r="AO16" s="14"/>
    </row>
    <row r="17">
      <c r="A17" s="11">
        <v>44608</v>
      </c>
      <c r="B17" s="5"/>
      <c r="C17" s="5"/>
      <c r="D17" s="5"/>
      <c r="E17" s="5"/>
      <c r="F17" s="5"/>
      <c r="G17" s="5"/>
      <c r="H17" s="5"/>
      <c r="I17" s="5"/>
      <c r="J17" s="5"/>
      <c r="K17" s="5"/>
      <c r="L17" s="5"/>
      <c r="M17" s="5"/>
      <c r="N17" s="5"/>
      <c r="O17" s="5"/>
      <c r="P17" s="5"/>
      <c r="Q17" s="5"/>
      <c r="R17" s="5"/>
      <c r="S17" s="5"/>
      <c r="W17" s="11">
        <v>44608</v>
      </c>
      <c r="X17" s="5"/>
      <c r="Y17" s="5"/>
      <c r="Z17" s="5"/>
      <c r="AA17" s="5"/>
      <c r="AB17" s="5"/>
      <c r="AC17" s="5"/>
      <c r="AD17" s="5"/>
      <c r="AE17" s="5"/>
      <c r="AF17" s="5"/>
      <c r="AG17" s="5"/>
      <c r="AH17" s="5"/>
      <c r="AI17" s="5"/>
      <c r="AJ17" s="5"/>
      <c r="AK17" s="5"/>
      <c r="AL17" s="5"/>
      <c r="AM17" s="5"/>
      <c r="AN17" s="5"/>
      <c r="AO17" s="5"/>
    </row>
    <row r="18">
      <c r="A18" s="11">
        <v>44609</v>
      </c>
      <c r="B18" s="14"/>
      <c r="C18" s="14">
        <v>506.62</v>
      </c>
      <c r="D18" s="14">
        <v>66</v>
      </c>
      <c r="E18" s="14"/>
      <c r="F18" s="14"/>
      <c r="G18" s="14"/>
      <c r="H18" s="14"/>
      <c r="I18" s="14"/>
      <c r="J18" s="14"/>
      <c r="K18" s="14"/>
      <c r="L18" s="14"/>
      <c r="M18" s="14"/>
      <c r="N18" s="14"/>
      <c r="O18" s="14"/>
      <c r="P18" s="14"/>
      <c r="Q18" s="14"/>
      <c r="R18" s="14">
        <v>380</v>
      </c>
      <c r="S18" s="14"/>
      <c r="W18" s="11">
        <v>44609</v>
      </c>
      <c r="X18" s="14">
        <v>1000</v>
      </c>
      <c r="Y18" s="14"/>
      <c r="Z18" s="14"/>
      <c r="AA18" s="14"/>
      <c r="AB18" s="14"/>
      <c r="AC18" s="14"/>
      <c r="AD18" s="14"/>
      <c r="AE18" s="14"/>
      <c r="AF18" s="14">
        <v>150</v>
      </c>
      <c r="AG18" s="14"/>
      <c r="AH18" s="14"/>
      <c r="AI18" s="14"/>
      <c r="AJ18" s="14"/>
      <c r="AK18" s="14"/>
      <c r="AL18" s="14"/>
      <c r="AM18" s="14"/>
      <c r="AN18" s="14"/>
      <c r="AO18" s="14"/>
    </row>
    <row r="19">
      <c r="A19" s="11">
        <v>44610</v>
      </c>
      <c r="B19" s="5"/>
      <c r="C19" s="5"/>
      <c r="D19" s="5"/>
      <c r="E19" s="5"/>
      <c r="F19" s="5"/>
      <c r="G19" s="5"/>
      <c r="H19" s="5"/>
      <c r="I19" s="5"/>
      <c r="J19" s="5"/>
      <c r="K19" s="5"/>
      <c r="L19" s="5"/>
      <c r="M19" s="5"/>
      <c r="N19" s="5"/>
      <c r="O19" s="5"/>
      <c r="P19" s="5"/>
      <c r="Q19" s="5"/>
      <c r="R19" s="5"/>
      <c r="S19" s="5"/>
      <c r="W19" s="11">
        <v>44610</v>
      </c>
      <c r="X19" s="5"/>
      <c r="Y19" s="5"/>
      <c r="Z19" s="5"/>
      <c r="AA19" s="5"/>
      <c r="AB19" s="5"/>
      <c r="AC19" s="5"/>
      <c r="AD19" s="5"/>
      <c r="AE19" s="5"/>
      <c r="AF19" s="5">
        <v>4547</v>
      </c>
      <c r="AG19" s="5"/>
      <c r="AH19" s="5"/>
      <c r="AI19" s="5">
        <v>150</v>
      </c>
      <c r="AJ19" s="5"/>
      <c r="AK19" s="5"/>
      <c r="AL19" s="5"/>
      <c r="AM19" s="5"/>
      <c r="AN19" s="5"/>
      <c r="AO19" s="5"/>
    </row>
    <row r="20">
      <c r="A20" s="11">
        <v>44611</v>
      </c>
      <c r="B20" s="14"/>
      <c r="C20" s="14"/>
      <c r="D20" s="14"/>
      <c r="E20" s="14"/>
      <c r="F20" s="14"/>
      <c r="G20" s="14"/>
      <c r="H20" s="14"/>
      <c r="I20" s="14"/>
      <c r="J20" s="14"/>
      <c r="K20" s="14"/>
      <c r="L20" s="14"/>
      <c r="M20" s="14"/>
      <c r="N20" s="14"/>
      <c r="O20" s="14"/>
      <c r="P20" s="34"/>
      <c r="Q20" s="14">
        <v>1020</v>
      </c>
      <c r="R20" s="14"/>
      <c r="S20" s="14"/>
      <c r="W20" s="11">
        <v>44611</v>
      </c>
      <c r="X20" s="14"/>
      <c r="Y20" s="14">
        <v>398</v>
      </c>
      <c r="Z20" s="14"/>
      <c r="AA20" s="14"/>
      <c r="AB20" s="14"/>
      <c r="AC20" s="14"/>
      <c r="AD20" s="14"/>
      <c r="AE20" s="14"/>
      <c r="AF20" s="14"/>
      <c r="AG20" s="14"/>
      <c r="AH20" s="14"/>
      <c r="AI20" s="14"/>
      <c r="AJ20" s="14"/>
      <c r="AK20" s="14"/>
      <c r="AL20" s="34"/>
      <c r="AM20" s="14"/>
      <c r="AN20" s="14"/>
      <c r="AO20" s="14"/>
    </row>
    <row r="21">
      <c r="A21" s="11">
        <v>44612</v>
      </c>
      <c r="B21" s="69"/>
      <c r="C21" s="5">
        <v>1128.24</v>
      </c>
      <c r="D21" s="5"/>
      <c r="E21" s="5">
        <v>356</v>
      </c>
      <c r="F21" s="5"/>
      <c r="G21" s="5"/>
      <c r="H21" s="5"/>
      <c r="I21" s="5"/>
      <c r="J21" s="5">
        <v>516.60000000000002</v>
      </c>
      <c r="K21" s="5">
        <v>770.20000000000005</v>
      </c>
      <c r="L21" s="5"/>
      <c r="M21" s="5"/>
      <c r="N21" s="5"/>
      <c r="O21" s="5"/>
      <c r="P21" s="5"/>
      <c r="Q21" s="5"/>
      <c r="R21" s="5"/>
      <c r="S21" s="5"/>
      <c r="W21" s="11">
        <v>44612</v>
      </c>
      <c r="X21" s="69"/>
      <c r="Y21" s="5"/>
      <c r="Z21" s="5"/>
      <c r="AA21" s="5"/>
      <c r="AB21" s="5"/>
      <c r="AC21" s="5"/>
      <c r="AD21" s="5"/>
      <c r="AE21" s="5"/>
      <c r="AF21" s="5"/>
      <c r="AG21" s="5"/>
      <c r="AH21" s="5"/>
      <c r="AI21" s="5"/>
      <c r="AJ21" s="5"/>
      <c r="AK21" s="5"/>
      <c r="AL21" s="5"/>
      <c r="AM21" s="5"/>
      <c r="AN21" s="5"/>
      <c r="AO21" s="5"/>
    </row>
    <row r="22">
      <c r="A22" s="11">
        <v>44613</v>
      </c>
      <c r="B22" s="22"/>
      <c r="C22" s="14"/>
      <c r="D22" s="14">
        <v>69</v>
      </c>
      <c r="E22" s="14"/>
      <c r="F22" s="14"/>
      <c r="G22" s="14"/>
      <c r="H22" s="14"/>
      <c r="I22" s="14"/>
      <c r="J22" s="14"/>
      <c r="K22" s="14"/>
      <c r="L22" s="14"/>
      <c r="M22" s="14"/>
      <c r="N22" s="14"/>
      <c r="O22" s="14"/>
      <c r="P22" s="14"/>
      <c r="Q22" s="14"/>
      <c r="R22" s="14"/>
      <c r="S22" s="14"/>
      <c r="W22" s="11">
        <v>44613</v>
      </c>
      <c r="X22" s="22"/>
      <c r="Y22" s="14"/>
      <c r="Z22" s="14"/>
      <c r="AA22" s="14"/>
      <c r="AB22" s="14"/>
      <c r="AC22" s="14"/>
      <c r="AD22" s="14"/>
      <c r="AE22" s="14"/>
      <c r="AF22" s="14"/>
      <c r="AG22" s="14">
        <v>1200</v>
      </c>
      <c r="AH22" s="14"/>
      <c r="AI22" s="14"/>
      <c r="AJ22" s="14"/>
      <c r="AK22" s="14"/>
      <c r="AL22" s="14"/>
      <c r="AM22" s="14"/>
      <c r="AN22" s="14"/>
      <c r="AO22" s="14"/>
    </row>
    <row r="23">
      <c r="A23" s="11">
        <v>44614</v>
      </c>
      <c r="B23" s="5"/>
      <c r="C23" s="5"/>
      <c r="D23" s="5"/>
      <c r="E23" s="5"/>
      <c r="F23" s="5"/>
      <c r="G23" s="5"/>
      <c r="H23" s="5"/>
      <c r="I23" s="5"/>
      <c r="J23" s="5"/>
      <c r="K23" s="5"/>
      <c r="L23" s="5"/>
      <c r="M23" s="5"/>
      <c r="N23" s="5"/>
      <c r="O23" s="5"/>
      <c r="P23" s="5"/>
      <c r="Q23" s="5"/>
      <c r="R23" s="5"/>
      <c r="S23" s="5"/>
      <c r="W23" s="11">
        <v>44614</v>
      </c>
      <c r="X23" s="5"/>
      <c r="Y23" s="5"/>
      <c r="Z23" s="5"/>
      <c r="AA23" s="5"/>
      <c r="AB23" s="5"/>
      <c r="AC23" s="5"/>
      <c r="AD23" s="5"/>
      <c r="AE23" s="5"/>
      <c r="AF23" s="5">
        <v>161</v>
      </c>
      <c r="AG23" s="5"/>
      <c r="AH23" s="5"/>
      <c r="AI23" s="5">
        <v>1790</v>
      </c>
      <c r="AJ23" s="5"/>
      <c r="AK23" s="5"/>
      <c r="AL23" s="5"/>
      <c r="AM23" s="5"/>
      <c r="AN23" s="5"/>
      <c r="AO23" s="5"/>
    </row>
    <row r="24">
      <c r="A24" s="11">
        <v>44615</v>
      </c>
      <c r="B24" s="14"/>
      <c r="C24" s="14"/>
      <c r="D24" s="14"/>
      <c r="E24" s="14"/>
      <c r="F24" s="14"/>
      <c r="G24" s="14"/>
      <c r="H24" s="14"/>
      <c r="I24" s="14">
        <v>4750</v>
      </c>
      <c r="J24" s="14"/>
      <c r="K24" s="14"/>
      <c r="L24" s="14"/>
      <c r="M24" s="14"/>
      <c r="N24" s="14"/>
      <c r="O24" s="14"/>
      <c r="P24" s="14"/>
      <c r="Q24" s="14"/>
      <c r="R24" s="14"/>
      <c r="S24" s="14"/>
      <c r="W24" s="11">
        <v>44615</v>
      </c>
      <c r="X24" s="14"/>
      <c r="Y24" s="14"/>
      <c r="Z24" s="14"/>
      <c r="AA24" s="14">
        <v>555</v>
      </c>
      <c r="AB24" s="14"/>
      <c r="AC24" s="14"/>
      <c r="AD24" s="14"/>
      <c r="AE24" s="14">
        <v>199</v>
      </c>
      <c r="AF24" s="14"/>
      <c r="AG24" s="14"/>
      <c r="AH24" s="14"/>
      <c r="AI24" s="14">
        <v>30</v>
      </c>
      <c r="AJ24" s="14"/>
      <c r="AK24" s="14"/>
      <c r="AL24" s="14"/>
      <c r="AM24" s="14"/>
      <c r="AN24" s="14"/>
      <c r="AO24" s="14"/>
    </row>
    <row r="25">
      <c r="A25" s="11">
        <v>44616</v>
      </c>
      <c r="B25" s="28">
        <v>1940</v>
      </c>
      <c r="C25" s="5">
        <v>1078.21</v>
      </c>
      <c r="D25" s="5"/>
      <c r="E25" s="5"/>
      <c r="F25" s="5"/>
      <c r="G25" s="5">
        <v>3.96</v>
      </c>
      <c r="H25" s="5"/>
      <c r="I25" s="5"/>
      <c r="J25" s="5"/>
      <c r="K25" s="5"/>
      <c r="L25" s="5"/>
      <c r="M25" s="5"/>
      <c r="N25" s="5"/>
      <c r="O25" s="5"/>
      <c r="P25" s="5">
        <v>800</v>
      </c>
      <c r="Q25" s="5"/>
      <c r="R25" s="5"/>
      <c r="S25" s="5"/>
      <c r="W25" s="11">
        <v>44616</v>
      </c>
      <c r="X25" s="28"/>
      <c r="Y25" s="5">
        <v>166.97999999999999</v>
      </c>
      <c r="Z25" s="5"/>
      <c r="AA25" s="5"/>
      <c r="AB25" s="5"/>
      <c r="AC25" s="5"/>
      <c r="AD25" s="5"/>
      <c r="AE25" s="5"/>
      <c r="AF25" s="5"/>
      <c r="AG25" s="5">
        <v>11050</v>
      </c>
      <c r="AH25" s="5"/>
      <c r="AI25" s="5"/>
      <c r="AJ25" s="5"/>
      <c r="AK25" s="5"/>
      <c r="AL25" s="5"/>
      <c r="AM25" s="5"/>
      <c r="AN25" s="5"/>
      <c r="AO25" s="5"/>
    </row>
    <row r="26">
      <c r="A26" s="11">
        <v>44617</v>
      </c>
      <c r="B26" s="14"/>
      <c r="C26" s="14">
        <v>186.97</v>
      </c>
      <c r="D26" s="14">
        <v>74</v>
      </c>
      <c r="E26" s="14"/>
      <c r="F26" s="14"/>
      <c r="G26" s="14"/>
      <c r="H26" s="14"/>
      <c r="I26" s="14"/>
      <c r="J26" s="14"/>
      <c r="K26" s="14"/>
      <c r="L26" s="14"/>
      <c r="M26" s="14"/>
      <c r="N26" s="14"/>
      <c r="O26" s="14"/>
      <c r="P26" s="14"/>
      <c r="Q26" s="14"/>
      <c r="R26" s="14"/>
      <c r="S26" s="14"/>
      <c r="W26" s="11">
        <v>44617</v>
      </c>
      <c r="X26" s="14"/>
      <c r="Y26" s="14"/>
      <c r="Z26" s="14"/>
      <c r="AA26" s="14"/>
      <c r="AB26" s="14"/>
      <c r="AC26" s="14"/>
      <c r="AD26" s="14"/>
      <c r="AE26" s="14"/>
      <c r="AF26" s="14"/>
      <c r="AG26" s="14"/>
      <c r="AH26" s="14"/>
      <c r="AI26" s="14"/>
      <c r="AJ26" s="14"/>
      <c r="AK26" s="14"/>
      <c r="AL26" s="14"/>
      <c r="AM26" s="14"/>
      <c r="AN26" s="14"/>
      <c r="AO26" s="14"/>
    </row>
    <row r="27">
      <c r="A27" s="11">
        <v>44618</v>
      </c>
      <c r="B27" s="5">
        <v>127</v>
      </c>
      <c r="C27" s="5"/>
      <c r="D27" s="5"/>
      <c r="E27" s="5"/>
      <c r="F27" s="5"/>
      <c r="G27" s="5"/>
      <c r="H27" s="5"/>
      <c r="I27" s="5"/>
      <c r="J27" s="5"/>
      <c r="K27" s="5"/>
      <c r="L27" s="5"/>
      <c r="M27" s="5">
        <v>5000</v>
      </c>
      <c r="N27" s="5"/>
      <c r="O27" s="5"/>
      <c r="P27" s="5"/>
      <c r="Q27" s="5"/>
      <c r="R27" s="5"/>
      <c r="S27" s="5"/>
      <c r="W27" s="11">
        <v>44618</v>
      </c>
      <c r="X27" s="5"/>
      <c r="Y27" s="5"/>
      <c r="Z27" s="5"/>
      <c r="AA27" s="5"/>
      <c r="AB27" s="5"/>
      <c r="AC27" s="5"/>
      <c r="AD27" s="5"/>
      <c r="AE27" s="5"/>
      <c r="AF27" s="5"/>
      <c r="AG27" s="5"/>
      <c r="AH27" s="5"/>
      <c r="AI27" s="5"/>
      <c r="AJ27" s="5"/>
      <c r="AK27" s="5"/>
      <c r="AL27" s="5"/>
      <c r="AM27" s="5"/>
      <c r="AN27" s="5"/>
      <c r="AO27" s="5"/>
    </row>
    <row r="28">
      <c r="A28" s="11">
        <v>44619</v>
      </c>
      <c r="B28" s="14"/>
      <c r="C28" s="14"/>
      <c r="D28" s="14"/>
      <c r="E28" s="14"/>
      <c r="F28" s="14"/>
      <c r="G28" s="14"/>
      <c r="H28" s="14"/>
      <c r="I28" s="14"/>
      <c r="J28" s="14"/>
      <c r="K28" s="14"/>
      <c r="L28" s="14"/>
      <c r="M28" s="14"/>
      <c r="N28" s="14"/>
      <c r="O28" s="14"/>
      <c r="P28" s="14"/>
      <c r="Q28" s="14"/>
      <c r="R28" s="14">
        <v>380</v>
      </c>
      <c r="S28" s="14"/>
      <c r="W28" s="11">
        <v>44619</v>
      </c>
      <c r="X28" s="14"/>
      <c r="Y28" s="14">
        <v>542.40999999999997</v>
      </c>
      <c r="Z28" s="14"/>
      <c r="AA28" s="14"/>
      <c r="AB28" s="14"/>
      <c r="AC28" s="14"/>
      <c r="AD28" s="14"/>
      <c r="AE28" s="14"/>
      <c r="AF28" s="14"/>
      <c r="AG28" s="14"/>
      <c r="AH28" s="14"/>
      <c r="AI28" s="14"/>
      <c r="AJ28" s="14"/>
      <c r="AK28" s="14"/>
      <c r="AL28" s="14"/>
      <c r="AM28" s="14"/>
      <c r="AN28" s="14"/>
      <c r="AO28" s="14"/>
    </row>
    <row r="29">
      <c r="A29" s="11">
        <v>44620</v>
      </c>
      <c r="B29" s="5"/>
      <c r="C29" s="5"/>
      <c r="D29" s="5"/>
      <c r="E29" s="5"/>
      <c r="F29" s="5"/>
      <c r="G29" s="5"/>
      <c r="H29" s="5"/>
      <c r="I29" s="5"/>
      <c r="J29" s="5"/>
      <c r="K29" s="5"/>
      <c r="L29" s="5"/>
      <c r="M29" s="5"/>
      <c r="N29" s="5"/>
      <c r="O29" s="5"/>
      <c r="P29" s="5"/>
      <c r="Q29" s="5">
        <v>199</v>
      </c>
      <c r="R29" s="5"/>
      <c r="S29" s="5"/>
      <c r="W29" s="11">
        <v>44620</v>
      </c>
      <c r="X29" s="5"/>
      <c r="Y29" s="5"/>
      <c r="Z29" s="5"/>
      <c r="AA29" s="5"/>
      <c r="AB29" s="5"/>
      <c r="AC29" s="5"/>
      <c r="AD29" s="5"/>
      <c r="AE29" s="5"/>
      <c r="AF29" s="5"/>
      <c r="AG29" s="5"/>
      <c r="AH29" s="5"/>
      <c r="AI29" s="5"/>
      <c r="AJ29" s="5"/>
      <c r="AK29" s="5"/>
      <c r="AL29" s="5"/>
      <c r="AM29" s="5"/>
      <c r="AN29" s="5"/>
      <c r="AO29" s="5"/>
    </row>
    <row r="30">
      <c r="A30" s="11"/>
      <c r="B30" s="22"/>
      <c r="C30" s="22"/>
      <c r="D30" s="22"/>
      <c r="E30" s="22"/>
      <c r="F30" s="22"/>
      <c r="G30" s="22"/>
      <c r="H30" s="22"/>
      <c r="I30" s="22"/>
      <c r="J30" s="22"/>
      <c r="K30" s="22"/>
      <c r="L30" s="22"/>
      <c r="M30" s="22"/>
      <c r="N30" s="22"/>
      <c r="O30" s="22"/>
      <c r="P30" s="22"/>
      <c r="Q30" s="22"/>
      <c r="R30" s="22"/>
      <c r="S30" s="22"/>
      <c r="W30" s="11"/>
      <c r="X30" s="22"/>
      <c r="Y30" s="22"/>
      <c r="Z30" s="22"/>
      <c r="AA30" s="22"/>
      <c r="AB30" s="22"/>
      <c r="AC30" s="22"/>
      <c r="AD30" s="22"/>
      <c r="AE30" s="22"/>
      <c r="AF30" s="22"/>
      <c r="AG30" s="22"/>
      <c r="AH30" s="22"/>
      <c r="AI30" s="22"/>
      <c r="AJ30" s="22"/>
      <c r="AK30" s="22"/>
      <c r="AL30" s="22"/>
      <c r="AM30" s="22"/>
      <c r="AN30" s="22"/>
      <c r="AO30" s="22"/>
    </row>
    <row r="31">
      <c r="A31" s="11"/>
      <c r="B31" s="5"/>
      <c r="C31" s="5"/>
      <c r="D31" s="5"/>
      <c r="E31" s="5"/>
      <c r="F31" s="5"/>
      <c r="G31" s="5"/>
      <c r="H31" s="5"/>
      <c r="I31" s="5"/>
      <c r="J31" s="5"/>
      <c r="K31" s="5"/>
      <c r="L31" s="5"/>
      <c r="M31" s="5"/>
      <c r="N31" s="5"/>
      <c r="O31" s="5"/>
      <c r="P31" s="5"/>
      <c r="Q31" s="5"/>
      <c r="R31" s="5"/>
      <c r="S31" s="5"/>
      <c r="W31" s="11"/>
      <c r="X31" s="5"/>
      <c r="Y31" s="5"/>
      <c r="Z31" s="5"/>
      <c r="AA31" s="5"/>
      <c r="AB31" s="5"/>
      <c r="AC31" s="5"/>
      <c r="AD31" s="5"/>
      <c r="AE31" s="5"/>
      <c r="AF31" s="5"/>
      <c r="AG31" s="5"/>
      <c r="AH31" s="5"/>
      <c r="AI31" s="5"/>
      <c r="AJ31" s="5"/>
      <c r="AK31" s="5"/>
      <c r="AL31" s="5"/>
      <c r="AM31" s="5"/>
      <c r="AN31" s="5"/>
      <c r="AO31" s="5"/>
    </row>
    <row r="32">
      <c r="A32" s="11"/>
      <c r="B32" s="22"/>
      <c r="C32" s="22"/>
      <c r="D32" s="22"/>
      <c r="E32" s="22"/>
      <c r="F32" s="22"/>
      <c r="G32" s="22"/>
      <c r="H32" s="22"/>
      <c r="I32" s="22"/>
      <c r="J32" s="22"/>
      <c r="K32" s="22"/>
      <c r="L32" s="22"/>
      <c r="M32" s="22"/>
      <c r="N32" s="22"/>
      <c r="O32" s="22"/>
      <c r="P32" s="22"/>
      <c r="Q32" s="22"/>
      <c r="R32" s="22"/>
      <c r="S32" s="22"/>
      <c r="W32" s="11"/>
      <c r="X32" s="22"/>
      <c r="Y32" s="22"/>
      <c r="Z32" s="22"/>
      <c r="AA32" s="22"/>
      <c r="AB32" s="22"/>
      <c r="AC32" s="22"/>
      <c r="AD32" s="22"/>
      <c r="AE32" s="22"/>
      <c r="AF32" s="22"/>
      <c r="AG32" s="22"/>
      <c r="AH32" s="22"/>
      <c r="AI32" s="22"/>
      <c r="AJ32" s="22"/>
      <c r="AK32" s="22"/>
      <c r="AL32" s="22"/>
      <c r="AM32" s="22"/>
      <c r="AN32" s="22"/>
      <c r="AO32" s="22"/>
    </row>
    <row r="33">
      <c r="A33" s="74"/>
      <c r="B33" s="75">
        <f t="shared" ref="B33:R33" si="102">SUM(B2:B32)</f>
        <v>2348</v>
      </c>
      <c r="C33" s="75">
        <f t="shared" si="102"/>
        <v>5896.8299999999999</v>
      </c>
      <c r="D33" s="75">
        <f t="shared" si="102"/>
        <v>838.03999999999996</v>
      </c>
      <c r="E33" s="75">
        <f t="shared" si="102"/>
        <v>2856</v>
      </c>
      <c r="F33" s="75">
        <f t="shared" si="102"/>
        <v>0</v>
      </c>
      <c r="G33" s="75">
        <f t="shared" si="102"/>
        <v>3.96</v>
      </c>
      <c r="H33" s="75">
        <f t="shared" si="102"/>
        <v>0</v>
      </c>
      <c r="I33" s="75">
        <f t="shared" si="102"/>
        <v>4750</v>
      </c>
      <c r="J33" s="75">
        <f t="shared" si="102"/>
        <v>825.99000000000001</v>
      </c>
      <c r="K33" s="75">
        <f t="shared" si="102"/>
        <v>1051.4000000000001</v>
      </c>
      <c r="L33" s="75">
        <f t="shared" si="102"/>
        <v>0</v>
      </c>
      <c r="M33" s="75">
        <f t="shared" si="102"/>
        <v>12469.1</v>
      </c>
      <c r="N33" s="75">
        <f t="shared" si="102"/>
        <v>600</v>
      </c>
      <c r="O33" s="75">
        <f t="shared" si="102"/>
        <v>0</v>
      </c>
      <c r="P33" s="75">
        <f t="shared" si="102"/>
        <v>800</v>
      </c>
      <c r="Q33" s="75">
        <f t="shared" si="102"/>
        <v>1219</v>
      </c>
      <c r="R33" s="75">
        <f t="shared" si="102"/>
        <v>1120</v>
      </c>
      <c r="S33" s="75">
        <f>SUM(B33:R33)+S5+S11</f>
        <v>35252.32</v>
      </c>
      <c r="W33" s="74"/>
      <c r="X33" s="75">
        <f t="shared" ref="X33:AN33" si="103">SUM(X2:X32)</f>
        <v>1525</v>
      </c>
      <c r="Y33" s="75">
        <f t="shared" si="103"/>
        <v>5655.7999999999993</v>
      </c>
      <c r="Z33" s="75">
        <f t="shared" si="103"/>
        <v>0</v>
      </c>
      <c r="AA33" s="75">
        <f t="shared" si="103"/>
        <v>555</v>
      </c>
      <c r="AB33" s="75">
        <f t="shared" si="103"/>
        <v>0</v>
      </c>
      <c r="AC33" s="75">
        <f t="shared" si="103"/>
        <v>0</v>
      </c>
      <c r="AD33" s="75">
        <f t="shared" si="103"/>
        <v>25</v>
      </c>
      <c r="AE33" s="75">
        <f t="shared" si="103"/>
        <v>199</v>
      </c>
      <c r="AF33" s="75">
        <f t="shared" si="103"/>
        <v>4962</v>
      </c>
      <c r="AG33" s="75">
        <f t="shared" si="103"/>
        <v>22700</v>
      </c>
      <c r="AH33" s="75">
        <f t="shared" si="103"/>
        <v>0</v>
      </c>
      <c r="AI33" s="75">
        <f t="shared" si="103"/>
        <v>2522</v>
      </c>
      <c r="AJ33" s="75">
        <f t="shared" si="103"/>
        <v>0</v>
      </c>
      <c r="AK33" s="75">
        <f t="shared" si="103"/>
        <v>0</v>
      </c>
      <c r="AL33" s="75">
        <f t="shared" si="103"/>
        <v>0</v>
      </c>
      <c r="AM33" s="75">
        <f t="shared" si="103"/>
        <v>0</v>
      </c>
      <c r="AN33" s="75">
        <f t="shared" si="103"/>
        <v>0</v>
      </c>
      <c r="AO33" s="75">
        <f>SUM(X33:AN33)</f>
        <v>38143.800000000003</v>
      </c>
    </row>
    <row r="34">
      <c r="A34" s="84"/>
      <c r="B34" s="84"/>
      <c r="C34" s="84"/>
      <c r="D34" s="84"/>
      <c r="E34" s="84"/>
      <c r="F34" s="84"/>
      <c r="G34" s="84"/>
      <c r="H34" s="84"/>
      <c r="I34" s="84"/>
      <c r="J34" s="84"/>
      <c r="K34" s="84"/>
      <c r="L34" s="84"/>
      <c r="M34" s="84"/>
      <c r="N34" s="84"/>
      <c r="O34" s="84"/>
      <c r="P34" s="84"/>
      <c r="Q34" s="84"/>
      <c r="R34" s="84"/>
      <c r="S34" s="84"/>
      <c r="W34" s="84"/>
      <c r="X34" s="84"/>
      <c r="Y34" s="84"/>
      <c r="Z34" s="84"/>
      <c r="AA34" s="84"/>
      <c r="AB34" s="84"/>
      <c r="AC34" s="84"/>
      <c r="AD34" s="84"/>
      <c r="AE34" s="84"/>
      <c r="AF34" s="84"/>
      <c r="AG34" s="84"/>
      <c r="AH34" s="84"/>
      <c r="AI34" s="84"/>
      <c r="AJ34" s="84"/>
      <c r="AK34" s="84"/>
      <c r="AL34" s="84"/>
      <c r="AM34" s="84"/>
      <c r="AN34" s="84"/>
      <c r="AO34" s="84"/>
    </row>
    <row r="35">
      <c r="A35" s="85" t="s">
        <v>0</v>
      </c>
      <c r="B35" s="85" t="s">
        <v>50</v>
      </c>
      <c r="C35" s="85" t="s">
        <v>13</v>
      </c>
      <c r="D35" s="85" t="s">
        <v>11</v>
      </c>
      <c r="E35" s="85" t="s">
        <v>51</v>
      </c>
      <c r="F35" s="85" t="s">
        <v>52</v>
      </c>
      <c r="G35" s="85" t="s">
        <v>53</v>
      </c>
      <c r="H35" s="85" t="s">
        <v>54</v>
      </c>
      <c r="I35" s="85" t="s">
        <v>55</v>
      </c>
      <c r="J35" s="85" t="s">
        <v>61</v>
      </c>
      <c r="K35" s="85" t="s">
        <v>74</v>
      </c>
      <c r="L35" s="86"/>
      <c r="M35" s="86"/>
      <c r="N35" s="86"/>
      <c r="O35" s="86"/>
      <c r="P35" s="86"/>
      <c r="Q35" s="86"/>
      <c r="R35" s="86"/>
      <c r="S35" s="86"/>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44593</v>
      </c>
      <c r="B36" s="14"/>
      <c r="C36" s="14"/>
      <c r="D36" s="14"/>
      <c r="E36" s="14"/>
      <c r="F36" s="14"/>
      <c r="G36" s="14"/>
      <c r="H36" s="14"/>
      <c r="I36" s="14"/>
      <c r="J36" s="22"/>
      <c r="K36" s="22"/>
      <c r="L36" s="22"/>
      <c r="M36" s="22"/>
      <c r="N36" s="22"/>
      <c r="O36" s="22"/>
      <c r="P36" s="22"/>
      <c r="Q36" s="22"/>
      <c r="R36" s="22"/>
      <c r="S36" s="22"/>
      <c r="W36" s="11">
        <v>44593</v>
      </c>
      <c r="X36" s="14"/>
      <c r="Y36" s="14"/>
      <c r="Z36" s="14"/>
      <c r="AA36" s="14"/>
      <c r="AB36" s="14"/>
      <c r="AC36" s="14"/>
      <c r="AD36" s="14"/>
      <c r="AE36" s="14"/>
      <c r="AF36" s="22"/>
      <c r="AG36" s="22"/>
      <c r="AH36" s="22"/>
      <c r="AI36" s="22"/>
      <c r="AJ36" s="22"/>
      <c r="AK36" s="22"/>
      <c r="AL36" s="22"/>
      <c r="AM36" s="22"/>
      <c r="AN36" s="22"/>
      <c r="AO36" s="22"/>
    </row>
    <row r="37">
      <c r="A37" s="11">
        <v>44594</v>
      </c>
      <c r="B37" s="5"/>
      <c r="C37" s="5"/>
      <c r="D37" s="5"/>
      <c r="E37" s="5"/>
      <c r="F37" s="5"/>
      <c r="G37" s="5"/>
      <c r="H37" s="5"/>
      <c r="I37" s="5"/>
      <c r="J37" s="5"/>
      <c r="K37" s="5"/>
      <c r="L37" s="5"/>
      <c r="M37" s="5"/>
      <c r="N37" s="5"/>
      <c r="O37" s="5"/>
      <c r="P37" s="5"/>
      <c r="Q37" s="5"/>
      <c r="R37" s="5"/>
      <c r="S37" s="5"/>
      <c r="W37" s="11">
        <v>44594</v>
      </c>
      <c r="X37" s="5"/>
      <c r="Y37" s="5"/>
      <c r="Z37" s="5"/>
      <c r="AA37" s="5"/>
      <c r="AB37" s="5"/>
      <c r="AC37" s="5"/>
      <c r="AD37" s="5"/>
      <c r="AE37" s="5"/>
      <c r="AF37" s="5"/>
      <c r="AG37" s="5"/>
      <c r="AH37" s="5"/>
      <c r="AI37" s="5"/>
      <c r="AJ37" s="5"/>
      <c r="AK37" s="5"/>
      <c r="AL37" s="5"/>
      <c r="AM37" s="5"/>
      <c r="AN37" s="5"/>
      <c r="AO37" s="5"/>
    </row>
    <row r="38">
      <c r="A38" s="11">
        <v>44595</v>
      </c>
      <c r="B38" s="14"/>
      <c r="C38" s="14"/>
      <c r="D38" s="14"/>
      <c r="E38" s="14"/>
      <c r="F38" s="14"/>
      <c r="G38" s="14"/>
      <c r="H38" s="14"/>
      <c r="I38" s="14"/>
      <c r="J38" s="22"/>
      <c r="K38" s="22"/>
      <c r="L38" s="22"/>
      <c r="M38" s="22"/>
      <c r="N38" s="22"/>
      <c r="O38" s="22"/>
      <c r="P38" s="22"/>
      <c r="Q38" s="22"/>
      <c r="R38" s="22"/>
      <c r="S38" s="22"/>
      <c r="W38" s="11">
        <v>44595</v>
      </c>
      <c r="X38" s="14"/>
      <c r="Y38" s="14"/>
      <c r="Z38" s="14"/>
      <c r="AA38" s="14"/>
      <c r="AB38" s="14"/>
      <c r="AC38" s="14"/>
      <c r="AD38" s="14"/>
      <c r="AE38" s="14"/>
      <c r="AF38" s="22"/>
      <c r="AG38" s="22"/>
      <c r="AH38" s="22"/>
      <c r="AI38" s="22"/>
      <c r="AJ38" s="22"/>
      <c r="AK38" s="22"/>
      <c r="AL38" s="22"/>
      <c r="AM38" s="22"/>
      <c r="AN38" s="22"/>
      <c r="AO38" s="22"/>
    </row>
    <row r="39">
      <c r="A39" s="11">
        <v>44596</v>
      </c>
      <c r="B39" s="5">
        <v>14878.940000000001</v>
      </c>
      <c r="C39" s="5"/>
      <c r="D39" s="5"/>
      <c r="E39" s="71"/>
      <c r="F39" s="5"/>
      <c r="G39" s="5"/>
      <c r="H39" s="5"/>
      <c r="I39" s="5">
        <v>79</v>
      </c>
      <c r="J39" s="5"/>
      <c r="K39" s="5"/>
      <c r="L39" s="5"/>
      <c r="M39" s="5"/>
      <c r="N39" s="5"/>
      <c r="O39" s="5"/>
      <c r="P39" s="5"/>
      <c r="Q39" s="5"/>
      <c r="R39" s="5"/>
      <c r="S39" s="5"/>
      <c r="W39" s="11">
        <v>44596</v>
      </c>
      <c r="X39" s="5"/>
      <c r="Y39" s="5"/>
      <c r="Z39" s="5"/>
      <c r="AA39" s="71"/>
      <c r="AB39" s="5"/>
      <c r="AC39" s="5"/>
      <c r="AD39" s="5"/>
      <c r="AE39" s="5"/>
      <c r="AF39" s="5"/>
      <c r="AG39" s="5"/>
      <c r="AH39" s="5"/>
      <c r="AI39" s="5"/>
      <c r="AJ39" s="5"/>
      <c r="AK39" s="5"/>
      <c r="AL39" s="5"/>
      <c r="AM39" s="5"/>
      <c r="AN39" s="5"/>
      <c r="AO39" s="5"/>
    </row>
    <row r="40">
      <c r="A40" s="11">
        <v>44597</v>
      </c>
      <c r="B40" s="14"/>
      <c r="C40" s="14"/>
      <c r="D40" s="14"/>
      <c r="E40" s="14"/>
      <c r="F40" s="14"/>
      <c r="G40" s="14"/>
      <c r="H40" s="14"/>
      <c r="I40" s="14"/>
      <c r="J40" s="14"/>
      <c r="K40" s="14"/>
      <c r="L40" s="14"/>
      <c r="M40" s="14"/>
      <c r="N40" s="14"/>
      <c r="O40" s="14"/>
      <c r="P40" s="14"/>
      <c r="Q40" s="14"/>
      <c r="R40" s="14"/>
      <c r="S40" s="14"/>
      <c r="W40" s="11">
        <v>44597</v>
      </c>
      <c r="X40" s="14"/>
      <c r="Y40" s="14"/>
      <c r="Z40" s="14"/>
      <c r="AA40" s="14"/>
      <c r="AB40" s="14"/>
      <c r="AC40" s="14"/>
      <c r="AD40" s="14"/>
      <c r="AE40" s="14"/>
      <c r="AF40" s="14"/>
      <c r="AG40" s="14"/>
      <c r="AH40" s="14"/>
      <c r="AI40" s="14"/>
      <c r="AJ40" s="14"/>
      <c r="AK40" s="14"/>
      <c r="AL40" s="14"/>
      <c r="AM40" s="14"/>
      <c r="AN40" s="14"/>
      <c r="AO40" s="14"/>
    </row>
    <row r="41">
      <c r="A41" s="11">
        <v>44598</v>
      </c>
      <c r="B41" s="5"/>
      <c r="C41" s="5"/>
      <c r="D41" s="5"/>
      <c r="E41" s="5">
        <v>0.01</v>
      </c>
      <c r="F41" s="5">
        <v>3000</v>
      </c>
      <c r="G41" s="5"/>
      <c r="H41" s="5"/>
      <c r="I41" s="5"/>
      <c r="J41" s="5"/>
      <c r="K41" s="5"/>
      <c r="L41" s="5"/>
      <c r="M41" s="5"/>
      <c r="N41" s="5"/>
      <c r="O41" s="5"/>
      <c r="P41" s="5"/>
      <c r="Q41" s="5"/>
      <c r="R41" s="5"/>
      <c r="S41" s="5"/>
      <c r="W41" s="11">
        <v>44598</v>
      </c>
      <c r="X41" s="5"/>
      <c r="Y41" s="5"/>
      <c r="Z41" s="5"/>
      <c r="AA41" s="5"/>
      <c r="AB41" s="5"/>
      <c r="AC41" s="5"/>
      <c r="AD41" s="5"/>
      <c r="AE41" s="5"/>
      <c r="AF41" s="5"/>
      <c r="AG41" s="5"/>
      <c r="AH41" s="5"/>
      <c r="AI41" s="5"/>
      <c r="AJ41" s="5"/>
      <c r="AK41" s="5"/>
      <c r="AL41" s="5"/>
      <c r="AM41" s="5"/>
      <c r="AN41" s="5"/>
      <c r="AO41" s="5"/>
    </row>
    <row r="42">
      <c r="A42" s="11">
        <v>44599</v>
      </c>
      <c r="B42" s="14"/>
      <c r="C42" s="14"/>
      <c r="D42" s="14"/>
      <c r="E42" s="14"/>
      <c r="F42" s="14"/>
      <c r="G42" s="14"/>
      <c r="H42" s="14"/>
      <c r="I42" s="14"/>
      <c r="J42" s="14"/>
      <c r="K42" s="14"/>
      <c r="L42" s="14"/>
      <c r="M42" s="14"/>
      <c r="N42" s="14"/>
      <c r="O42" s="14"/>
      <c r="P42" s="14"/>
      <c r="Q42" s="14"/>
      <c r="R42" s="14"/>
      <c r="S42" s="14"/>
      <c r="W42" s="11">
        <v>44599</v>
      </c>
      <c r="X42" s="14"/>
      <c r="Y42" s="14"/>
      <c r="Z42" s="14"/>
      <c r="AA42" s="14"/>
      <c r="AB42" s="14"/>
      <c r="AC42" s="14"/>
      <c r="AD42" s="14"/>
      <c r="AE42" s="14"/>
      <c r="AF42" s="14"/>
      <c r="AG42" s="14"/>
      <c r="AH42" s="14"/>
      <c r="AI42" s="14"/>
      <c r="AJ42" s="14"/>
      <c r="AK42" s="14"/>
      <c r="AL42" s="14"/>
      <c r="AM42" s="14"/>
      <c r="AN42" s="14"/>
      <c r="AO42" s="14"/>
    </row>
    <row r="43">
      <c r="A43" s="11">
        <v>44600</v>
      </c>
      <c r="B43" s="5"/>
      <c r="C43" s="5"/>
      <c r="D43" s="5"/>
      <c r="E43" s="5"/>
      <c r="F43" s="5"/>
      <c r="G43" s="5"/>
      <c r="H43" s="5"/>
      <c r="I43" s="5"/>
      <c r="J43" s="5"/>
      <c r="K43" s="5"/>
      <c r="L43" s="5"/>
      <c r="M43" s="5"/>
      <c r="N43" s="5"/>
      <c r="O43" s="5"/>
      <c r="P43" s="5"/>
      <c r="Q43" s="5"/>
      <c r="R43" s="5"/>
      <c r="S43" s="5"/>
      <c r="W43" s="11">
        <v>44600</v>
      </c>
      <c r="X43" s="5"/>
      <c r="Y43" s="5"/>
      <c r="Z43" s="5"/>
      <c r="AA43" s="5"/>
      <c r="AB43" s="5"/>
      <c r="AC43" s="5"/>
      <c r="AD43" s="5"/>
      <c r="AE43" s="5"/>
      <c r="AF43" s="5"/>
      <c r="AG43" s="5"/>
      <c r="AH43" s="5"/>
      <c r="AI43" s="5"/>
      <c r="AJ43" s="5"/>
      <c r="AK43" s="5"/>
      <c r="AL43" s="5"/>
      <c r="AM43" s="5"/>
      <c r="AN43" s="5"/>
      <c r="AO43" s="5"/>
    </row>
    <row r="44">
      <c r="A44" s="11">
        <v>44601</v>
      </c>
      <c r="B44" s="79"/>
      <c r="C44" s="14"/>
      <c r="D44" s="14"/>
      <c r="E44" s="14"/>
      <c r="F44" s="14"/>
      <c r="G44" s="14"/>
      <c r="H44" s="14"/>
      <c r="I44" s="14"/>
      <c r="J44" s="14"/>
      <c r="K44" s="14"/>
      <c r="L44" s="14"/>
      <c r="M44" s="14"/>
      <c r="N44" s="14"/>
      <c r="O44" s="14"/>
      <c r="P44" s="14"/>
      <c r="Q44" s="14"/>
      <c r="R44" s="14"/>
      <c r="S44" s="14"/>
      <c r="W44" s="11">
        <v>44601</v>
      </c>
      <c r="X44" s="79"/>
      <c r="Y44" s="14"/>
      <c r="Z44" s="14"/>
      <c r="AA44" s="14"/>
      <c r="AB44" s="14"/>
      <c r="AC44" s="14"/>
      <c r="AD44" s="14"/>
      <c r="AE44" s="14"/>
      <c r="AF44" s="14"/>
      <c r="AG44" s="14"/>
      <c r="AH44" s="14"/>
      <c r="AI44" s="14"/>
      <c r="AJ44" s="14"/>
      <c r="AK44" s="14"/>
      <c r="AL44" s="14"/>
      <c r="AM44" s="14"/>
      <c r="AN44" s="14"/>
      <c r="AO44" s="14"/>
    </row>
    <row r="45">
      <c r="A45" s="11">
        <v>44602</v>
      </c>
      <c r="B45" s="5"/>
      <c r="C45" s="5"/>
      <c r="D45" s="5"/>
      <c r="E45" s="5"/>
      <c r="F45" s="5"/>
      <c r="G45" s="5"/>
      <c r="H45" s="5"/>
      <c r="I45" s="5">
        <v>222</v>
      </c>
      <c r="J45" s="5"/>
      <c r="K45" s="5"/>
      <c r="L45" s="5"/>
      <c r="M45" s="5"/>
      <c r="N45" s="5"/>
      <c r="O45" s="5"/>
      <c r="P45" s="5"/>
      <c r="Q45" s="5"/>
      <c r="R45" s="5"/>
      <c r="S45" s="5"/>
      <c r="W45" s="11">
        <v>44602</v>
      </c>
      <c r="X45" s="5"/>
      <c r="Y45" s="5"/>
      <c r="Z45" s="5"/>
      <c r="AA45" s="5"/>
      <c r="AB45" s="5"/>
      <c r="AC45" s="5"/>
      <c r="AD45" s="5"/>
      <c r="AE45" s="5"/>
      <c r="AF45" s="5"/>
      <c r="AG45" s="5"/>
      <c r="AH45" s="5"/>
      <c r="AI45" s="5"/>
      <c r="AJ45" s="5"/>
      <c r="AK45" s="5"/>
      <c r="AL45" s="5"/>
      <c r="AM45" s="5"/>
      <c r="AN45" s="5"/>
      <c r="AO45" s="5"/>
    </row>
    <row r="46">
      <c r="A46" s="11">
        <v>44603</v>
      </c>
      <c r="B46" s="14"/>
      <c r="C46" s="14"/>
      <c r="D46" s="14"/>
      <c r="E46" s="14"/>
      <c r="F46" s="14"/>
      <c r="G46" s="14"/>
      <c r="H46" s="14"/>
      <c r="I46" s="14"/>
      <c r="J46" s="14"/>
      <c r="K46" s="14"/>
      <c r="L46" s="14"/>
      <c r="M46" s="14"/>
      <c r="N46" s="14"/>
      <c r="O46" s="14"/>
      <c r="P46" s="14"/>
      <c r="Q46" s="14"/>
      <c r="R46" s="14"/>
      <c r="S46" s="14"/>
      <c r="W46" s="11">
        <v>44603</v>
      </c>
      <c r="X46" s="14"/>
      <c r="Y46" s="14"/>
      <c r="Z46" s="14"/>
      <c r="AA46" s="14"/>
      <c r="AB46" s="14"/>
      <c r="AC46" s="14"/>
      <c r="AD46" s="14"/>
      <c r="AE46" s="14"/>
      <c r="AF46" s="14"/>
      <c r="AG46" s="14"/>
      <c r="AH46" s="14"/>
      <c r="AI46" s="14"/>
      <c r="AJ46" s="14"/>
      <c r="AK46" s="14"/>
      <c r="AL46" s="14"/>
      <c r="AM46" s="14"/>
      <c r="AN46" s="14"/>
      <c r="AO46" s="14"/>
    </row>
    <row r="47">
      <c r="A47" s="11">
        <v>44604</v>
      </c>
      <c r="B47" s="5"/>
      <c r="C47" s="5"/>
      <c r="D47" s="5"/>
      <c r="E47" s="5"/>
      <c r="F47" s="5"/>
      <c r="G47" s="5"/>
      <c r="H47" s="5"/>
      <c r="I47" s="5"/>
      <c r="J47" s="5"/>
      <c r="K47" s="5"/>
      <c r="L47" s="5"/>
      <c r="M47" s="5"/>
      <c r="N47" s="5"/>
      <c r="O47" s="5"/>
      <c r="P47" s="5"/>
      <c r="Q47" s="5"/>
      <c r="R47" s="5"/>
      <c r="S47" s="5"/>
      <c r="W47" s="11">
        <v>44604</v>
      </c>
      <c r="X47" s="5"/>
      <c r="Y47" s="5"/>
      <c r="Z47" s="5"/>
      <c r="AA47" s="5"/>
      <c r="AB47" s="5"/>
      <c r="AC47" s="5"/>
      <c r="AD47" s="5"/>
      <c r="AE47" s="5"/>
      <c r="AF47" s="5"/>
      <c r="AG47" s="5"/>
      <c r="AH47" s="5"/>
      <c r="AI47" s="5"/>
      <c r="AJ47" s="5"/>
      <c r="AK47" s="5"/>
      <c r="AL47" s="5"/>
      <c r="AM47" s="5"/>
      <c r="AN47" s="5"/>
      <c r="AO47" s="5"/>
    </row>
    <row r="48">
      <c r="A48" s="11">
        <v>44605</v>
      </c>
      <c r="B48" s="14"/>
      <c r="C48" s="14"/>
      <c r="D48" s="14"/>
      <c r="E48" s="14"/>
      <c r="F48" s="14"/>
      <c r="G48" s="14"/>
      <c r="H48" s="14"/>
      <c r="I48" s="14"/>
      <c r="J48" s="14"/>
      <c r="K48" s="14"/>
      <c r="L48" s="14"/>
      <c r="M48" s="14"/>
      <c r="N48" s="14"/>
      <c r="O48" s="14"/>
      <c r="P48" s="14"/>
      <c r="Q48" s="14"/>
      <c r="R48" s="14"/>
      <c r="S48" s="14"/>
      <c r="W48" s="11">
        <v>44605</v>
      </c>
      <c r="X48" s="14"/>
      <c r="Y48" s="14"/>
      <c r="Z48" s="14"/>
      <c r="AA48" s="14"/>
      <c r="AB48" s="14"/>
      <c r="AC48" s="14"/>
      <c r="AD48" s="14"/>
      <c r="AE48" s="14"/>
      <c r="AF48" s="14"/>
      <c r="AG48" s="14"/>
      <c r="AH48" s="14"/>
      <c r="AI48" s="14"/>
      <c r="AJ48" s="14"/>
      <c r="AK48" s="14"/>
      <c r="AL48" s="14"/>
      <c r="AM48" s="14"/>
      <c r="AN48" s="14"/>
      <c r="AO48" s="14"/>
    </row>
    <row r="49">
      <c r="A49" s="11">
        <v>44606</v>
      </c>
      <c r="B49" s="5">
        <v>500</v>
      </c>
      <c r="C49" s="5"/>
      <c r="D49" s="5"/>
      <c r="E49" s="5"/>
      <c r="F49" s="5"/>
      <c r="G49" s="5"/>
      <c r="H49" s="5"/>
      <c r="I49" s="5"/>
      <c r="J49" s="5"/>
      <c r="K49" s="5"/>
      <c r="L49" s="5"/>
      <c r="M49" s="5"/>
      <c r="N49" s="5"/>
      <c r="O49" s="5"/>
      <c r="P49" s="5"/>
      <c r="Q49" s="5"/>
      <c r="R49" s="5"/>
      <c r="S49" s="5"/>
      <c r="W49" s="11">
        <v>44606</v>
      </c>
      <c r="X49" s="5">
        <v>22526.290000000001</v>
      </c>
      <c r="Y49" s="5"/>
      <c r="Z49" s="5"/>
      <c r="AA49" s="5"/>
      <c r="AB49" s="5"/>
      <c r="AC49" s="5"/>
      <c r="AD49" s="5"/>
      <c r="AE49" s="5"/>
      <c r="AF49" s="5"/>
      <c r="AG49" s="5"/>
      <c r="AH49" s="5"/>
      <c r="AI49" s="5"/>
      <c r="AJ49" s="5"/>
      <c r="AK49" s="5"/>
      <c r="AL49" s="5"/>
      <c r="AM49" s="5"/>
      <c r="AN49" s="5"/>
      <c r="AO49" s="5"/>
    </row>
    <row r="50">
      <c r="A50" s="11">
        <v>44607</v>
      </c>
      <c r="B50" s="14"/>
      <c r="C50" s="14"/>
      <c r="D50" s="14"/>
      <c r="E50" s="14"/>
      <c r="F50" s="14"/>
      <c r="G50" s="14"/>
      <c r="H50" s="14"/>
      <c r="I50" s="14">
        <v>41.770000000000003</v>
      </c>
      <c r="J50" s="14"/>
      <c r="K50" s="14"/>
      <c r="L50" s="14"/>
      <c r="M50" s="14"/>
      <c r="N50" s="14"/>
      <c r="O50" s="14"/>
      <c r="P50" s="14"/>
      <c r="Q50" s="14"/>
      <c r="R50" s="14"/>
      <c r="S50" s="14"/>
      <c r="W50" s="11">
        <v>44607</v>
      </c>
      <c r="X50" s="14"/>
      <c r="Y50" s="14"/>
      <c r="Z50" s="14">
        <v>12000</v>
      </c>
      <c r="AA50" s="14">
        <v>488.69999999999999</v>
      </c>
      <c r="AB50" s="14"/>
      <c r="AC50" s="14"/>
      <c r="AD50" s="14"/>
      <c r="AE50" s="14">
        <v>279</v>
      </c>
      <c r="AF50" s="14"/>
      <c r="AG50" s="14"/>
      <c r="AH50" s="14"/>
      <c r="AI50" s="14"/>
      <c r="AJ50" s="14"/>
      <c r="AK50" s="14"/>
      <c r="AL50" s="14"/>
      <c r="AM50" s="14"/>
      <c r="AN50" s="14"/>
      <c r="AO50" s="14"/>
    </row>
    <row r="51">
      <c r="A51" s="11">
        <v>44608</v>
      </c>
      <c r="B51" s="5"/>
      <c r="C51" s="5"/>
      <c r="D51" s="5"/>
      <c r="E51" s="5"/>
      <c r="F51" s="5"/>
      <c r="G51" s="5"/>
      <c r="H51" s="5"/>
      <c r="I51" s="5"/>
      <c r="J51" s="5"/>
      <c r="K51" s="5"/>
      <c r="L51" s="5"/>
      <c r="M51" s="5"/>
      <c r="N51" s="5"/>
      <c r="O51" s="5"/>
      <c r="P51" s="5"/>
      <c r="Q51" s="5"/>
      <c r="R51" s="5"/>
      <c r="S51" s="5"/>
      <c r="W51" s="11">
        <v>44608</v>
      </c>
      <c r="X51" s="5"/>
      <c r="Y51" s="5"/>
      <c r="Z51" s="5"/>
      <c r="AA51" s="5"/>
      <c r="AB51" s="5"/>
      <c r="AC51" s="5"/>
      <c r="AD51" s="5"/>
      <c r="AE51" s="5"/>
      <c r="AF51" s="5"/>
      <c r="AG51" s="5"/>
      <c r="AH51" s="5"/>
      <c r="AI51" s="5"/>
      <c r="AJ51" s="5"/>
      <c r="AK51" s="5"/>
      <c r="AL51" s="5"/>
      <c r="AM51" s="5"/>
      <c r="AN51" s="5"/>
      <c r="AO51" s="5"/>
    </row>
    <row r="52">
      <c r="A52" s="11">
        <v>44609</v>
      </c>
      <c r="B52" s="14"/>
      <c r="C52" s="14"/>
      <c r="D52" s="14"/>
      <c r="E52" s="14"/>
      <c r="F52" s="14"/>
      <c r="G52" s="14"/>
      <c r="H52" s="14"/>
      <c r="I52" s="14"/>
      <c r="J52" s="14"/>
      <c r="K52" s="14"/>
      <c r="L52" s="14"/>
      <c r="M52" s="14"/>
      <c r="N52" s="14"/>
      <c r="O52" s="14"/>
      <c r="P52" s="14"/>
      <c r="Q52" s="14"/>
      <c r="R52" s="14"/>
      <c r="S52" s="14"/>
      <c r="W52" s="11">
        <v>44609</v>
      </c>
      <c r="X52" s="14"/>
      <c r="Y52" s="14"/>
      <c r="Z52" s="14"/>
      <c r="AA52" s="14"/>
      <c r="AB52" s="14"/>
      <c r="AC52" s="14"/>
      <c r="AD52" s="14"/>
      <c r="AE52" s="14"/>
      <c r="AF52" s="14"/>
      <c r="AG52" s="14"/>
      <c r="AH52" s="14"/>
      <c r="AI52" s="14"/>
      <c r="AJ52" s="14"/>
      <c r="AK52" s="14"/>
      <c r="AL52" s="14"/>
      <c r="AM52" s="14"/>
      <c r="AN52" s="14"/>
      <c r="AO52" s="14"/>
    </row>
    <row r="53">
      <c r="A53" s="11">
        <v>44610</v>
      </c>
      <c r="B53" s="5">
        <v>12594.58</v>
      </c>
      <c r="C53" s="5"/>
      <c r="D53" s="5"/>
      <c r="E53" s="5"/>
      <c r="F53" s="5"/>
      <c r="G53" s="5"/>
      <c r="H53" s="5"/>
      <c r="I53" s="5"/>
      <c r="J53" s="5"/>
      <c r="K53" s="5"/>
      <c r="L53" s="5"/>
      <c r="M53" s="5"/>
      <c r="N53" s="5"/>
      <c r="O53" s="5"/>
      <c r="P53" s="5"/>
      <c r="Q53" s="5"/>
      <c r="R53" s="5"/>
      <c r="S53" s="5"/>
      <c r="W53" s="11">
        <v>44610</v>
      </c>
      <c r="X53" s="5"/>
      <c r="Y53" s="5"/>
      <c r="Z53" s="5"/>
      <c r="AA53" s="5"/>
      <c r="AB53" s="5"/>
      <c r="AC53" s="5"/>
      <c r="AD53" s="5"/>
      <c r="AE53" s="5"/>
      <c r="AF53" s="5"/>
      <c r="AG53" s="5"/>
      <c r="AH53" s="5"/>
      <c r="AI53" s="5"/>
      <c r="AJ53" s="5"/>
      <c r="AK53" s="5"/>
      <c r="AL53" s="5"/>
      <c r="AM53" s="5"/>
      <c r="AN53" s="5"/>
      <c r="AO53" s="5"/>
    </row>
    <row r="54">
      <c r="A54" s="11">
        <v>44611</v>
      </c>
      <c r="B54" s="14"/>
      <c r="C54" s="14"/>
      <c r="D54" s="14"/>
      <c r="E54" s="14"/>
      <c r="F54" s="14"/>
      <c r="G54" s="14"/>
      <c r="H54" s="14"/>
      <c r="I54" s="14"/>
      <c r="J54" s="14"/>
      <c r="K54" s="14"/>
      <c r="L54" s="14"/>
      <c r="M54" s="14"/>
      <c r="N54" s="14"/>
      <c r="O54" s="14"/>
      <c r="P54" s="14"/>
      <c r="Q54" s="14"/>
      <c r="R54" s="14"/>
      <c r="S54" s="14"/>
      <c r="W54" s="11">
        <v>44611</v>
      </c>
      <c r="X54" s="14"/>
      <c r="Y54" s="14"/>
      <c r="Z54" s="14"/>
      <c r="AA54" s="14"/>
      <c r="AB54" s="14"/>
      <c r="AC54" s="14"/>
      <c r="AD54" s="14"/>
      <c r="AE54" s="14"/>
      <c r="AF54" s="14"/>
      <c r="AG54" s="14"/>
      <c r="AH54" s="14"/>
      <c r="AI54" s="14"/>
      <c r="AJ54" s="14"/>
      <c r="AK54" s="14"/>
      <c r="AL54" s="14"/>
      <c r="AM54" s="14"/>
      <c r="AN54" s="14"/>
      <c r="AO54" s="14"/>
    </row>
    <row r="55">
      <c r="A55" s="11">
        <v>44612</v>
      </c>
      <c r="B55" s="5"/>
      <c r="C55" s="5"/>
      <c r="D55" s="5"/>
      <c r="E55" s="5"/>
      <c r="F55" s="5"/>
      <c r="G55" s="5"/>
      <c r="H55" s="5"/>
      <c r="I55" s="5"/>
      <c r="J55" s="5"/>
      <c r="K55" s="5"/>
      <c r="L55" s="5"/>
      <c r="M55" s="5"/>
      <c r="N55" s="5"/>
      <c r="O55" s="5"/>
      <c r="P55" s="5"/>
      <c r="Q55" s="5"/>
      <c r="R55" s="5"/>
      <c r="S55" s="5"/>
      <c r="W55" s="11">
        <v>44612</v>
      </c>
      <c r="X55" s="5"/>
      <c r="Y55" s="5"/>
      <c r="Z55" s="5"/>
      <c r="AA55" s="5"/>
      <c r="AB55" s="5"/>
      <c r="AC55" s="5"/>
      <c r="AD55" s="5"/>
      <c r="AE55" s="5"/>
      <c r="AF55" s="5"/>
      <c r="AG55" s="5"/>
      <c r="AH55" s="5"/>
      <c r="AI55" s="5"/>
      <c r="AJ55" s="5"/>
      <c r="AK55" s="5"/>
      <c r="AL55" s="5"/>
      <c r="AM55" s="5"/>
      <c r="AN55" s="5"/>
      <c r="AO55" s="5"/>
    </row>
    <row r="56">
      <c r="A56" s="11">
        <v>44613</v>
      </c>
      <c r="B56" s="14"/>
      <c r="C56" s="14"/>
      <c r="D56" s="14"/>
      <c r="E56" s="14"/>
      <c r="F56" s="14"/>
      <c r="G56" s="14"/>
      <c r="H56" s="14"/>
      <c r="I56" s="14"/>
      <c r="J56" s="14"/>
      <c r="K56" s="14"/>
      <c r="L56" s="14"/>
      <c r="M56" s="14"/>
      <c r="N56" s="14"/>
      <c r="O56" s="14"/>
      <c r="P56" s="14"/>
      <c r="Q56" s="14"/>
      <c r="R56" s="14"/>
      <c r="S56" s="14"/>
      <c r="W56" s="11">
        <v>44613</v>
      </c>
      <c r="X56" s="14"/>
      <c r="Y56" s="14"/>
      <c r="Z56" s="14"/>
      <c r="AA56" s="14"/>
      <c r="AB56" s="14"/>
      <c r="AC56" s="14"/>
      <c r="AD56" s="14"/>
      <c r="AE56" s="14"/>
      <c r="AF56" s="14"/>
      <c r="AG56" s="14"/>
      <c r="AH56" s="14"/>
      <c r="AI56" s="14"/>
      <c r="AJ56" s="14"/>
      <c r="AK56" s="14"/>
      <c r="AL56" s="14"/>
      <c r="AM56" s="14"/>
      <c r="AN56" s="14"/>
      <c r="AO56" s="14"/>
    </row>
    <row r="57">
      <c r="A57" s="11">
        <v>44614</v>
      </c>
      <c r="B57" s="5">
        <v>1000</v>
      </c>
      <c r="C57" s="5"/>
      <c r="D57" s="5"/>
      <c r="E57" s="5"/>
      <c r="F57" s="5"/>
      <c r="G57" s="5"/>
      <c r="H57" s="5"/>
      <c r="I57" s="5"/>
      <c r="J57" s="5"/>
      <c r="K57" s="5"/>
      <c r="L57" s="5"/>
      <c r="M57" s="5"/>
      <c r="N57" s="5"/>
      <c r="O57" s="5"/>
      <c r="P57" s="5"/>
      <c r="Q57" s="5"/>
      <c r="R57" s="5"/>
      <c r="S57" s="5"/>
      <c r="W57" s="11">
        <v>44614</v>
      </c>
      <c r="X57" s="5"/>
      <c r="Y57" s="5"/>
      <c r="Z57" s="5"/>
      <c r="AA57" s="5"/>
      <c r="AB57" s="5"/>
      <c r="AC57" s="5"/>
      <c r="AD57" s="5"/>
      <c r="AE57" s="5"/>
      <c r="AF57" s="5"/>
      <c r="AG57" s="5"/>
      <c r="AH57" s="5"/>
      <c r="AI57" s="5"/>
      <c r="AJ57" s="5"/>
      <c r="AK57" s="5"/>
      <c r="AL57" s="5"/>
      <c r="AM57" s="5"/>
      <c r="AN57" s="5"/>
      <c r="AO57" s="5"/>
    </row>
    <row r="58">
      <c r="A58" s="11">
        <v>44615</v>
      </c>
      <c r="B58" s="14"/>
      <c r="C58" s="14"/>
      <c r="D58" s="14"/>
      <c r="E58" s="14"/>
      <c r="F58" s="14"/>
      <c r="G58" s="14"/>
      <c r="H58" s="14"/>
      <c r="I58" s="14"/>
      <c r="J58" s="14"/>
      <c r="K58" s="14"/>
      <c r="L58" s="14"/>
      <c r="M58" s="14"/>
      <c r="N58" s="14"/>
      <c r="O58" s="14"/>
      <c r="P58" s="14"/>
      <c r="Q58" s="14"/>
      <c r="R58" s="14"/>
      <c r="S58" s="14"/>
      <c r="W58" s="11">
        <v>44615</v>
      </c>
      <c r="X58" s="14"/>
      <c r="Y58" s="14"/>
      <c r="Z58" s="14"/>
      <c r="AA58" s="14"/>
      <c r="AB58" s="14"/>
      <c r="AC58" s="14"/>
      <c r="AD58" s="14"/>
      <c r="AE58" s="14"/>
      <c r="AF58" s="14"/>
      <c r="AG58" s="14"/>
      <c r="AH58" s="14"/>
      <c r="AI58" s="14"/>
      <c r="AJ58" s="14"/>
      <c r="AK58" s="14"/>
      <c r="AL58" s="14"/>
      <c r="AM58" s="14"/>
      <c r="AN58" s="14"/>
      <c r="AO58" s="14"/>
    </row>
    <row r="59">
      <c r="A59" s="11">
        <v>44616</v>
      </c>
      <c r="B59" s="5"/>
      <c r="C59" s="5"/>
      <c r="D59" s="5"/>
      <c r="E59" s="5"/>
      <c r="F59" s="5"/>
      <c r="G59" s="5"/>
      <c r="H59" s="5"/>
      <c r="I59" s="5"/>
      <c r="J59" s="5"/>
      <c r="K59" s="5"/>
      <c r="L59" s="5"/>
      <c r="M59" s="5"/>
      <c r="N59" s="5"/>
      <c r="O59" s="5"/>
      <c r="P59" s="5"/>
      <c r="Q59" s="5"/>
      <c r="R59" s="5"/>
      <c r="S59" s="5"/>
      <c r="W59" s="11">
        <v>44616</v>
      </c>
      <c r="X59" s="5"/>
      <c r="Y59" s="5"/>
      <c r="Z59" s="5"/>
      <c r="AA59" s="5"/>
      <c r="AB59" s="5"/>
      <c r="AC59" s="5"/>
      <c r="AD59" s="5"/>
      <c r="AE59" s="5"/>
      <c r="AF59" s="5"/>
      <c r="AG59" s="5"/>
      <c r="AH59" s="5"/>
      <c r="AI59" s="5"/>
      <c r="AJ59" s="5"/>
      <c r="AK59" s="5"/>
      <c r="AL59" s="5"/>
      <c r="AM59" s="5"/>
      <c r="AN59" s="5"/>
      <c r="AO59" s="5"/>
    </row>
    <row r="60">
      <c r="A60" s="11">
        <v>44617</v>
      </c>
      <c r="B60" s="14"/>
      <c r="C60" s="14"/>
      <c r="D60" s="14"/>
      <c r="E60" s="14"/>
      <c r="F60" s="14"/>
      <c r="G60" s="14"/>
      <c r="H60" s="14"/>
      <c r="I60" s="14"/>
      <c r="J60" s="14"/>
      <c r="K60" s="14"/>
      <c r="L60" s="14"/>
      <c r="M60" s="14"/>
      <c r="N60" s="14"/>
      <c r="O60" s="14"/>
      <c r="P60" s="14"/>
      <c r="Q60" s="14"/>
      <c r="R60" s="14"/>
      <c r="S60" s="14"/>
      <c r="W60" s="11">
        <v>44617</v>
      </c>
      <c r="X60" s="14"/>
      <c r="Y60" s="14"/>
      <c r="Z60" s="14"/>
      <c r="AA60" s="14"/>
      <c r="AB60" s="14"/>
      <c r="AC60" s="14"/>
      <c r="AD60" s="14"/>
      <c r="AE60" s="14"/>
      <c r="AF60" s="14"/>
      <c r="AG60" s="14"/>
      <c r="AH60" s="14"/>
      <c r="AI60" s="14"/>
      <c r="AJ60" s="14"/>
      <c r="AK60" s="14"/>
      <c r="AL60" s="14"/>
      <c r="AM60" s="14"/>
      <c r="AN60" s="14"/>
      <c r="AO60" s="14"/>
    </row>
    <row r="61">
      <c r="A61" s="11">
        <v>44618</v>
      </c>
      <c r="B61" s="5"/>
      <c r="C61" s="5"/>
      <c r="D61" s="5"/>
      <c r="E61" s="5"/>
      <c r="F61" s="5"/>
      <c r="G61" s="5"/>
      <c r="H61" s="5"/>
      <c r="I61" s="5"/>
      <c r="J61" s="5"/>
      <c r="K61" s="5"/>
      <c r="L61" s="5"/>
      <c r="M61" s="5"/>
      <c r="N61" s="5"/>
      <c r="O61" s="5"/>
      <c r="P61" s="5"/>
      <c r="Q61" s="5"/>
      <c r="R61" s="5"/>
      <c r="S61" s="5"/>
      <c r="W61" s="11">
        <v>44618</v>
      </c>
      <c r="X61" s="5"/>
      <c r="Y61" s="5"/>
      <c r="Z61" s="5"/>
      <c r="AA61" s="5"/>
      <c r="AB61" s="5"/>
      <c r="AC61" s="5"/>
      <c r="AD61" s="5"/>
      <c r="AE61" s="5"/>
      <c r="AF61" s="5"/>
      <c r="AG61" s="5"/>
      <c r="AH61" s="5"/>
      <c r="AI61" s="5"/>
      <c r="AJ61" s="5"/>
      <c r="AK61" s="5"/>
      <c r="AL61" s="5"/>
      <c r="AM61" s="5"/>
      <c r="AN61" s="5"/>
      <c r="AO61" s="5"/>
    </row>
    <row r="62">
      <c r="A62" s="11">
        <v>44619</v>
      </c>
      <c r="B62" s="14"/>
      <c r="C62" s="14"/>
      <c r="D62" s="14"/>
      <c r="E62" s="14"/>
      <c r="F62" s="14"/>
      <c r="G62" s="14"/>
      <c r="H62" s="14"/>
      <c r="I62" s="14"/>
      <c r="J62" s="14"/>
      <c r="K62" s="14"/>
      <c r="L62" s="14"/>
      <c r="M62" s="14"/>
      <c r="N62" s="14"/>
      <c r="O62" s="14"/>
      <c r="P62" s="14"/>
      <c r="Q62" s="14"/>
      <c r="R62" s="14"/>
      <c r="S62" s="14"/>
      <c r="W62" s="11">
        <v>44619</v>
      </c>
      <c r="X62" s="14"/>
      <c r="Y62" s="14"/>
      <c r="Z62" s="14"/>
      <c r="AA62" s="14"/>
      <c r="AB62" s="14"/>
      <c r="AC62" s="14"/>
      <c r="AD62" s="14"/>
      <c r="AE62" s="14"/>
      <c r="AF62" s="14"/>
      <c r="AG62" s="14"/>
      <c r="AH62" s="14"/>
      <c r="AI62" s="14"/>
      <c r="AJ62" s="14"/>
      <c r="AK62" s="14"/>
      <c r="AL62" s="14"/>
      <c r="AM62" s="14"/>
      <c r="AN62" s="14"/>
      <c r="AO62" s="14"/>
    </row>
    <row r="63">
      <c r="A63" s="11">
        <v>44620</v>
      </c>
      <c r="B63" s="5"/>
      <c r="C63" s="5">
        <v>1300</v>
      </c>
      <c r="D63" s="5"/>
      <c r="E63" s="5">
        <v>43.149999999999999</v>
      </c>
      <c r="F63" s="5"/>
      <c r="G63" s="5"/>
      <c r="H63" s="5"/>
      <c r="I63" s="5"/>
      <c r="J63" s="5"/>
      <c r="K63" s="5"/>
      <c r="L63" s="5"/>
      <c r="M63" s="5"/>
      <c r="N63" s="5"/>
      <c r="O63" s="5"/>
      <c r="P63" s="5"/>
      <c r="Q63" s="5"/>
      <c r="R63" s="48"/>
      <c r="S63" s="5"/>
      <c r="W63" s="11">
        <v>44620</v>
      </c>
      <c r="X63" s="5">
        <v>10756.799999999999</v>
      </c>
      <c r="Y63" s="5"/>
      <c r="Z63" s="5"/>
      <c r="AA63" s="5"/>
      <c r="AB63" s="5"/>
      <c r="AC63" s="5"/>
      <c r="AD63" s="5"/>
      <c r="AE63" s="5"/>
      <c r="AF63" s="5"/>
      <c r="AG63" s="5"/>
      <c r="AH63" s="5"/>
      <c r="AI63" s="5"/>
      <c r="AJ63" s="5"/>
      <c r="AK63" s="5"/>
      <c r="AL63" s="5"/>
      <c r="AM63" s="5"/>
      <c r="AN63" s="48"/>
      <c r="AO63" s="5"/>
    </row>
    <row r="64">
      <c r="A64" s="11"/>
      <c r="B64" s="22"/>
      <c r="C64" s="22"/>
      <c r="D64" s="22"/>
      <c r="E64" s="22"/>
      <c r="F64" s="22"/>
      <c r="G64" s="22"/>
      <c r="H64" s="22"/>
      <c r="I64" s="22"/>
      <c r="J64" s="14"/>
      <c r="K64" s="14"/>
      <c r="L64" s="14"/>
      <c r="M64" s="14"/>
      <c r="N64" s="14"/>
      <c r="O64" s="14"/>
      <c r="P64" s="14"/>
      <c r="Q64" s="14"/>
      <c r="R64" s="80"/>
      <c r="S64" s="14"/>
      <c r="W64" s="11"/>
      <c r="X64" s="22"/>
      <c r="Y64" s="22"/>
      <c r="Z64" s="22"/>
      <c r="AA64" s="22"/>
      <c r="AB64" s="22"/>
      <c r="AC64" s="22"/>
      <c r="AD64" s="22"/>
      <c r="AE64" s="22"/>
      <c r="AF64" s="14"/>
      <c r="AG64" s="14"/>
      <c r="AH64" s="14"/>
      <c r="AI64" s="14"/>
      <c r="AJ64" s="14"/>
      <c r="AK64" s="14"/>
      <c r="AL64" s="14"/>
      <c r="AM64" s="14"/>
      <c r="AN64" s="80"/>
      <c r="AO64" s="14"/>
    </row>
    <row r="65">
      <c r="A65" s="11"/>
      <c r="B65" s="5"/>
      <c r="C65" s="5"/>
      <c r="D65" s="5"/>
      <c r="E65" s="5"/>
      <c r="F65" s="5"/>
      <c r="G65" s="5"/>
      <c r="H65" s="5"/>
      <c r="I65" s="5"/>
      <c r="J65" s="5"/>
      <c r="K65" s="5"/>
      <c r="L65" s="5"/>
      <c r="M65" s="5"/>
      <c r="N65" s="5"/>
      <c r="O65" s="5"/>
      <c r="P65" s="5"/>
      <c r="Q65" s="5"/>
      <c r="R65" s="48"/>
      <c r="S65" s="5"/>
      <c r="W65" s="11"/>
      <c r="X65" s="5"/>
      <c r="Y65" s="5"/>
      <c r="Z65" s="5"/>
      <c r="AA65" s="5"/>
      <c r="AB65" s="5"/>
      <c r="AC65" s="5"/>
      <c r="AD65" s="5"/>
      <c r="AE65" s="5"/>
      <c r="AF65" s="5"/>
      <c r="AG65" s="5"/>
      <c r="AH65" s="5"/>
      <c r="AI65" s="5"/>
      <c r="AJ65" s="5"/>
      <c r="AK65" s="5"/>
      <c r="AL65" s="5"/>
      <c r="AM65" s="5"/>
      <c r="AN65" s="48"/>
      <c r="AO65" s="5"/>
    </row>
    <row r="66">
      <c r="A66" s="11"/>
      <c r="B66" s="22"/>
      <c r="C66" s="22"/>
      <c r="D66" s="22"/>
      <c r="E66" s="22"/>
      <c r="F66" s="22"/>
      <c r="G66" s="22"/>
      <c r="H66" s="22"/>
      <c r="I66" s="22"/>
      <c r="J66" s="14"/>
      <c r="K66" s="14"/>
      <c r="L66" s="14"/>
      <c r="M66" s="14"/>
      <c r="N66" s="14"/>
      <c r="O66" s="14"/>
      <c r="P66" s="14"/>
      <c r="Q66" s="14"/>
      <c r="R66" s="80"/>
      <c r="S66" s="14"/>
      <c r="W66" s="11"/>
      <c r="X66" s="22"/>
      <c r="Y66" s="22"/>
      <c r="Z66" s="22"/>
      <c r="AA66" s="22"/>
      <c r="AB66" s="22"/>
      <c r="AC66" s="22"/>
      <c r="AD66" s="22"/>
      <c r="AE66" s="22"/>
      <c r="AF66" s="14"/>
      <c r="AG66" s="14"/>
      <c r="AH66" s="14"/>
      <c r="AI66" s="14"/>
      <c r="AJ66" s="14"/>
      <c r="AK66" s="14"/>
      <c r="AL66" s="14"/>
      <c r="AM66" s="14"/>
      <c r="AN66" s="80"/>
      <c r="AO66" s="14"/>
    </row>
    <row r="67">
      <c r="A67" s="74"/>
      <c r="B67" s="75">
        <f t="shared" ref="B67:R67" si="104">SUM(B36:B66)</f>
        <v>28973.52</v>
      </c>
      <c r="C67" s="75">
        <f t="shared" si="104"/>
        <v>1300</v>
      </c>
      <c r="D67" s="75">
        <f t="shared" si="104"/>
        <v>0</v>
      </c>
      <c r="E67" s="75">
        <f t="shared" si="104"/>
        <v>43.159999999999997</v>
      </c>
      <c r="F67" s="75">
        <f t="shared" si="104"/>
        <v>3000</v>
      </c>
      <c r="G67" s="75">
        <f t="shared" si="104"/>
        <v>0</v>
      </c>
      <c r="H67" s="75">
        <f t="shared" si="104"/>
        <v>0</v>
      </c>
      <c r="I67" s="75">
        <f t="shared" si="104"/>
        <v>342.76999999999998</v>
      </c>
      <c r="J67" s="75">
        <f t="shared" si="104"/>
        <v>0</v>
      </c>
      <c r="K67" s="75">
        <f t="shared" si="104"/>
        <v>0</v>
      </c>
      <c r="L67" s="75">
        <f t="shared" si="104"/>
        <v>0</v>
      </c>
      <c r="M67" s="75">
        <f t="shared" si="104"/>
        <v>0</v>
      </c>
      <c r="N67" s="75">
        <f t="shared" si="104"/>
        <v>0</v>
      </c>
      <c r="O67" s="75">
        <f t="shared" si="104"/>
        <v>0</v>
      </c>
      <c r="P67" s="75">
        <f t="shared" si="104"/>
        <v>0</v>
      </c>
      <c r="Q67" s="75">
        <f t="shared" si="104"/>
        <v>0</v>
      </c>
      <c r="R67" s="75">
        <f t="shared" si="104"/>
        <v>0</v>
      </c>
      <c r="S67" s="75">
        <f>SUM(B67:R67)</f>
        <v>33659.449999999997</v>
      </c>
      <c r="W67" s="74"/>
      <c r="X67" s="75">
        <f t="shared" ref="X67:AN67" si="105">SUM(X36:X66)</f>
        <v>33283.089999999997</v>
      </c>
      <c r="Y67" s="75">
        <f t="shared" si="105"/>
        <v>0</v>
      </c>
      <c r="Z67" s="75">
        <f t="shared" si="105"/>
        <v>12000</v>
      </c>
      <c r="AA67" s="75">
        <f t="shared" si="105"/>
        <v>488.69999999999999</v>
      </c>
      <c r="AB67" s="75">
        <f t="shared" si="105"/>
        <v>0</v>
      </c>
      <c r="AC67" s="75">
        <f t="shared" si="105"/>
        <v>0</v>
      </c>
      <c r="AD67" s="75">
        <f t="shared" si="105"/>
        <v>0</v>
      </c>
      <c r="AE67" s="75">
        <f t="shared" si="105"/>
        <v>279</v>
      </c>
      <c r="AF67" s="75">
        <f t="shared" si="105"/>
        <v>0</v>
      </c>
      <c r="AG67" s="75">
        <f t="shared" si="105"/>
        <v>0</v>
      </c>
      <c r="AH67" s="75">
        <f t="shared" si="105"/>
        <v>0</v>
      </c>
      <c r="AI67" s="75">
        <f t="shared" si="105"/>
        <v>0</v>
      </c>
      <c r="AJ67" s="75">
        <f t="shared" si="105"/>
        <v>0</v>
      </c>
      <c r="AK67" s="75">
        <f t="shared" si="105"/>
        <v>0</v>
      </c>
      <c r="AL67" s="75">
        <f t="shared" si="105"/>
        <v>0</v>
      </c>
      <c r="AM67" s="75">
        <f t="shared" si="105"/>
        <v>0</v>
      </c>
      <c r="AN67" s="75">
        <f t="shared" si="105"/>
        <v>0</v>
      </c>
      <c r="AO67" s="75">
        <f>SUM(X67:AN67)</f>
        <v>46050.789999999994</v>
      </c>
    </row>
    <row r="68">
      <c r="A68" s="84"/>
      <c r="B68" s="84"/>
      <c r="C68" s="84"/>
      <c r="D68" s="84"/>
      <c r="E68" s="84"/>
      <c r="F68" s="84"/>
      <c r="G68" s="84"/>
      <c r="H68" s="84"/>
      <c r="I68" s="84"/>
      <c r="J68" s="84"/>
      <c r="K68" s="84"/>
      <c r="L68" s="84"/>
      <c r="M68" s="84"/>
      <c r="N68" s="84"/>
      <c r="O68" s="84"/>
      <c r="P68" s="84"/>
      <c r="Q68" s="84"/>
      <c r="R68" s="84"/>
      <c r="S68" s="84"/>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row>
    <row r="70">
      <c r="A70" s="5" t="s">
        <v>68</v>
      </c>
      <c r="B70" s="71">
        <f>21000-344+2039+(23000-23000)-344-344+8164.1-4600-3300+(3000-3000)+80000+2000+(5500-5500)+(5650-5100)+1000+300</f>
        <v>106121.10000000001</v>
      </c>
      <c r="C70" s="5"/>
      <c r="D70" s="5"/>
      <c r="E70" s="5"/>
      <c r="F70" s="5"/>
      <c r="G70" s="5"/>
      <c r="H70" s="5"/>
      <c r="I70" s="5"/>
      <c r="J70" s="5"/>
      <c r="K70" s="5"/>
      <c r="L70" s="5"/>
      <c r="M70" s="5"/>
      <c r="N70" s="5"/>
      <c r="O70" s="5"/>
      <c r="P70" s="5"/>
      <c r="Q70" s="5"/>
      <c r="R70" s="5"/>
      <c r="S70" s="5"/>
    </row>
    <row r="71">
      <c r="A71" s="5" t="s">
        <v>76</v>
      </c>
      <c r="B71" s="5"/>
      <c r="C71" s="5"/>
      <c r="D71" s="5"/>
      <c r="E71" s="5"/>
      <c r="F71" s="5"/>
      <c r="G71" s="5"/>
      <c r="H71" s="5"/>
      <c r="I71" s="5"/>
      <c r="J71" s="5"/>
      <c r="K71" s="5"/>
      <c r="L71" s="5"/>
      <c r="M71" s="5"/>
      <c r="N71" s="5"/>
      <c r="O71" s="5"/>
      <c r="P71" s="5"/>
      <c r="Q71" s="5"/>
      <c r="R71" s="5"/>
      <c r="S71" s="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25" zoomScale="70" workbookViewId="0">
      <selection activeCell="I65" activeCellId="0" sqref="I65"/>
    </sheetView>
  </sheetViews>
  <sheetFormatPr defaultRowHeight="14.25"/>
  <cols>
    <col bestFit="1" customWidth="1" min="1" max="1" width="15"/>
    <col customWidth="1" min="23" max="23" width="12.5703125"/>
  </cols>
  <sheetData>
    <row r="1">
      <c r="A1" s="82" t="s">
        <v>0</v>
      </c>
      <c r="B1" s="83" t="s">
        <v>70</v>
      </c>
      <c r="C1" s="83" t="s">
        <v>71</v>
      </c>
      <c r="D1" s="83" t="s">
        <v>72</v>
      </c>
      <c r="E1" s="83" t="s">
        <v>3</v>
      </c>
      <c r="F1" s="83" t="s">
        <v>4</v>
      </c>
      <c r="G1" s="83" t="s">
        <v>5</v>
      </c>
      <c r="H1" s="83" t="s">
        <v>6</v>
      </c>
      <c r="I1" s="83" t="s">
        <v>7</v>
      </c>
      <c r="J1" s="83" t="s">
        <v>8</v>
      </c>
      <c r="K1" s="83" t="s">
        <v>9</v>
      </c>
      <c r="L1" s="83" t="s">
        <v>10</v>
      </c>
      <c r="M1" s="83" t="s">
        <v>11</v>
      </c>
      <c r="N1" s="83" t="s">
        <v>12</v>
      </c>
      <c r="O1" s="83" t="s">
        <v>13</v>
      </c>
      <c r="P1" s="83" t="s">
        <v>19</v>
      </c>
      <c r="Q1" s="83" t="s">
        <v>20</v>
      </c>
      <c r="R1" s="83" t="s">
        <v>73</v>
      </c>
      <c r="S1" s="83" t="s">
        <v>62</v>
      </c>
      <c r="T1" s="87"/>
      <c r="U1" s="31"/>
      <c r="V1" s="88"/>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19</v>
      </c>
      <c r="AM1" s="83" t="s">
        <v>20</v>
      </c>
      <c r="AN1" s="83" t="s">
        <v>73</v>
      </c>
      <c r="AO1" s="83" t="s">
        <v>62</v>
      </c>
    </row>
    <row r="2">
      <c r="A2" s="11">
        <v>44621</v>
      </c>
      <c r="B2" s="14"/>
      <c r="C2" s="14"/>
      <c r="D2" s="14">
        <v>124</v>
      </c>
      <c r="E2" s="14"/>
      <c r="F2" s="14"/>
      <c r="G2" s="14"/>
      <c r="H2" s="14"/>
      <c r="I2" s="14"/>
      <c r="J2" s="14"/>
      <c r="K2" s="14"/>
      <c r="L2" s="14"/>
      <c r="M2" s="14"/>
      <c r="N2" s="14"/>
      <c r="O2" s="14"/>
      <c r="P2" s="14"/>
      <c r="Q2" s="14"/>
      <c r="R2" s="14"/>
      <c r="S2" s="14"/>
      <c r="T2" s="87"/>
      <c r="U2" s="31"/>
      <c r="V2" s="88"/>
      <c r="W2" s="11">
        <v>44621</v>
      </c>
      <c r="X2" s="14"/>
      <c r="Y2" s="14"/>
      <c r="Z2" s="14"/>
      <c r="AA2" s="14"/>
      <c r="AB2" s="14"/>
      <c r="AC2" s="14"/>
      <c r="AD2" s="14"/>
      <c r="AE2" s="14"/>
      <c r="AF2" s="14"/>
      <c r="AG2" s="14"/>
      <c r="AH2" s="14"/>
      <c r="AI2" s="14"/>
      <c r="AJ2" s="14"/>
      <c r="AK2" s="14"/>
      <c r="AL2" s="14"/>
      <c r="AM2" s="14"/>
      <c r="AN2" s="14"/>
      <c r="AO2" s="14"/>
    </row>
    <row r="3">
      <c r="A3" s="11">
        <v>44622</v>
      </c>
      <c r="B3" s="5"/>
      <c r="C3" s="5"/>
      <c r="D3" s="5"/>
      <c r="E3" s="5"/>
      <c r="F3" s="5"/>
      <c r="G3" s="5"/>
      <c r="H3" s="5"/>
      <c r="I3" s="5"/>
      <c r="J3" s="5"/>
      <c r="K3" s="5"/>
      <c r="L3" s="5"/>
      <c r="M3" s="5"/>
      <c r="N3" s="5">
        <f>400+160</f>
        <v>560</v>
      </c>
      <c r="O3" s="5"/>
      <c r="P3" s="5"/>
      <c r="Q3" s="5"/>
      <c r="R3" s="5"/>
      <c r="S3" s="5"/>
      <c r="T3" s="87"/>
      <c r="U3" s="31"/>
      <c r="V3" s="88"/>
      <c r="W3" s="11">
        <v>44622</v>
      </c>
      <c r="X3" s="5"/>
      <c r="Y3" s="5"/>
      <c r="Z3" s="5"/>
      <c r="AA3" s="5"/>
      <c r="AB3" s="5"/>
      <c r="AC3" s="5"/>
      <c r="AD3" s="5"/>
      <c r="AE3" s="5"/>
      <c r="AF3" s="5"/>
      <c r="AG3" s="5"/>
      <c r="AH3" s="5"/>
      <c r="AI3" s="5"/>
      <c r="AJ3" s="5"/>
      <c r="AK3" s="5"/>
      <c r="AL3" s="5"/>
      <c r="AM3" s="5"/>
      <c r="AN3" s="5"/>
      <c r="AO3" s="5"/>
    </row>
    <row r="4">
      <c r="A4" s="11">
        <v>44623</v>
      </c>
      <c r="B4" s="14"/>
      <c r="C4" s="14"/>
      <c r="D4" s="14"/>
      <c r="E4" s="14"/>
      <c r="F4" s="14"/>
      <c r="G4" s="14"/>
      <c r="H4" s="14"/>
      <c r="I4" s="14"/>
      <c r="J4" s="14"/>
      <c r="K4" s="14"/>
      <c r="L4" s="14"/>
      <c r="M4" s="14"/>
      <c r="N4" s="14"/>
      <c r="O4" s="14"/>
      <c r="P4" s="14"/>
      <c r="Q4" s="14"/>
      <c r="R4" s="14"/>
      <c r="S4" s="14"/>
      <c r="T4" s="87"/>
      <c r="U4" s="31"/>
      <c r="V4" s="88"/>
      <c r="W4" s="11">
        <v>44623</v>
      </c>
      <c r="X4" s="14"/>
      <c r="Y4" s="14"/>
      <c r="Z4" s="14"/>
      <c r="AA4" s="14"/>
      <c r="AB4" s="14"/>
      <c r="AC4" s="14"/>
      <c r="AD4" s="14"/>
      <c r="AE4" s="14"/>
      <c r="AF4" s="14"/>
      <c r="AG4" s="14"/>
      <c r="AH4" s="14"/>
      <c r="AI4" s="14"/>
      <c r="AJ4" s="14"/>
      <c r="AK4" s="14"/>
      <c r="AL4" s="14"/>
      <c r="AM4" s="14"/>
      <c r="AN4" s="14"/>
      <c r="AO4" s="14"/>
    </row>
    <row r="5">
      <c r="A5" s="11">
        <v>44624</v>
      </c>
      <c r="B5" s="5"/>
      <c r="C5" s="5">
        <v>2372</v>
      </c>
      <c r="D5" s="5"/>
      <c r="E5" s="5"/>
      <c r="F5" s="5"/>
      <c r="G5" s="5"/>
      <c r="H5" s="5"/>
      <c r="I5" s="5"/>
      <c r="J5" s="5"/>
      <c r="K5" s="5"/>
      <c r="L5" s="5"/>
      <c r="M5" s="5"/>
      <c r="N5" s="5"/>
      <c r="O5" s="5"/>
      <c r="P5" s="5"/>
      <c r="Q5" s="5"/>
      <c r="R5" s="5"/>
      <c r="S5" s="5"/>
      <c r="T5" s="87"/>
      <c r="U5" s="31"/>
      <c r="V5" s="88"/>
      <c r="W5" s="11">
        <v>44624</v>
      </c>
      <c r="X5" s="5"/>
      <c r="Y5" s="5"/>
      <c r="Z5" s="5"/>
      <c r="AA5" s="5"/>
      <c r="AB5" s="5"/>
      <c r="AC5" s="5"/>
      <c r="AD5" s="5"/>
      <c r="AE5" s="5"/>
      <c r="AF5" s="5"/>
      <c r="AG5" s="5"/>
      <c r="AH5" s="5"/>
      <c r="AI5" s="5"/>
      <c r="AJ5" s="5"/>
      <c r="AK5" s="5"/>
      <c r="AL5" s="5"/>
      <c r="AM5" s="5"/>
      <c r="AN5" s="5"/>
      <c r="AO5" s="5"/>
    </row>
    <row r="6">
      <c r="A6" s="11">
        <v>44625</v>
      </c>
      <c r="B6" s="14">
        <v>68</v>
      </c>
      <c r="C6" s="14"/>
      <c r="D6" s="14">
        <v>57</v>
      </c>
      <c r="E6" s="14"/>
      <c r="F6" s="14"/>
      <c r="G6" s="14"/>
      <c r="H6" s="14"/>
      <c r="I6" s="14"/>
      <c r="J6" s="14"/>
      <c r="K6" s="14"/>
      <c r="L6" s="14"/>
      <c r="M6" s="14"/>
      <c r="N6" s="14"/>
      <c r="O6" s="14"/>
      <c r="P6" s="14"/>
      <c r="Q6" s="14"/>
      <c r="R6" s="14"/>
      <c r="S6" s="14"/>
      <c r="T6" s="87"/>
      <c r="U6" s="31"/>
      <c r="V6" s="88"/>
      <c r="W6" s="11">
        <v>44625</v>
      </c>
      <c r="X6" s="14"/>
      <c r="Y6" s="14"/>
      <c r="Z6" s="14"/>
      <c r="AA6" s="14"/>
      <c r="AB6" s="14"/>
      <c r="AC6" s="14"/>
      <c r="AD6" s="14"/>
      <c r="AE6" s="14"/>
      <c r="AF6" s="14"/>
      <c r="AG6" s="14"/>
      <c r="AH6" s="14"/>
      <c r="AI6" s="14"/>
      <c r="AJ6" s="14"/>
      <c r="AK6" s="14"/>
      <c r="AL6" s="14"/>
      <c r="AM6" s="14"/>
      <c r="AN6" s="14"/>
      <c r="AO6" s="14"/>
    </row>
    <row r="7">
      <c r="A7" s="11">
        <v>44626</v>
      </c>
      <c r="B7" s="5">
        <v>500</v>
      </c>
      <c r="C7" s="5"/>
      <c r="D7" s="5"/>
      <c r="E7" s="5"/>
      <c r="F7" s="5"/>
      <c r="G7" s="5"/>
      <c r="H7" s="5"/>
      <c r="I7" s="5"/>
      <c r="J7" s="5"/>
      <c r="K7" s="5"/>
      <c r="L7" s="5"/>
      <c r="M7" s="5"/>
      <c r="N7" s="5"/>
      <c r="O7" s="5"/>
      <c r="P7" s="5"/>
      <c r="Q7" s="5"/>
      <c r="R7" s="5"/>
      <c r="S7" s="5"/>
      <c r="T7" s="87"/>
      <c r="U7" s="31"/>
      <c r="V7" s="88"/>
      <c r="W7" s="11">
        <v>44626</v>
      </c>
      <c r="X7" s="5"/>
      <c r="Y7" s="5"/>
      <c r="Z7" s="5"/>
      <c r="AA7" s="5"/>
      <c r="AB7" s="5"/>
      <c r="AC7" s="5"/>
      <c r="AD7" s="5"/>
      <c r="AE7" s="5"/>
      <c r="AF7" s="5"/>
      <c r="AG7" s="5"/>
      <c r="AH7" s="5"/>
      <c r="AI7" s="5"/>
      <c r="AJ7" s="5"/>
      <c r="AK7" s="5"/>
      <c r="AL7" s="5"/>
      <c r="AM7" s="5"/>
      <c r="AN7" s="5"/>
      <c r="AO7" s="5"/>
    </row>
    <row r="8">
      <c r="A8" s="11">
        <v>44627</v>
      </c>
      <c r="B8" s="14"/>
      <c r="C8" s="14"/>
      <c r="D8" s="14"/>
      <c r="E8" s="14"/>
      <c r="F8" s="14"/>
      <c r="G8" s="14"/>
      <c r="H8" s="14"/>
      <c r="I8" s="14"/>
      <c r="J8" s="14"/>
      <c r="K8" s="14"/>
      <c r="L8" s="14"/>
      <c r="M8" s="14">
        <f>259.99+398</f>
        <v>657.99000000000001</v>
      </c>
      <c r="N8" s="14"/>
      <c r="O8" s="14"/>
      <c r="P8" s="14"/>
      <c r="Q8" s="14">
        <f>209.77+1260</f>
        <v>1469.77</v>
      </c>
      <c r="R8" s="14"/>
      <c r="S8" s="14"/>
      <c r="T8" s="87"/>
      <c r="U8" s="31"/>
      <c r="V8" s="88"/>
      <c r="W8" s="11">
        <v>44627</v>
      </c>
      <c r="X8" s="14"/>
      <c r="Y8" s="14"/>
      <c r="Z8" s="14"/>
      <c r="AA8" s="14"/>
      <c r="AB8" s="14"/>
      <c r="AC8" s="14"/>
      <c r="AD8" s="14"/>
      <c r="AE8" s="14"/>
      <c r="AF8" s="14"/>
      <c r="AG8" s="14"/>
      <c r="AH8" s="14"/>
      <c r="AI8" s="14"/>
      <c r="AJ8" s="14"/>
      <c r="AK8" s="14"/>
      <c r="AL8" s="14"/>
      <c r="AM8" s="14"/>
      <c r="AN8" s="14"/>
      <c r="AO8" s="14"/>
    </row>
    <row r="9">
      <c r="A9" s="11">
        <v>44628</v>
      </c>
      <c r="B9" s="5"/>
      <c r="C9" s="5">
        <v>209.99000000000001</v>
      </c>
      <c r="D9" s="5"/>
      <c r="E9" s="5"/>
      <c r="F9" s="5"/>
      <c r="G9" s="5"/>
      <c r="H9" s="5"/>
      <c r="I9" s="5"/>
      <c r="J9" s="5"/>
      <c r="K9" s="5"/>
      <c r="L9" s="5"/>
      <c r="M9" s="5">
        <f>599+730</f>
        <v>1329</v>
      </c>
      <c r="N9" s="5"/>
      <c r="O9" s="5"/>
      <c r="P9" s="5"/>
      <c r="Q9" s="5"/>
      <c r="R9" s="5"/>
      <c r="S9" s="5"/>
      <c r="T9" s="87"/>
      <c r="U9" s="31"/>
      <c r="V9" s="88"/>
      <c r="W9" s="11">
        <v>44628</v>
      </c>
      <c r="X9" s="5"/>
      <c r="Y9" s="5"/>
      <c r="Z9" s="5"/>
      <c r="AA9" s="5"/>
      <c r="AB9" s="5"/>
      <c r="AC9" s="5"/>
      <c r="AD9" s="5"/>
      <c r="AE9" s="5"/>
      <c r="AF9" s="5"/>
      <c r="AG9" s="5"/>
      <c r="AH9" s="5"/>
      <c r="AI9" s="5"/>
      <c r="AJ9" s="5"/>
      <c r="AK9" s="5"/>
      <c r="AL9" s="5"/>
      <c r="AM9" s="5"/>
      <c r="AN9" s="5"/>
      <c r="AO9" s="5"/>
    </row>
    <row r="10">
      <c r="A10" s="11">
        <v>44629</v>
      </c>
      <c r="B10" s="14"/>
      <c r="C10" s="14"/>
      <c r="D10" s="14">
        <v>112</v>
      </c>
      <c r="E10" s="14"/>
      <c r="F10" s="14"/>
      <c r="G10" s="14"/>
      <c r="H10" s="14"/>
      <c r="I10" s="14"/>
      <c r="J10" s="14"/>
      <c r="K10" s="14"/>
      <c r="L10" s="14"/>
      <c r="M10" s="14"/>
      <c r="N10" s="14"/>
      <c r="O10" s="14"/>
      <c r="P10" s="14"/>
      <c r="Q10" s="14"/>
      <c r="R10" s="14"/>
      <c r="S10" s="14"/>
      <c r="T10" s="87"/>
      <c r="U10" s="31"/>
      <c r="V10" s="88"/>
      <c r="W10" s="11">
        <v>44629</v>
      </c>
      <c r="X10" s="14"/>
      <c r="Y10" s="14"/>
      <c r="Z10" s="14"/>
      <c r="AA10" s="14"/>
      <c r="AB10" s="14"/>
      <c r="AC10" s="14"/>
      <c r="AD10" s="14"/>
      <c r="AE10" s="14"/>
      <c r="AF10" s="14"/>
      <c r="AG10" s="14"/>
      <c r="AH10" s="14"/>
      <c r="AI10" s="14"/>
      <c r="AJ10" s="14"/>
      <c r="AK10" s="14"/>
      <c r="AL10" s="14"/>
      <c r="AM10" s="14"/>
      <c r="AN10" s="14"/>
      <c r="AO10" s="14"/>
    </row>
    <row r="11">
      <c r="A11" s="11">
        <v>44630</v>
      </c>
      <c r="B11" s="5">
        <f>21+282+21+355+320</f>
        <v>999</v>
      </c>
      <c r="C11" s="5"/>
      <c r="D11" s="5"/>
      <c r="E11" s="5">
        <v>129</v>
      </c>
      <c r="F11" s="5"/>
      <c r="G11" s="5"/>
      <c r="H11" s="5"/>
      <c r="I11" s="5"/>
      <c r="J11" s="5"/>
      <c r="K11" s="5"/>
      <c r="L11" s="5"/>
      <c r="M11" s="5"/>
      <c r="N11" s="5"/>
      <c r="O11" s="5"/>
      <c r="P11" s="5"/>
      <c r="Q11" s="5"/>
      <c r="R11" s="5"/>
      <c r="S11" s="5"/>
      <c r="T11" s="87"/>
      <c r="U11" s="31"/>
      <c r="V11" s="88"/>
      <c r="W11" s="11">
        <v>44630</v>
      </c>
      <c r="X11" s="5"/>
      <c r="Y11" s="5"/>
      <c r="Z11" s="5"/>
      <c r="AA11" s="5"/>
      <c r="AB11" s="5"/>
      <c r="AC11" s="5"/>
      <c r="AD11" s="5"/>
      <c r="AE11" s="5"/>
      <c r="AF11" s="5"/>
      <c r="AG11" s="5"/>
      <c r="AH11" s="5"/>
      <c r="AI11" s="5"/>
      <c r="AJ11" s="5"/>
      <c r="AK11" s="5"/>
      <c r="AL11" s="5"/>
      <c r="AM11" s="5"/>
      <c r="AN11" s="5"/>
      <c r="AO11" s="5"/>
    </row>
    <row r="12">
      <c r="A12" s="11">
        <v>44631</v>
      </c>
      <c r="B12" s="14"/>
      <c r="C12" s="14">
        <v>621.92999999999995</v>
      </c>
      <c r="D12" s="14">
        <v>102</v>
      </c>
      <c r="E12" s="14"/>
      <c r="F12" s="14"/>
      <c r="G12" s="14"/>
      <c r="H12" s="14"/>
      <c r="I12" s="14"/>
      <c r="J12" s="14"/>
      <c r="K12" s="14"/>
      <c r="L12" s="14"/>
      <c r="M12" s="14"/>
      <c r="N12" s="14"/>
      <c r="O12" s="14"/>
      <c r="P12" s="14"/>
      <c r="Q12" s="14"/>
      <c r="R12" s="14"/>
      <c r="S12" s="14"/>
      <c r="T12" s="87"/>
      <c r="U12" s="31"/>
      <c r="V12" s="88"/>
      <c r="W12" s="11">
        <v>44631</v>
      </c>
      <c r="X12" s="14"/>
      <c r="Y12" s="14"/>
      <c r="Z12" s="14"/>
      <c r="AA12" s="14"/>
      <c r="AB12" s="14"/>
      <c r="AC12" s="14"/>
      <c r="AD12" s="14"/>
      <c r="AE12" s="14"/>
      <c r="AF12" s="14"/>
      <c r="AG12" s="14"/>
      <c r="AH12" s="14"/>
      <c r="AI12" s="14"/>
      <c r="AJ12" s="14"/>
      <c r="AK12" s="14"/>
      <c r="AL12" s="14"/>
      <c r="AM12" s="14"/>
      <c r="AN12" s="14"/>
      <c r="AO12" s="14"/>
    </row>
    <row r="13">
      <c r="A13" s="11">
        <v>44632</v>
      </c>
      <c r="B13" s="5">
        <v>1699.8800000000001</v>
      </c>
      <c r="C13" s="5"/>
      <c r="D13" s="5"/>
      <c r="E13" s="5"/>
      <c r="F13" s="5"/>
      <c r="G13" s="5"/>
      <c r="H13" s="5"/>
      <c r="I13" s="5"/>
      <c r="J13" s="5"/>
      <c r="K13" s="5"/>
      <c r="L13" s="5"/>
      <c r="M13" s="5"/>
      <c r="N13" s="5"/>
      <c r="O13" s="5"/>
      <c r="P13" s="5"/>
      <c r="Q13" s="5"/>
      <c r="R13" s="5"/>
      <c r="S13" s="5"/>
      <c r="T13" s="87"/>
      <c r="U13" s="31"/>
      <c r="V13" s="88"/>
      <c r="W13" s="11">
        <v>44632</v>
      </c>
      <c r="X13" s="5"/>
      <c r="Y13" s="5"/>
      <c r="Z13" s="5"/>
      <c r="AA13" s="5"/>
      <c r="AB13" s="5"/>
      <c r="AC13" s="5"/>
      <c r="AD13" s="5"/>
      <c r="AE13" s="5"/>
      <c r="AF13" s="5"/>
      <c r="AG13" s="5"/>
      <c r="AH13" s="5"/>
      <c r="AI13" s="5"/>
      <c r="AJ13" s="5"/>
      <c r="AK13" s="5"/>
      <c r="AL13" s="5"/>
      <c r="AM13" s="5"/>
      <c r="AN13" s="5"/>
      <c r="AO13" s="5"/>
    </row>
    <row r="14">
      <c r="A14" s="11">
        <v>44633</v>
      </c>
      <c r="B14" s="14">
        <v>-212.5</v>
      </c>
      <c r="C14" s="14"/>
      <c r="D14" s="14"/>
      <c r="E14" s="14"/>
      <c r="F14" s="14"/>
      <c r="G14" s="14"/>
      <c r="H14" s="14"/>
      <c r="I14" s="14"/>
      <c r="J14" s="14"/>
      <c r="K14" s="14"/>
      <c r="L14" s="14"/>
      <c r="M14" s="14"/>
      <c r="N14" s="14"/>
      <c r="O14" s="14"/>
      <c r="P14" s="14"/>
      <c r="Q14" s="14"/>
      <c r="R14" s="14"/>
      <c r="S14" s="14"/>
      <c r="T14" s="87"/>
      <c r="U14" s="31"/>
      <c r="V14" s="88"/>
      <c r="W14" s="11">
        <v>44633</v>
      </c>
      <c r="X14" s="14"/>
      <c r="Y14" s="14"/>
      <c r="Z14" s="14"/>
      <c r="AA14" s="14"/>
      <c r="AB14" s="14"/>
      <c r="AC14" s="14"/>
      <c r="AD14" s="14"/>
      <c r="AE14" s="14"/>
      <c r="AF14" s="14"/>
      <c r="AG14" s="14"/>
      <c r="AH14" s="14"/>
      <c r="AI14" s="14"/>
      <c r="AJ14" s="14"/>
      <c r="AK14" s="14"/>
      <c r="AL14" s="14"/>
      <c r="AM14" s="14"/>
      <c r="AN14" s="14"/>
      <c r="AO14" s="14"/>
    </row>
    <row r="15">
      <c r="A15" s="11">
        <v>44634</v>
      </c>
      <c r="B15" s="5"/>
      <c r="C15" s="5">
        <v>1218.98</v>
      </c>
      <c r="D15" s="5"/>
      <c r="E15" s="5"/>
      <c r="F15" s="5"/>
      <c r="G15" s="5"/>
      <c r="H15" s="5"/>
      <c r="I15" s="5"/>
      <c r="J15" s="5">
        <v>297</v>
      </c>
      <c r="K15" s="5"/>
      <c r="L15" s="5"/>
      <c r="M15" s="5"/>
      <c r="N15" s="5"/>
      <c r="O15" s="5"/>
      <c r="P15" s="5"/>
      <c r="Q15" s="5"/>
      <c r="R15" s="5"/>
      <c r="S15" s="5"/>
      <c r="T15" s="87"/>
      <c r="U15" s="31"/>
      <c r="V15" s="88"/>
      <c r="W15" s="11">
        <v>44634</v>
      </c>
      <c r="X15" s="5"/>
      <c r="Y15" s="5"/>
      <c r="Z15" s="5"/>
      <c r="AA15" s="5"/>
      <c r="AB15" s="5"/>
      <c r="AC15" s="5"/>
      <c r="AD15" s="5"/>
      <c r="AE15" s="5"/>
      <c r="AF15" s="5"/>
      <c r="AG15" s="5"/>
      <c r="AH15" s="5"/>
      <c r="AI15" s="5"/>
      <c r="AJ15" s="5"/>
      <c r="AK15" s="5"/>
      <c r="AL15" s="5"/>
      <c r="AM15" s="5"/>
      <c r="AN15" s="5"/>
      <c r="AO15" s="5"/>
    </row>
    <row r="16">
      <c r="A16" s="11">
        <v>44635</v>
      </c>
      <c r="B16" s="14"/>
      <c r="C16" s="14"/>
      <c r="D16" s="14"/>
      <c r="E16" s="14"/>
      <c r="F16" s="14"/>
      <c r="G16" s="14"/>
      <c r="H16" s="14"/>
      <c r="I16" s="14"/>
      <c r="J16" s="14"/>
      <c r="K16" s="14"/>
      <c r="L16" s="14"/>
      <c r="M16" s="14"/>
      <c r="N16" s="14"/>
      <c r="O16" s="14"/>
      <c r="P16" s="14"/>
      <c r="Q16" s="14"/>
      <c r="R16" s="14"/>
      <c r="S16" s="14"/>
      <c r="T16" s="87"/>
      <c r="U16" s="31"/>
      <c r="V16" s="88"/>
      <c r="W16" s="11">
        <v>44635</v>
      </c>
      <c r="X16" s="14"/>
      <c r="Y16" s="14"/>
      <c r="Z16" s="14"/>
      <c r="AA16" s="14"/>
      <c r="AB16" s="14"/>
      <c r="AC16" s="14"/>
      <c r="AD16" s="14"/>
      <c r="AE16" s="14"/>
      <c r="AF16" s="14"/>
      <c r="AG16" s="14"/>
      <c r="AH16" s="14"/>
      <c r="AI16" s="14"/>
      <c r="AJ16" s="14"/>
      <c r="AK16" s="14"/>
      <c r="AL16" s="14"/>
      <c r="AM16" s="14"/>
      <c r="AN16" s="14"/>
      <c r="AO16" s="14"/>
    </row>
    <row r="17">
      <c r="A17" s="11">
        <v>44636</v>
      </c>
      <c r="B17" s="5"/>
      <c r="C17" s="5">
        <f>494.55+245.89</f>
        <v>740.44000000000005</v>
      </c>
      <c r="D17" s="5"/>
      <c r="E17" s="5"/>
      <c r="F17" s="5"/>
      <c r="G17" s="5"/>
      <c r="H17" s="5"/>
      <c r="I17" s="5"/>
      <c r="J17" s="5"/>
      <c r="K17" s="5"/>
      <c r="L17" s="5"/>
      <c r="M17" s="5"/>
      <c r="N17" s="5"/>
      <c r="O17" s="5"/>
      <c r="P17" s="5"/>
      <c r="Q17" s="5"/>
      <c r="R17" s="5"/>
      <c r="S17" s="5"/>
      <c r="T17" s="87"/>
      <c r="U17" s="31"/>
      <c r="V17" s="88"/>
      <c r="W17" s="11">
        <v>44636</v>
      </c>
      <c r="X17" s="5"/>
      <c r="Y17" s="5"/>
      <c r="Z17" s="5"/>
      <c r="AA17" s="5"/>
      <c r="AB17" s="5"/>
      <c r="AC17" s="5"/>
      <c r="AD17" s="5"/>
      <c r="AE17" s="5"/>
      <c r="AF17" s="5"/>
      <c r="AG17" s="5"/>
      <c r="AH17" s="5"/>
      <c r="AI17" s="5"/>
      <c r="AJ17" s="5"/>
      <c r="AK17" s="5"/>
      <c r="AL17" s="5"/>
      <c r="AM17" s="5"/>
      <c r="AN17" s="5"/>
      <c r="AO17" s="5"/>
    </row>
    <row r="18">
      <c r="A18" s="11">
        <v>44637</v>
      </c>
      <c r="B18" s="14"/>
      <c r="C18" s="14"/>
      <c r="D18" s="14">
        <v>29</v>
      </c>
      <c r="E18" s="14">
        <v>606.95000000000005</v>
      </c>
      <c r="F18" s="14"/>
      <c r="G18" s="14"/>
      <c r="H18" s="14"/>
      <c r="I18" s="14"/>
      <c r="J18" s="14"/>
      <c r="K18" s="14"/>
      <c r="L18" s="14"/>
      <c r="M18" s="14"/>
      <c r="N18" s="14"/>
      <c r="O18" s="14"/>
      <c r="P18" s="14"/>
      <c r="Q18" s="14"/>
      <c r="R18" s="14"/>
      <c r="S18" s="14"/>
      <c r="T18" s="87"/>
      <c r="U18" s="31"/>
      <c r="V18" s="88"/>
      <c r="W18" s="11">
        <v>44637</v>
      </c>
      <c r="X18" s="14"/>
      <c r="Y18" s="14"/>
      <c r="Z18" s="14"/>
      <c r="AA18" s="14"/>
      <c r="AB18" s="14"/>
      <c r="AC18" s="14"/>
      <c r="AD18" s="14"/>
      <c r="AE18" s="14"/>
      <c r="AF18" s="14"/>
      <c r="AG18" s="14"/>
      <c r="AH18" s="14"/>
      <c r="AI18" s="14"/>
      <c r="AJ18" s="14"/>
      <c r="AK18" s="14"/>
      <c r="AL18" s="14"/>
      <c r="AM18" s="14"/>
      <c r="AN18" s="14"/>
      <c r="AO18" s="14"/>
    </row>
    <row r="19">
      <c r="A19" s="11">
        <v>44638</v>
      </c>
      <c r="B19" s="5"/>
      <c r="C19" s="5"/>
      <c r="D19" s="5"/>
      <c r="E19" s="5"/>
      <c r="F19" s="5"/>
      <c r="G19" s="5"/>
      <c r="H19" s="5"/>
      <c r="I19" s="5"/>
      <c r="J19" s="5"/>
      <c r="K19" s="5"/>
      <c r="L19" s="5"/>
      <c r="M19" s="5"/>
      <c r="N19" s="5"/>
      <c r="O19" s="5"/>
      <c r="P19" s="5"/>
      <c r="Q19" s="5"/>
      <c r="R19" s="5"/>
      <c r="S19" s="5"/>
      <c r="T19" s="87"/>
      <c r="U19" s="31"/>
      <c r="V19" s="88"/>
      <c r="W19" s="11">
        <v>44638</v>
      </c>
      <c r="X19" s="5"/>
      <c r="Y19" s="5"/>
      <c r="Z19" s="5"/>
      <c r="AA19" s="5"/>
      <c r="AB19" s="5"/>
      <c r="AC19" s="5"/>
      <c r="AD19" s="5"/>
      <c r="AE19" s="5"/>
      <c r="AF19" s="5"/>
      <c r="AG19" s="5"/>
      <c r="AH19" s="5"/>
      <c r="AI19" s="5"/>
      <c r="AJ19" s="5"/>
      <c r="AK19" s="5"/>
      <c r="AL19" s="5"/>
      <c r="AM19" s="5"/>
      <c r="AN19" s="5"/>
      <c r="AO19" s="5"/>
    </row>
    <row r="20">
      <c r="A20" s="11">
        <v>44639</v>
      </c>
      <c r="B20" s="14"/>
      <c r="C20" s="14"/>
      <c r="D20" s="14"/>
      <c r="E20" s="14"/>
      <c r="F20" s="14"/>
      <c r="G20" s="14"/>
      <c r="H20" s="14"/>
      <c r="I20" s="14"/>
      <c r="J20" s="14"/>
      <c r="K20" s="14"/>
      <c r="L20" s="14"/>
      <c r="M20" s="14"/>
      <c r="N20" s="14"/>
      <c r="O20" s="14"/>
      <c r="P20" s="34"/>
      <c r="Q20" s="14"/>
      <c r="R20" s="14"/>
      <c r="S20" s="14"/>
      <c r="T20" s="87"/>
      <c r="U20" s="31"/>
      <c r="V20" s="88"/>
      <c r="W20" s="11">
        <v>44639</v>
      </c>
      <c r="X20" s="14"/>
      <c r="Y20" s="14"/>
      <c r="Z20" s="14"/>
      <c r="AA20" s="14"/>
      <c r="AB20" s="14"/>
      <c r="AC20" s="14"/>
      <c r="AD20" s="14"/>
      <c r="AE20" s="14"/>
      <c r="AF20" s="14"/>
      <c r="AG20" s="14"/>
      <c r="AH20" s="14"/>
      <c r="AI20" s="14"/>
      <c r="AJ20" s="14"/>
      <c r="AK20" s="14"/>
      <c r="AL20" s="34"/>
      <c r="AM20" s="14"/>
      <c r="AN20" s="14"/>
      <c r="AO20" s="14"/>
    </row>
    <row r="21">
      <c r="A21" s="11">
        <v>44640</v>
      </c>
      <c r="B21" s="69">
        <v>889.98000000000002</v>
      </c>
      <c r="C21" s="5">
        <f>89.99+1024.33</f>
        <v>1114.3199999999999</v>
      </c>
      <c r="D21" s="5"/>
      <c r="E21" s="5"/>
      <c r="F21" s="5"/>
      <c r="G21" s="5"/>
      <c r="H21" s="5"/>
      <c r="I21" s="5"/>
      <c r="J21" s="5"/>
      <c r="K21" s="5"/>
      <c r="L21" s="5"/>
      <c r="M21" s="5">
        <v>951</v>
      </c>
      <c r="N21" s="5">
        <v>10</v>
      </c>
      <c r="O21" s="5"/>
      <c r="P21" s="5"/>
      <c r="Q21" s="5"/>
      <c r="R21" s="5"/>
      <c r="S21" s="5"/>
      <c r="T21" s="87"/>
      <c r="U21" s="31"/>
      <c r="V21" s="88"/>
      <c r="W21" s="11">
        <v>44640</v>
      </c>
      <c r="X21" s="69"/>
      <c r="Y21" s="5"/>
      <c r="Z21" s="5"/>
      <c r="AA21" s="5"/>
      <c r="AB21" s="5"/>
      <c r="AC21" s="5"/>
      <c r="AD21" s="5"/>
      <c r="AE21" s="5"/>
      <c r="AF21" s="5"/>
      <c r="AG21" s="5"/>
      <c r="AH21" s="5"/>
      <c r="AI21" s="5"/>
      <c r="AJ21" s="5"/>
      <c r="AK21" s="5"/>
      <c r="AL21" s="5"/>
      <c r="AM21" s="5"/>
      <c r="AN21" s="5"/>
      <c r="AO21" s="5"/>
    </row>
    <row r="22">
      <c r="A22" s="11">
        <v>44641</v>
      </c>
      <c r="B22" s="22"/>
      <c r="C22" s="14"/>
      <c r="D22" s="14">
        <v>65</v>
      </c>
      <c r="E22" s="14"/>
      <c r="F22" s="14"/>
      <c r="G22" s="14"/>
      <c r="H22" s="14"/>
      <c r="I22" s="14"/>
      <c r="J22" s="14"/>
      <c r="K22" s="14"/>
      <c r="L22" s="14">
        <v>7961.0600000000004</v>
      </c>
      <c r="M22" s="14"/>
      <c r="N22" s="14"/>
      <c r="O22" s="14"/>
      <c r="P22" s="14"/>
      <c r="Q22" s="14"/>
      <c r="R22" s="14"/>
      <c r="S22" s="14"/>
      <c r="T22" s="87"/>
      <c r="U22" s="31"/>
      <c r="V22" s="88"/>
      <c r="W22" s="11">
        <v>44641</v>
      </c>
      <c r="X22" s="22"/>
      <c r="Y22" s="14"/>
      <c r="Z22" s="14"/>
      <c r="AA22" s="14"/>
      <c r="AB22" s="14"/>
      <c r="AC22" s="14"/>
      <c r="AD22" s="14"/>
      <c r="AE22" s="14"/>
      <c r="AF22" s="14"/>
      <c r="AG22" s="14"/>
      <c r="AH22" s="14"/>
      <c r="AI22" s="14"/>
      <c r="AJ22" s="14"/>
      <c r="AK22" s="14"/>
      <c r="AL22" s="14"/>
      <c r="AM22" s="14"/>
      <c r="AN22" s="14"/>
      <c r="AO22" s="14"/>
    </row>
    <row r="23">
      <c r="A23" s="11">
        <v>44642</v>
      </c>
      <c r="B23" s="5"/>
      <c r="C23" s="5"/>
      <c r="D23" s="5"/>
      <c r="E23" s="5"/>
      <c r="F23" s="5"/>
      <c r="G23" s="5"/>
      <c r="H23" s="5"/>
      <c r="I23" s="5"/>
      <c r="J23" s="5"/>
      <c r="K23" s="5"/>
      <c r="L23" s="5"/>
      <c r="M23" s="5"/>
      <c r="N23" s="5"/>
      <c r="O23" s="5"/>
      <c r="P23" s="5"/>
      <c r="Q23" s="5"/>
      <c r="R23" s="5"/>
      <c r="S23" s="5"/>
      <c r="T23" s="87"/>
      <c r="U23" s="31"/>
      <c r="V23" s="88"/>
      <c r="W23" s="11">
        <v>44642</v>
      </c>
      <c r="X23" s="5"/>
      <c r="Y23" s="5"/>
      <c r="Z23" s="5"/>
      <c r="AA23" s="5"/>
      <c r="AB23" s="5"/>
      <c r="AC23" s="5"/>
      <c r="AD23" s="5"/>
      <c r="AE23" s="5"/>
      <c r="AF23" s="5"/>
      <c r="AG23" s="5"/>
      <c r="AH23" s="5"/>
      <c r="AI23" s="5"/>
      <c r="AJ23" s="5"/>
      <c r="AK23" s="5"/>
      <c r="AL23" s="5"/>
      <c r="AM23" s="5"/>
      <c r="AN23" s="5"/>
      <c r="AO23" s="5"/>
    </row>
    <row r="24">
      <c r="A24" s="11">
        <v>44643</v>
      </c>
      <c r="B24" s="14"/>
      <c r="C24" s="14">
        <v>893.24000000000001</v>
      </c>
      <c r="D24" s="14">
        <v>78</v>
      </c>
      <c r="E24" s="14"/>
      <c r="F24" s="14"/>
      <c r="G24" s="14"/>
      <c r="H24" s="14"/>
      <c r="I24" s="14"/>
      <c r="J24" s="14"/>
      <c r="K24" s="14"/>
      <c r="L24" s="14"/>
      <c r="M24" s="14"/>
      <c r="N24" s="14"/>
      <c r="O24" s="14"/>
      <c r="P24" s="14"/>
      <c r="Q24" s="14"/>
      <c r="R24" s="14"/>
      <c r="S24" s="14"/>
      <c r="T24" s="87"/>
      <c r="U24" s="31"/>
      <c r="V24" s="88"/>
      <c r="W24" s="11">
        <v>44643</v>
      </c>
      <c r="X24" s="14"/>
      <c r="Y24" s="14"/>
      <c r="Z24" s="14"/>
      <c r="AA24" s="14"/>
      <c r="AB24" s="14"/>
      <c r="AC24" s="14"/>
      <c r="AD24" s="14"/>
      <c r="AE24" s="14"/>
      <c r="AF24" s="14"/>
      <c r="AG24" s="14"/>
      <c r="AH24" s="14"/>
      <c r="AI24" s="14"/>
      <c r="AJ24" s="14"/>
      <c r="AK24" s="14"/>
      <c r="AL24" s="14"/>
      <c r="AM24" s="14"/>
      <c r="AN24" s="14"/>
      <c r="AO24" s="14"/>
    </row>
    <row r="25">
      <c r="A25" s="11">
        <v>44644</v>
      </c>
      <c r="B25" s="28"/>
      <c r="C25" s="5"/>
      <c r="D25" s="5"/>
      <c r="E25" s="5"/>
      <c r="F25" s="5"/>
      <c r="G25" s="5"/>
      <c r="H25" s="5"/>
      <c r="I25" s="5"/>
      <c r="J25" s="5">
        <f>-800+757.43</f>
        <v>-42.57000000000005</v>
      </c>
      <c r="K25" s="5"/>
      <c r="L25" s="5"/>
      <c r="M25" s="5"/>
      <c r="N25" s="5"/>
      <c r="O25" s="5"/>
      <c r="P25" s="5"/>
      <c r="Q25" s="5"/>
      <c r="R25" s="5"/>
      <c r="S25" s="5"/>
      <c r="T25" s="87"/>
      <c r="U25" s="31"/>
      <c r="V25" s="88"/>
      <c r="W25" s="11">
        <v>44644</v>
      </c>
      <c r="X25" s="28"/>
      <c r="Y25" s="5"/>
      <c r="Z25" s="5"/>
      <c r="AA25" s="5"/>
      <c r="AB25" s="5"/>
      <c r="AC25" s="5"/>
      <c r="AD25" s="5"/>
      <c r="AE25" s="5"/>
      <c r="AF25" s="5"/>
      <c r="AG25" s="5"/>
      <c r="AH25" s="5"/>
      <c r="AI25" s="5"/>
      <c r="AJ25" s="5"/>
      <c r="AK25" s="5"/>
      <c r="AL25" s="5"/>
      <c r="AM25" s="5"/>
      <c r="AN25" s="5"/>
      <c r="AO25" s="5"/>
    </row>
    <row r="26">
      <c r="A26" s="11">
        <v>44645</v>
      </c>
      <c r="B26" s="14"/>
      <c r="C26" s="14"/>
      <c r="D26" s="14">
        <v>84</v>
      </c>
      <c r="E26" s="14"/>
      <c r="F26" s="14"/>
      <c r="G26" s="14"/>
      <c r="H26" s="14"/>
      <c r="I26" s="14"/>
      <c r="J26" s="14"/>
      <c r="K26" s="14"/>
      <c r="L26" s="14"/>
      <c r="M26" s="14"/>
      <c r="N26" s="14"/>
      <c r="O26" s="14"/>
      <c r="P26" s="14"/>
      <c r="Q26" s="14"/>
      <c r="R26" s="14"/>
      <c r="S26" s="14">
        <v>400</v>
      </c>
      <c r="T26" s="87"/>
      <c r="U26" s="31"/>
      <c r="V26" s="88"/>
      <c r="W26" s="11">
        <v>44645</v>
      </c>
      <c r="X26" s="14"/>
      <c r="Y26" s="14"/>
      <c r="Z26" s="14"/>
      <c r="AA26" s="14"/>
      <c r="AB26" s="14"/>
      <c r="AC26" s="14"/>
      <c r="AD26" s="14"/>
      <c r="AE26" s="14"/>
      <c r="AF26" s="14"/>
      <c r="AG26" s="14"/>
      <c r="AH26" s="14"/>
      <c r="AI26" s="14"/>
      <c r="AJ26" s="14"/>
      <c r="AK26" s="14"/>
      <c r="AL26" s="14"/>
      <c r="AM26" s="14"/>
      <c r="AN26" s="14"/>
      <c r="AO26" s="14"/>
    </row>
    <row r="27">
      <c r="A27" s="11">
        <v>44646</v>
      </c>
      <c r="B27" s="5"/>
      <c r="C27" s="5"/>
      <c r="D27" s="5"/>
      <c r="E27" s="5"/>
      <c r="F27" s="5"/>
      <c r="G27" s="5"/>
      <c r="H27" s="5"/>
      <c r="I27" s="5"/>
      <c r="J27" s="5">
        <v>425</v>
      </c>
      <c r="K27" s="5"/>
      <c r="L27" s="5"/>
      <c r="M27" s="5"/>
      <c r="N27" s="5"/>
      <c r="O27" s="5"/>
      <c r="P27" s="5"/>
      <c r="Q27" s="5"/>
      <c r="R27" s="5"/>
      <c r="S27" s="5"/>
      <c r="T27" s="87"/>
      <c r="U27" s="31"/>
      <c r="V27" s="88"/>
      <c r="W27" s="11">
        <v>44646</v>
      </c>
      <c r="X27" s="5"/>
      <c r="Y27" s="5"/>
      <c r="Z27" s="5"/>
      <c r="AA27" s="5"/>
      <c r="AB27" s="5"/>
      <c r="AC27" s="5"/>
      <c r="AD27" s="5"/>
      <c r="AE27" s="5"/>
      <c r="AF27" s="5"/>
      <c r="AG27" s="5"/>
      <c r="AH27" s="5"/>
      <c r="AI27" s="5"/>
      <c r="AJ27" s="5"/>
      <c r="AK27" s="5"/>
      <c r="AL27" s="5"/>
      <c r="AM27" s="5"/>
      <c r="AN27" s="5"/>
      <c r="AO27" s="5"/>
    </row>
    <row r="28">
      <c r="A28" s="11">
        <v>44647</v>
      </c>
      <c r="B28" s="14"/>
      <c r="C28" s="14"/>
      <c r="D28" s="14"/>
      <c r="E28" s="14"/>
      <c r="F28" s="14"/>
      <c r="G28" s="14"/>
      <c r="H28" s="14"/>
      <c r="I28" s="14"/>
      <c r="J28" s="14"/>
      <c r="K28" s="14"/>
      <c r="L28" s="14"/>
      <c r="M28" s="14"/>
      <c r="N28" s="14"/>
      <c r="O28" s="14"/>
      <c r="P28" s="14"/>
      <c r="Q28" s="14"/>
      <c r="R28" s="14"/>
      <c r="S28" s="14"/>
      <c r="T28" s="87"/>
      <c r="U28" s="31"/>
      <c r="V28" s="88"/>
      <c r="W28" s="11">
        <v>44647</v>
      </c>
      <c r="X28" s="14"/>
      <c r="Y28" s="14"/>
      <c r="Z28" s="14"/>
      <c r="AA28" s="14"/>
      <c r="AB28" s="14"/>
      <c r="AC28" s="14"/>
      <c r="AD28" s="14"/>
      <c r="AE28" s="14"/>
      <c r="AF28" s="14"/>
      <c r="AG28" s="14"/>
      <c r="AH28" s="14"/>
      <c r="AI28" s="14"/>
      <c r="AJ28" s="14"/>
      <c r="AK28" s="14"/>
      <c r="AL28" s="14"/>
      <c r="AM28" s="14"/>
      <c r="AN28" s="14"/>
      <c r="AO28" s="14"/>
    </row>
    <row r="29">
      <c r="A29" s="11">
        <v>44648</v>
      </c>
      <c r="B29" s="5"/>
      <c r="C29" s="5">
        <v>1112</v>
      </c>
      <c r="D29" s="5"/>
      <c r="E29" s="5"/>
      <c r="F29" s="5"/>
      <c r="G29" s="5"/>
      <c r="H29" s="5"/>
      <c r="I29" s="5"/>
      <c r="J29" s="5">
        <v>55</v>
      </c>
      <c r="K29" s="5"/>
      <c r="L29" s="5">
        <v>680.71000000000004</v>
      </c>
      <c r="M29" s="5"/>
      <c r="N29" s="5"/>
      <c r="O29" s="5"/>
      <c r="P29" s="5"/>
      <c r="Q29" s="5"/>
      <c r="R29" s="5"/>
      <c r="S29" s="5"/>
      <c r="T29" s="87"/>
      <c r="U29" s="31"/>
      <c r="V29" s="88"/>
      <c r="W29" s="11">
        <v>44648</v>
      </c>
      <c r="X29" s="5"/>
      <c r="Y29" s="5"/>
      <c r="Z29" s="5"/>
      <c r="AA29" s="5"/>
      <c r="AB29" s="5"/>
      <c r="AC29" s="5"/>
      <c r="AD29" s="5"/>
      <c r="AE29" s="5"/>
      <c r="AF29" s="5"/>
      <c r="AG29" s="5"/>
      <c r="AH29" s="5"/>
      <c r="AI29" s="5"/>
      <c r="AJ29" s="5"/>
      <c r="AK29" s="5"/>
      <c r="AL29" s="5"/>
      <c r="AM29" s="5"/>
      <c r="AN29" s="5"/>
      <c r="AO29" s="5"/>
    </row>
    <row r="30">
      <c r="A30" s="11">
        <v>44649</v>
      </c>
      <c r="B30" s="22">
        <v>68</v>
      </c>
      <c r="C30" s="22"/>
      <c r="D30" s="22">
        <v>162</v>
      </c>
      <c r="E30" s="22">
        <v>370</v>
      </c>
      <c r="F30" s="22"/>
      <c r="G30" s="22"/>
      <c r="H30" s="22"/>
      <c r="I30" s="22"/>
      <c r="J30" s="22"/>
      <c r="K30" s="22"/>
      <c r="L30" s="22"/>
      <c r="M30" s="22"/>
      <c r="N30" s="22"/>
      <c r="O30" s="22"/>
      <c r="P30" s="22"/>
      <c r="Q30" s="22"/>
      <c r="R30" s="22"/>
      <c r="S30" s="22"/>
      <c r="T30" s="87"/>
      <c r="U30" s="31"/>
      <c r="V30" s="88"/>
      <c r="W30" s="11">
        <v>44649</v>
      </c>
      <c r="X30" s="22"/>
      <c r="Y30" s="22"/>
      <c r="Z30" s="22"/>
      <c r="AA30" s="22"/>
      <c r="AB30" s="22"/>
      <c r="AC30" s="22"/>
      <c r="AD30" s="22"/>
      <c r="AE30" s="22"/>
      <c r="AF30" s="22"/>
      <c r="AG30" s="22"/>
      <c r="AH30" s="22"/>
      <c r="AI30" s="22"/>
      <c r="AJ30" s="22"/>
      <c r="AK30" s="22"/>
      <c r="AL30" s="22"/>
      <c r="AM30" s="22"/>
      <c r="AN30" s="22"/>
      <c r="AO30" s="22"/>
    </row>
    <row r="31">
      <c r="A31" s="11">
        <v>44650</v>
      </c>
      <c r="B31" s="5"/>
      <c r="C31" s="5"/>
      <c r="D31" s="5"/>
      <c r="E31" s="5"/>
      <c r="F31" s="5"/>
      <c r="G31" s="5"/>
      <c r="H31" s="5"/>
      <c r="I31" s="5"/>
      <c r="J31" s="5"/>
      <c r="K31" s="5"/>
      <c r="L31" s="5"/>
      <c r="M31" s="5"/>
      <c r="N31" s="5"/>
      <c r="O31" s="5"/>
      <c r="P31" s="5"/>
      <c r="Q31" s="5"/>
      <c r="R31" s="5"/>
      <c r="S31" s="5"/>
      <c r="T31" s="87"/>
      <c r="U31" s="31"/>
      <c r="V31" s="88"/>
      <c r="W31" s="11">
        <v>44650</v>
      </c>
      <c r="X31" s="5"/>
      <c r="Y31" s="5"/>
      <c r="Z31" s="5"/>
      <c r="AA31" s="5"/>
      <c r="AB31" s="5"/>
      <c r="AC31" s="5"/>
      <c r="AD31" s="5"/>
      <c r="AE31" s="5"/>
      <c r="AF31" s="5"/>
      <c r="AG31" s="5"/>
      <c r="AH31" s="5"/>
      <c r="AI31" s="5"/>
      <c r="AJ31" s="5"/>
      <c r="AK31" s="5"/>
      <c r="AL31" s="5"/>
      <c r="AM31" s="5"/>
      <c r="AN31" s="5"/>
      <c r="AO31" s="5"/>
    </row>
    <row r="32">
      <c r="A32" s="11">
        <v>44651</v>
      </c>
      <c r="B32" s="22"/>
      <c r="C32" s="22"/>
      <c r="D32" s="22">
        <v>61</v>
      </c>
      <c r="E32" s="22"/>
      <c r="F32" s="22"/>
      <c r="G32" s="22"/>
      <c r="H32" s="22"/>
      <c r="I32" s="22"/>
      <c r="J32" s="22"/>
      <c r="K32" s="22"/>
      <c r="L32" s="22"/>
      <c r="M32" s="22"/>
      <c r="N32" s="22"/>
      <c r="O32" s="22"/>
      <c r="P32" s="22"/>
      <c r="Q32" s="22"/>
      <c r="R32" s="22"/>
      <c r="S32" s="22"/>
      <c r="T32" s="87"/>
      <c r="U32" s="31"/>
      <c r="V32" s="88"/>
      <c r="W32" s="11">
        <v>44651</v>
      </c>
      <c r="X32" s="22"/>
      <c r="Y32" s="22"/>
      <c r="Z32" s="22"/>
      <c r="AA32" s="22"/>
      <c r="AB32" s="22"/>
      <c r="AC32" s="22"/>
      <c r="AD32" s="22"/>
      <c r="AE32" s="22"/>
      <c r="AF32" s="22"/>
      <c r="AG32" s="22"/>
      <c r="AH32" s="22"/>
      <c r="AI32" s="22"/>
      <c r="AJ32" s="22"/>
      <c r="AK32" s="22"/>
      <c r="AL32" s="22"/>
      <c r="AM32" s="22"/>
      <c r="AN32" s="22"/>
      <c r="AO32" s="22"/>
    </row>
    <row r="33">
      <c r="A33" s="74"/>
      <c r="B33" s="75">
        <f t="shared" ref="B33:R33" si="106">SUM(B2:B32)</f>
        <v>4012.3600000000001</v>
      </c>
      <c r="C33" s="75">
        <f t="shared" si="106"/>
        <v>8282.8999999999996</v>
      </c>
      <c r="D33" s="75">
        <f t="shared" si="106"/>
        <v>874</v>
      </c>
      <c r="E33" s="75">
        <f t="shared" si="106"/>
        <v>1105.95</v>
      </c>
      <c r="F33" s="75">
        <f t="shared" si="106"/>
        <v>0</v>
      </c>
      <c r="G33" s="75">
        <f t="shared" si="106"/>
        <v>0</v>
      </c>
      <c r="H33" s="75">
        <f t="shared" si="106"/>
        <v>0</v>
      </c>
      <c r="I33" s="75">
        <f t="shared" si="106"/>
        <v>0</v>
      </c>
      <c r="J33" s="75">
        <f t="shared" si="106"/>
        <v>734.42999999999995</v>
      </c>
      <c r="K33" s="75">
        <f t="shared" si="106"/>
        <v>0</v>
      </c>
      <c r="L33" s="75">
        <f t="shared" si="106"/>
        <v>8641.7700000000004</v>
      </c>
      <c r="M33" s="75">
        <f t="shared" si="106"/>
        <v>2937.9899999999998</v>
      </c>
      <c r="N33" s="75">
        <f t="shared" si="106"/>
        <v>570</v>
      </c>
      <c r="O33" s="75">
        <f t="shared" si="106"/>
        <v>0</v>
      </c>
      <c r="P33" s="75">
        <f t="shared" si="106"/>
        <v>0</v>
      </c>
      <c r="Q33" s="75">
        <f t="shared" si="106"/>
        <v>1469.77</v>
      </c>
      <c r="R33" s="75">
        <f t="shared" si="106"/>
        <v>0</v>
      </c>
      <c r="S33" s="75">
        <f>SUM(B33:R33)+S26</f>
        <v>29029.170000000002</v>
      </c>
      <c r="T33" s="87"/>
      <c r="U33" s="31"/>
      <c r="V33" s="88"/>
      <c r="W33" s="74"/>
      <c r="X33" s="75">
        <f t="shared" ref="X33:AN33" si="107">SUM(X2:X32)</f>
        <v>0</v>
      </c>
      <c r="Y33" s="75">
        <f t="shared" si="107"/>
        <v>0</v>
      </c>
      <c r="Z33" s="75">
        <f t="shared" si="107"/>
        <v>0</v>
      </c>
      <c r="AA33" s="75">
        <f t="shared" si="107"/>
        <v>0</v>
      </c>
      <c r="AB33" s="75">
        <f t="shared" si="107"/>
        <v>0</v>
      </c>
      <c r="AC33" s="75">
        <f t="shared" si="107"/>
        <v>0</v>
      </c>
      <c r="AD33" s="75">
        <f t="shared" si="107"/>
        <v>0</v>
      </c>
      <c r="AE33" s="75">
        <f t="shared" si="107"/>
        <v>0</v>
      </c>
      <c r="AF33" s="75">
        <f t="shared" si="107"/>
        <v>0</v>
      </c>
      <c r="AG33" s="75">
        <f t="shared" si="107"/>
        <v>0</v>
      </c>
      <c r="AH33" s="75">
        <f t="shared" si="107"/>
        <v>0</v>
      </c>
      <c r="AI33" s="75">
        <f t="shared" si="107"/>
        <v>0</v>
      </c>
      <c r="AJ33" s="75">
        <f t="shared" si="107"/>
        <v>0</v>
      </c>
      <c r="AK33" s="75">
        <f t="shared" si="107"/>
        <v>0</v>
      </c>
      <c r="AL33" s="75">
        <f t="shared" si="107"/>
        <v>0</v>
      </c>
      <c r="AM33" s="75">
        <f t="shared" si="107"/>
        <v>0</v>
      </c>
      <c r="AN33" s="75">
        <f t="shared" si="107"/>
        <v>0</v>
      </c>
      <c r="AO33" s="75">
        <f>SUM(X33:AN33)</f>
        <v>0</v>
      </c>
    </row>
    <row r="34">
      <c r="A34" s="84"/>
      <c r="B34" s="84"/>
      <c r="C34" s="84"/>
      <c r="D34" s="84"/>
      <c r="E34" s="84"/>
      <c r="F34" s="84"/>
      <c r="G34" s="84"/>
      <c r="H34" s="84"/>
      <c r="I34" s="84"/>
      <c r="J34" s="84"/>
      <c r="K34" s="84"/>
      <c r="L34" s="84"/>
      <c r="M34" s="84"/>
      <c r="N34" s="84"/>
      <c r="O34" s="84"/>
      <c r="P34" s="84"/>
      <c r="Q34" s="84"/>
      <c r="R34" s="84"/>
      <c r="S34" s="84"/>
      <c r="T34" s="31"/>
      <c r="U34" s="31"/>
      <c r="V34" s="31"/>
      <c r="W34" s="84"/>
      <c r="X34" s="84"/>
      <c r="Y34" s="84"/>
      <c r="Z34" s="84"/>
      <c r="AA34" s="84"/>
      <c r="AB34" s="84"/>
      <c r="AC34" s="84"/>
      <c r="AD34" s="84"/>
      <c r="AE34" s="84"/>
      <c r="AF34" s="84"/>
      <c r="AG34" s="84"/>
      <c r="AH34" s="84"/>
      <c r="AI34" s="84"/>
      <c r="AJ34" s="84"/>
      <c r="AK34" s="84"/>
      <c r="AL34" s="84"/>
      <c r="AM34" s="84"/>
      <c r="AN34" s="84"/>
      <c r="AO34" s="84"/>
    </row>
    <row r="35">
      <c r="A35" s="85" t="s">
        <v>0</v>
      </c>
      <c r="B35" s="85" t="s">
        <v>50</v>
      </c>
      <c r="C35" s="85" t="s">
        <v>13</v>
      </c>
      <c r="D35" s="85" t="s">
        <v>11</v>
      </c>
      <c r="E35" s="85" t="s">
        <v>51</v>
      </c>
      <c r="F35" s="85" t="s">
        <v>52</v>
      </c>
      <c r="G35" s="85" t="s">
        <v>53</v>
      </c>
      <c r="H35" s="85" t="s">
        <v>54</v>
      </c>
      <c r="I35" s="85" t="s">
        <v>55</v>
      </c>
      <c r="J35" s="85" t="s">
        <v>61</v>
      </c>
      <c r="K35" s="85" t="s">
        <v>74</v>
      </c>
      <c r="L35" s="86"/>
      <c r="M35" s="86"/>
      <c r="N35" s="86"/>
      <c r="O35" s="86"/>
      <c r="P35" s="86"/>
      <c r="Q35" s="86"/>
      <c r="R35" s="86"/>
      <c r="S35" s="86"/>
      <c r="T35" s="87"/>
      <c r="U35" s="31"/>
      <c r="V35" s="88"/>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44621</v>
      </c>
      <c r="B36" s="14"/>
      <c r="C36" s="14"/>
      <c r="D36" s="14"/>
      <c r="E36" s="14"/>
      <c r="F36" s="14"/>
      <c r="G36" s="14"/>
      <c r="H36" s="14"/>
      <c r="I36" s="14"/>
      <c r="J36" s="22"/>
      <c r="K36" s="22"/>
      <c r="L36" s="22"/>
      <c r="M36" s="22"/>
      <c r="N36" s="22"/>
      <c r="O36" s="22"/>
      <c r="P36" s="22"/>
      <c r="Q36" s="22"/>
      <c r="R36" s="22"/>
      <c r="S36" s="22"/>
      <c r="T36" s="87"/>
      <c r="U36" s="31"/>
      <c r="V36" s="88"/>
      <c r="W36" s="11">
        <v>44621</v>
      </c>
      <c r="X36" s="14"/>
      <c r="Y36" s="14"/>
      <c r="Z36" s="14"/>
      <c r="AA36" s="14"/>
      <c r="AB36" s="14"/>
      <c r="AC36" s="14"/>
      <c r="AD36" s="14"/>
      <c r="AE36" s="14"/>
      <c r="AF36" s="22"/>
      <c r="AG36" s="22"/>
      <c r="AH36" s="22"/>
      <c r="AI36" s="22"/>
      <c r="AJ36" s="22"/>
      <c r="AK36" s="22"/>
      <c r="AL36" s="22"/>
      <c r="AM36" s="22"/>
      <c r="AN36" s="22"/>
      <c r="AO36" s="22"/>
    </row>
    <row r="37">
      <c r="A37" s="11">
        <v>44622</v>
      </c>
      <c r="B37" s="5"/>
      <c r="C37" s="5"/>
      <c r="D37" s="5"/>
      <c r="E37" s="5"/>
      <c r="F37" s="5"/>
      <c r="G37" s="5"/>
      <c r="H37" s="5"/>
      <c r="I37" s="5"/>
      <c r="J37" s="5"/>
      <c r="K37" s="5"/>
      <c r="L37" s="5"/>
      <c r="M37" s="5"/>
      <c r="N37" s="5"/>
      <c r="O37" s="5"/>
      <c r="P37" s="5"/>
      <c r="Q37" s="5"/>
      <c r="R37" s="5"/>
      <c r="S37" s="5"/>
      <c r="T37" s="87"/>
      <c r="U37" s="31"/>
      <c r="V37" s="88"/>
      <c r="W37" s="11">
        <v>44622</v>
      </c>
      <c r="X37" s="5"/>
      <c r="Y37" s="5"/>
      <c r="Z37" s="5"/>
      <c r="AA37" s="5"/>
      <c r="AB37" s="5"/>
      <c r="AC37" s="5"/>
      <c r="AD37" s="5"/>
      <c r="AE37" s="5"/>
      <c r="AF37" s="5"/>
      <c r="AG37" s="5"/>
      <c r="AH37" s="5"/>
      <c r="AI37" s="5"/>
      <c r="AJ37" s="5"/>
      <c r="AK37" s="5"/>
      <c r="AL37" s="5"/>
      <c r="AM37" s="5"/>
      <c r="AN37" s="5"/>
      <c r="AO37" s="5"/>
    </row>
    <row r="38">
      <c r="A38" s="11">
        <v>44623</v>
      </c>
      <c r="B38" s="14"/>
      <c r="C38" s="14"/>
      <c r="D38" s="14"/>
      <c r="E38" s="14"/>
      <c r="F38" s="14"/>
      <c r="G38" s="14"/>
      <c r="H38" s="14"/>
      <c r="I38" s="14"/>
      <c r="J38" s="22"/>
      <c r="K38" s="22"/>
      <c r="L38" s="22"/>
      <c r="M38" s="22"/>
      <c r="N38" s="22"/>
      <c r="O38" s="22"/>
      <c r="P38" s="22"/>
      <c r="Q38" s="22"/>
      <c r="R38" s="22"/>
      <c r="S38" s="22"/>
      <c r="T38" s="87"/>
      <c r="U38" s="31"/>
      <c r="V38" s="88"/>
      <c r="W38" s="11">
        <v>44623</v>
      </c>
      <c r="X38" s="14"/>
      <c r="Y38" s="14"/>
      <c r="Z38" s="14"/>
      <c r="AA38" s="14"/>
      <c r="AB38" s="14"/>
      <c r="AC38" s="14"/>
      <c r="AD38" s="14"/>
      <c r="AE38" s="14"/>
      <c r="AF38" s="22"/>
      <c r="AG38" s="22"/>
      <c r="AH38" s="22"/>
      <c r="AI38" s="22"/>
      <c r="AJ38" s="22"/>
      <c r="AK38" s="22"/>
      <c r="AL38" s="22"/>
      <c r="AM38" s="22"/>
      <c r="AN38" s="22"/>
      <c r="AO38" s="22"/>
    </row>
    <row r="39">
      <c r="A39" s="11">
        <v>44624</v>
      </c>
      <c r="B39" s="5"/>
      <c r="C39" s="5"/>
      <c r="D39" s="5"/>
      <c r="E39" s="71">
        <v>9.6300000000000008</v>
      </c>
      <c r="F39" s="5"/>
      <c r="G39" s="5"/>
      <c r="H39" s="5"/>
      <c r="I39" s="5">
        <f>153+59</f>
        <v>212</v>
      </c>
      <c r="J39" s="5"/>
      <c r="K39" s="5"/>
      <c r="L39" s="5"/>
      <c r="M39" s="5"/>
      <c r="N39" s="5"/>
      <c r="O39" s="5"/>
      <c r="P39" s="5"/>
      <c r="Q39" s="5"/>
      <c r="R39" s="5"/>
      <c r="S39" s="5"/>
      <c r="T39" s="87"/>
      <c r="U39" s="31"/>
      <c r="V39" s="88"/>
      <c r="W39" s="11">
        <v>44624</v>
      </c>
      <c r="X39" s="5"/>
      <c r="Y39" s="5"/>
      <c r="Z39" s="5"/>
      <c r="AA39" s="71"/>
      <c r="AB39" s="5"/>
      <c r="AC39" s="5"/>
      <c r="AD39" s="5"/>
      <c r="AE39" s="5"/>
      <c r="AF39" s="5"/>
      <c r="AG39" s="5"/>
      <c r="AH39" s="5"/>
      <c r="AI39" s="5"/>
      <c r="AJ39" s="5"/>
      <c r="AK39" s="5"/>
      <c r="AL39" s="5"/>
      <c r="AM39" s="5"/>
      <c r="AN39" s="5"/>
      <c r="AO39" s="5"/>
    </row>
    <row r="40">
      <c r="A40" s="11">
        <v>44625</v>
      </c>
      <c r="B40" s="14">
        <v>23013.060000000001</v>
      </c>
      <c r="C40" s="14"/>
      <c r="D40" s="14"/>
      <c r="E40" s="14"/>
      <c r="F40" s="14"/>
      <c r="G40" s="14"/>
      <c r="H40" s="14"/>
      <c r="I40" s="14"/>
      <c r="J40" s="14"/>
      <c r="K40" s="14"/>
      <c r="L40" s="14"/>
      <c r="M40" s="14"/>
      <c r="N40" s="14"/>
      <c r="O40" s="14"/>
      <c r="P40" s="14"/>
      <c r="Q40" s="14"/>
      <c r="R40" s="14"/>
      <c r="S40" s="14"/>
      <c r="T40" s="87"/>
      <c r="U40" s="31"/>
      <c r="V40" s="88"/>
      <c r="W40" s="11">
        <v>44625</v>
      </c>
      <c r="X40" s="14">
        <v>2175</v>
      </c>
      <c r="Y40" s="14"/>
      <c r="Z40" s="14"/>
      <c r="AA40" s="14"/>
      <c r="AB40" s="14"/>
      <c r="AC40" s="14"/>
      <c r="AD40" s="14"/>
      <c r="AE40" s="14"/>
      <c r="AF40" s="14"/>
      <c r="AG40" s="14"/>
      <c r="AH40" s="14"/>
      <c r="AI40" s="14"/>
      <c r="AJ40" s="14"/>
      <c r="AK40" s="14"/>
      <c r="AL40" s="14"/>
      <c r="AM40" s="14"/>
      <c r="AN40" s="14"/>
      <c r="AO40" s="14"/>
    </row>
    <row r="41">
      <c r="A41" s="11">
        <v>44626</v>
      </c>
      <c r="B41" s="5"/>
      <c r="C41" s="5"/>
      <c r="D41" s="5"/>
      <c r="E41" s="5"/>
      <c r="F41" s="5"/>
      <c r="G41" s="5"/>
      <c r="H41" s="5"/>
      <c r="I41" s="5"/>
      <c r="J41" s="5"/>
      <c r="K41" s="5"/>
      <c r="L41" s="5"/>
      <c r="M41" s="5"/>
      <c r="N41" s="5"/>
      <c r="O41" s="5"/>
      <c r="P41" s="5"/>
      <c r="Q41" s="5"/>
      <c r="R41" s="5"/>
      <c r="S41" s="5"/>
      <c r="T41" s="87"/>
      <c r="U41" s="31"/>
      <c r="V41" s="88"/>
      <c r="W41" s="11">
        <v>44626</v>
      </c>
      <c r="X41" s="5"/>
      <c r="Y41" s="5"/>
      <c r="Z41" s="5"/>
      <c r="AA41" s="5"/>
      <c r="AB41" s="5"/>
      <c r="AC41" s="5"/>
      <c r="AD41" s="5"/>
      <c r="AE41" s="5"/>
      <c r="AF41" s="5"/>
      <c r="AG41" s="5"/>
      <c r="AH41" s="5"/>
      <c r="AI41" s="5"/>
      <c r="AJ41" s="5"/>
      <c r="AK41" s="5"/>
      <c r="AL41" s="5"/>
      <c r="AM41" s="5"/>
      <c r="AN41" s="5"/>
      <c r="AO41" s="5"/>
    </row>
    <row r="42">
      <c r="A42" s="11">
        <v>44627</v>
      </c>
      <c r="B42" s="14"/>
      <c r="C42" s="14"/>
      <c r="D42" s="14"/>
      <c r="E42" s="14"/>
      <c r="F42" s="14"/>
      <c r="G42" s="14"/>
      <c r="H42" s="14"/>
      <c r="I42" s="14"/>
      <c r="J42" s="14"/>
      <c r="K42" s="14"/>
      <c r="L42" s="14"/>
      <c r="M42" s="14"/>
      <c r="N42" s="14"/>
      <c r="O42" s="14"/>
      <c r="P42" s="14"/>
      <c r="Q42" s="14"/>
      <c r="R42" s="14"/>
      <c r="S42" s="14"/>
      <c r="T42" s="87"/>
      <c r="U42" s="31"/>
      <c r="V42" s="88"/>
      <c r="W42" s="11">
        <v>44627</v>
      </c>
      <c r="X42" s="14"/>
      <c r="Y42" s="14"/>
      <c r="Z42" s="14"/>
      <c r="AA42" s="14"/>
      <c r="AB42" s="14"/>
      <c r="AC42" s="14"/>
      <c r="AD42" s="14"/>
      <c r="AE42" s="14"/>
      <c r="AF42" s="14"/>
      <c r="AG42" s="14"/>
      <c r="AH42" s="14"/>
      <c r="AI42" s="14"/>
      <c r="AJ42" s="14"/>
      <c r="AK42" s="14"/>
      <c r="AL42" s="14"/>
      <c r="AM42" s="14"/>
      <c r="AN42" s="14"/>
      <c r="AO42" s="14"/>
    </row>
    <row r="43">
      <c r="A43" s="11">
        <v>44628</v>
      </c>
      <c r="B43" s="5"/>
      <c r="C43" s="5"/>
      <c r="D43" s="5"/>
      <c r="E43" s="5"/>
      <c r="F43" s="5"/>
      <c r="G43" s="5"/>
      <c r="H43" s="5"/>
      <c r="I43" s="5"/>
      <c r="J43" s="5"/>
      <c r="K43" s="5"/>
      <c r="L43" s="5"/>
      <c r="M43" s="5"/>
      <c r="N43" s="5"/>
      <c r="O43" s="5"/>
      <c r="P43" s="5"/>
      <c r="Q43" s="5"/>
      <c r="R43" s="5"/>
      <c r="S43" s="5"/>
      <c r="T43" s="87"/>
      <c r="U43" s="31"/>
      <c r="V43" s="88"/>
      <c r="W43" s="11">
        <v>44628</v>
      </c>
      <c r="X43" s="5"/>
      <c r="Y43" s="5"/>
      <c r="Z43" s="5"/>
      <c r="AA43" s="5"/>
      <c r="AB43" s="5"/>
      <c r="AC43" s="5"/>
      <c r="AD43" s="5"/>
      <c r="AE43" s="5"/>
      <c r="AF43" s="5"/>
      <c r="AG43" s="5"/>
      <c r="AH43" s="5"/>
      <c r="AI43" s="5"/>
      <c r="AJ43" s="5"/>
      <c r="AK43" s="5"/>
      <c r="AL43" s="5"/>
      <c r="AM43" s="5"/>
      <c r="AN43" s="5"/>
      <c r="AO43" s="5"/>
    </row>
    <row r="44">
      <c r="A44" s="11">
        <v>44629</v>
      </c>
      <c r="B44" s="79"/>
      <c r="C44" s="14"/>
      <c r="D44" s="14"/>
      <c r="E44" s="14"/>
      <c r="F44" s="14"/>
      <c r="G44" s="14"/>
      <c r="H44" s="14"/>
      <c r="I44" s="14"/>
      <c r="J44" s="14"/>
      <c r="K44" s="14"/>
      <c r="L44" s="14"/>
      <c r="M44" s="14"/>
      <c r="N44" s="14"/>
      <c r="O44" s="14"/>
      <c r="P44" s="14"/>
      <c r="Q44" s="14"/>
      <c r="R44" s="14"/>
      <c r="S44" s="14"/>
      <c r="T44" s="87"/>
      <c r="U44" s="31"/>
      <c r="V44" s="88"/>
      <c r="W44" s="11">
        <v>44629</v>
      </c>
      <c r="X44" s="79"/>
      <c r="Y44" s="14"/>
      <c r="Z44" s="14"/>
      <c r="AA44" s="14"/>
      <c r="AB44" s="14"/>
      <c r="AC44" s="14"/>
      <c r="AD44" s="14"/>
      <c r="AE44" s="14"/>
      <c r="AF44" s="14"/>
      <c r="AG44" s="14"/>
      <c r="AH44" s="14"/>
      <c r="AI44" s="14"/>
      <c r="AJ44" s="14"/>
      <c r="AK44" s="14"/>
      <c r="AL44" s="14"/>
      <c r="AM44" s="14"/>
      <c r="AN44" s="14"/>
      <c r="AO44" s="14"/>
    </row>
    <row r="45">
      <c r="A45" s="11">
        <v>44630</v>
      </c>
      <c r="B45" s="5"/>
      <c r="C45" s="5"/>
      <c r="D45" s="5"/>
      <c r="E45" s="5"/>
      <c r="F45" s="5"/>
      <c r="G45" s="5"/>
      <c r="H45" s="5"/>
      <c r="I45" s="5"/>
      <c r="J45" s="5"/>
      <c r="K45" s="5"/>
      <c r="L45" s="5"/>
      <c r="M45" s="5"/>
      <c r="N45" s="5"/>
      <c r="O45" s="5"/>
      <c r="P45" s="5"/>
      <c r="Q45" s="5"/>
      <c r="R45" s="5"/>
      <c r="S45" s="5"/>
      <c r="T45" s="87"/>
      <c r="U45" s="31"/>
      <c r="V45" s="88"/>
      <c r="W45" s="11">
        <v>44630</v>
      </c>
      <c r="X45" s="5"/>
      <c r="Y45" s="5"/>
      <c r="Z45" s="5"/>
      <c r="AA45" s="5"/>
      <c r="AB45" s="5"/>
      <c r="AC45" s="5"/>
      <c r="AD45" s="5"/>
      <c r="AE45" s="5"/>
      <c r="AF45" s="5"/>
      <c r="AG45" s="5"/>
      <c r="AH45" s="5"/>
      <c r="AI45" s="5"/>
      <c r="AJ45" s="5"/>
      <c r="AK45" s="5"/>
      <c r="AL45" s="5"/>
      <c r="AM45" s="5"/>
      <c r="AN45" s="5"/>
      <c r="AO45" s="5"/>
    </row>
    <row r="46">
      <c r="A46" s="11">
        <v>44631</v>
      </c>
      <c r="B46" s="14"/>
      <c r="C46" s="14"/>
      <c r="D46" s="14"/>
      <c r="E46" s="14"/>
      <c r="F46" s="14"/>
      <c r="G46" s="14"/>
      <c r="H46" s="14"/>
      <c r="I46" s="14"/>
      <c r="J46" s="14"/>
      <c r="K46" s="14"/>
      <c r="L46" s="14"/>
      <c r="M46" s="14"/>
      <c r="N46" s="14"/>
      <c r="O46" s="14"/>
      <c r="P46" s="14"/>
      <c r="Q46" s="14"/>
      <c r="R46" s="14"/>
      <c r="S46" s="14"/>
      <c r="T46" s="87"/>
      <c r="U46" s="31"/>
      <c r="V46" s="88"/>
      <c r="W46" s="11">
        <v>44631</v>
      </c>
      <c r="X46" s="14"/>
      <c r="Y46" s="14"/>
      <c r="Z46" s="14"/>
      <c r="AA46" s="14"/>
      <c r="AB46" s="14"/>
      <c r="AC46" s="14"/>
      <c r="AD46" s="14"/>
      <c r="AE46" s="14"/>
      <c r="AF46" s="14"/>
      <c r="AG46" s="14"/>
      <c r="AH46" s="14"/>
      <c r="AI46" s="14"/>
      <c r="AJ46" s="14"/>
      <c r="AK46" s="14"/>
      <c r="AL46" s="14"/>
      <c r="AM46" s="14"/>
      <c r="AN46" s="14"/>
      <c r="AO46" s="14"/>
    </row>
    <row r="47">
      <c r="A47" s="11">
        <v>44632</v>
      </c>
      <c r="B47" s="5"/>
      <c r="C47" s="5"/>
      <c r="D47" s="5"/>
      <c r="E47" s="5"/>
      <c r="F47" s="5"/>
      <c r="G47" s="5"/>
      <c r="H47" s="5"/>
      <c r="I47" s="5"/>
      <c r="J47" s="5"/>
      <c r="K47" s="5"/>
      <c r="L47" s="5"/>
      <c r="M47" s="5"/>
      <c r="N47" s="5"/>
      <c r="O47" s="5"/>
      <c r="P47" s="5"/>
      <c r="Q47" s="5"/>
      <c r="R47" s="5"/>
      <c r="S47" s="5"/>
      <c r="T47" s="87"/>
      <c r="U47" s="31"/>
      <c r="V47" s="88"/>
      <c r="W47" s="11">
        <v>44632</v>
      </c>
      <c r="X47" s="5"/>
      <c r="Y47" s="5"/>
      <c r="Z47" s="5"/>
      <c r="AA47" s="5"/>
      <c r="AB47" s="5"/>
      <c r="AC47" s="5"/>
      <c r="AD47" s="5"/>
      <c r="AE47" s="5"/>
      <c r="AF47" s="5"/>
      <c r="AG47" s="5"/>
      <c r="AH47" s="5"/>
      <c r="AI47" s="5"/>
      <c r="AJ47" s="5"/>
      <c r="AK47" s="5"/>
      <c r="AL47" s="5"/>
      <c r="AM47" s="5"/>
      <c r="AN47" s="5"/>
      <c r="AO47" s="5"/>
    </row>
    <row r="48">
      <c r="A48" s="11">
        <v>44633</v>
      </c>
      <c r="B48" s="14"/>
      <c r="C48" s="14"/>
      <c r="D48" s="14"/>
      <c r="E48" s="14"/>
      <c r="F48" s="14"/>
      <c r="G48" s="14"/>
      <c r="H48" s="14"/>
      <c r="I48" s="14"/>
      <c r="J48" s="14"/>
      <c r="K48" s="14"/>
      <c r="L48" s="14"/>
      <c r="M48" s="14"/>
      <c r="N48" s="14"/>
      <c r="O48" s="14"/>
      <c r="P48" s="14"/>
      <c r="Q48" s="14"/>
      <c r="R48" s="14"/>
      <c r="S48" s="14"/>
      <c r="T48" s="87"/>
      <c r="U48" s="31"/>
      <c r="V48" s="88"/>
      <c r="W48" s="11">
        <v>44633</v>
      </c>
      <c r="X48" s="14"/>
      <c r="Y48" s="14"/>
      <c r="Z48" s="14"/>
      <c r="AA48" s="14"/>
      <c r="AB48" s="14"/>
      <c r="AC48" s="14"/>
      <c r="AD48" s="14"/>
      <c r="AE48" s="14"/>
      <c r="AF48" s="14"/>
      <c r="AG48" s="14"/>
      <c r="AH48" s="14"/>
      <c r="AI48" s="14"/>
      <c r="AJ48" s="14"/>
      <c r="AK48" s="14"/>
      <c r="AL48" s="14"/>
      <c r="AM48" s="14"/>
      <c r="AN48" s="14"/>
      <c r="AO48" s="14"/>
    </row>
    <row r="49">
      <c r="A49" s="11">
        <v>44634</v>
      </c>
      <c r="B49" s="5"/>
      <c r="C49" s="5"/>
      <c r="D49" s="5"/>
      <c r="E49" s="5"/>
      <c r="F49" s="5"/>
      <c r="G49" s="5"/>
      <c r="H49" s="5"/>
      <c r="I49" s="5"/>
      <c r="J49" s="5"/>
      <c r="K49" s="5"/>
      <c r="L49" s="5"/>
      <c r="M49" s="5"/>
      <c r="N49" s="5"/>
      <c r="O49" s="5"/>
      <c r="P49" s="5"/>
      <c r="Q49" s="5"/>
      <c r="R49" s="5"/>
      <c r="S49" s="5"/>
      <c r="T49" s="87"/>
      <c r="U49" s="31"/>
      <c r="V49" s="88"/>
      <c r="W49" s="11">
        <v>44634</v>
      </c>
      <c r="X49" s="5">
        <v>20883.509999999998</v>
      </c>
      <c r="Y49" s="5"/>
      <c r="Z49" s="5"/>
      <c r="AA49" s="5"/>
      <c r="AB49" s="5"/>
      <c r="AC49" s="5"/>
      <c r="AD49" s="5"/>
      <c r="AE49" s="5"/>
      <c r="AF49" s="5"/>
      <c r="AG49" s="5"/>
      <c r="AH49" s="5"/>
      <c r="AI49" s="5"/>
      <c r="AJ49" s="5"/>
      <c r="AK49" s="5"/>
      <c r="AL49" s="5"/>
      <c r="AM49" s="5"/>
      <c r="AN49" s="5"/>
      <c r="AO49" s="5"/>
    </row>
    <row r="50">
      <c r="A50" s="11">
        <v>44635</v>
      </c>
      <c r="B50" s="14"/>
      <c r="C50" s="14"/>
      <c r="D50" s="14"/>
      <c r="E50" s="14"/>
      <c r="F50" s="14"/>
      <c r="G50" s="14"/>
      <c r="H50" s="14"/>
      <c r="I50" s="14"/>
      <c r="J50" s="14"/>
      <c r="K50" s="14"/>
      <c r="L50" s="14"/>
      <c r="M50" s="14"/>
      <c r="N50" s="14"/>
      <c r="O50" s="14"/>
      <c r="P50" s="14"/>
      <c r="Q50" s="14"/>
      <c r="R50" s="14"/>
      <c r="S50" s="14"/>
      <c r="T50" s="87"/>
      <c r="U50" s="31"/>
      <c r="V50" s="88"/>
      <c r="W50" s="11">
        <v>44635</v>
      </c>
      <c r="X50" s="14"/>
      <c r="Y50" s="14"/>
      <c r="Z50" s="14"/>
      <c r="AA50" s="14"/>
      <c r="AB50" s="14"/>
      <c r="AC50" s="14"/>
      <c r="AD50" s="14"/>
      <c r="AE50" s="14"/>
      <c r="AF50" s="14"/>
      <c r="AG50" s="14"/>
      <c r="AH50" s="14"/>
      <c r="AI50" s="14"/>
      <c r="AJ50" s="14"/>
      <c r="AK50" s="14"/>
      <c r="AL50" s="14"/>
      <c r="AM50" s="14"/>
      <c r="AN50" s="14"/>
      <c r="AO50" s="14"/>
    </row>
    <row r="51">
      <c r="A51" s="11">
        <v>44636</v>
      </c>
      <c r="B51" s="5"/>
      <c r="C51" s="5"/>
      <c r="D51" s="5"/>
      <c r="E51" s="5"/>
      <c r="F51" s="5"/>
      <c r="G51" s="5"/>
      <c r="H51" s="5"/>
      <c r="I51" s="5"/>
      <c r="J51" s="5"/>
      <c r="K51" s="5"/>
      <c r="L51" s="5"/>
      <c r="M51" s="5"/>
      <c r="N51" s="5"/>
      <c r="O51" s="5"/>
      <c r="P51" s="5"/>
      <c r="Q51" s="5"/>
      <c r="R51" s="5"/>
      <c r="S51" s="5"/>
      <c r="T51" s="87"/>
      <c r="U51" s="31"/>
      <c r="V51" s="88"/>
      <c r="W51" s="11">
        <v>44636</v>
      </c>
      <c r="X51" s="5"/>
      <c r="Y51" s="5"/>
      <c r="Z51" s="5"/>
      <c r="AA51" s="5"/>
      <c r="AB51" s="5"/>
      <c r="AC51" s="5"/>
      <c r="AD51" s="5"/>
      <c r="AE51" s="5"/>
      <c r="AF51" s="5"/>
      <c r="AG51" s="5"/>
      <c r="AH51" s="5"/>
      <c r="AI51" s="5"/>
      <c r="AJ51" s="5"/>
      <c r="AK51" s="5"/>
      <c r="AL51" s="5"/>
      <c r="AM51" s="5"/>
      <c r="AN51" s="5"/>
      <c r="AO51" s="5"/>
    </row>
    <row r="52">
      <c r="A52" s="11">
        <v>44637</v>
      </c>
      <c r="B52" s="14"/>
      <c r="C52" s="14"/>
      <c r="D52" s="14"/>
      <c r="E52" s="14"/>
      <c r="F52" s="14"/>
      <c r="G52" s="14"/>
      <c r="H52" s="14"/>
      <c r="I52" s="14"/>
      <c r="J52" s="14"/>
      <c r="K52" s="14"/>
      <c r="L52" s="14"/>
      <c r="M52" s="14"/>
      <c r="N52" s="14"/>
      <c r="O52" s="14"/>
      <c r="P52" s="14"/>
      <c r="Q52" s="14"/>
      <c r="R52" s="14"/>
      <c r="S52" s="14"/>
      <c r="T52" s="87"/>
      <c r="U52" s="31"/>
      <c r="V52" s="88"/>
      <c r="W52" s="11">
        <v>44637</v>
      </c>
      <c r="X52" s="14"/>
      <c r="Y52" s="14"/>
      <c r="Z52" s="14"/>
      <c r="AA52" s="14"/>
      <c r="AB52" s="14"/>
      <c r="AC52" s="14"/>
      <c r="AD52" s="14"/>
      <c r="AE52" s="14"/>
      <c r="AF52" s="14"/>
      <c r="AG52" s="14"/>
      <c r="AH52" s="14"/>
      <c r="AI52" s="14"/>
      <c r="AJ52" s="14"/>
      <c r="AK52" s="14"/>
      <c r="AL52" s="14"/>
      <c r="AM52" s="14"/>
      <c r="AN52" s="14"/>
      <c r="AO52" s="14"/>
    </row>
    <row r="53">
      <c r="A53" s="11">
        <v>44638</v>
      </c>
      <c r="B53" s="5">
        <v>9344.0900000000001</v>
      </c>
      <c r="C53" s="5"/>
      <c r="D53" s="5"/>
      <c r="E53" s="5"/>
      <c r="F53" s="5"/>
      <c r="G53" s="5"/>
      <c r="H53" s="5"/>
      <c r="I53" s="5"/>
      <c r="J53" s="5"/>
      <c r="K53" s="5"/>
      <c r="L53" s="5"/>
      <c r="M53" s="5"/>
      <c r="N53" s="5"/>
      <c r="O53" s="5"/>
      <c r="P53" s="5"/>
      <c r="Q53" s="5"/>
      <c r="R53" s="5"/>
      <c r="S53" s="5"/>
      <c r="T53" s="87"/>
      <c r="U53" s="31"/>
      <c r="V53" s="88"/>
      <c r="W53" s="11">
        <v>44638</v>
      </c>
      <c r="X53" s="5"/>
      <c r="Y53" s="5"/>
      <c r="Z53" s="5"/>
      <c r="AA53" s="5"/>
      <c r="AB53" s="5"/>
      <c r="AC53" s="5"/>
      <c r="AD53" s="5"/>
      <c r="AE53" s="5"/>
      <c r="AF53" s="5"/>
      <c r="AG53" s="5"/>
      <c r="AH53" s="5"/>
      <c r="AI53" s="5"/>
      <c r="AJ53" s="5"/>
      <c r="AK53" s="5"/>
      <c r="AL53" s="5"/>
      <c r="AM53" s="5"/>
      <c r="AN53" s="5"/>
      <c r="AO53" s="5"/>
    </row>
    <row r="54">
      <c r="A54" s="11">
        <v>44639</v>
      </c>
      <c r="B54" s="14"/>
      <c r="C54" s="14"/>
      <c r="D54" s="14"/>
      <c r="E54" s="14"/>
      <c r="F54" s="14"/>
      <c r="G54" s="14"/>
      <c r="H54" s="14"/>
      <c r="I54" s="14"/>
      <c r="J54" s="14"/>
      <c r="K54" s="14"/>
      <c r="L54" s="14"/>
      <c r="M54" s="14"/>
      <c r="N54" s="14"/>
      <c r="O54" s="14"/>
      <c r="P54" s="14"/>
      <c r="Q54" s="14"/>
      <c r="R54" s="14"/>
      <c r="S54" s="14"/>
      <c r="T54" s="87"/>
      <c r="U54" s="31"/>
      <c r="V54" s="88"/>
      <c r="W54" s="11">
        <v>44639</v>
      </c>
      <c r="X54" s="14"/>
      <c r="Y54" s="14"/>
      <c r="Z54" s="14"/>
      <c r="AA54" s="14"/>
      <c r="AB54" s="14"/>
      <c r="AC54" s="14"/>
      <c r="AD54" s="14"/>
      <c r="AE54" s="14"/>
      <c r="AF54" s="14"/>
      <c r="AG54" s="14"/>
      <c r="AH54" s="14"/>
      <c r="AI54" s="14"/>
      <c r="AJ54" s="14"/>
      <c r="AK54" s="14"/>
      <c r="AL54" s="14"/>
      <c r="AM54" s="14"/>
      <c r="AN54" s="14"/>
      <c r="AO54" s="14"/>
    </row>
    <row r="55">
      <c r="A55" s="11">
        <v>44640</v>
      </c>
      <c r="B55" s="5"/>
      <c r="C55" s="5"/>
      <c r="D55" s="5"/>
      <c r="E55" s="5"/>
      <c r="F55" s="5"/>
      <c r="G55" s="5"/>
      <c r="H55" s="5"/>
      <c r="I55" s="5"/>
      <c r="J55" s="5"/>
      <c r="K55" s="5"/>
      <c r="L55" s="5"/>
      <c r="M55" s="5"/>
      <c r="N55" s="5"/>
      <c r="O55" s="5"/>
      <c r="P55" s="5"/>
      <c r="Q55" s="5"/>
      <c r="R55" s="5"/>
      <c r="S55" s="5"/>
      <c r="T55" s="87"/>
      <c r="U55" s="31"/>
      <c r="V55" s="88"/>
      <c r="W55" s="11">
        <v>44640</v>
      </c>
      <c r="X55" s="5"/>
      <c r="Y55" s="5"/>
      <c r="Z55" s="5"/>
      <c r="AA55" s="5"/>
      <c r="AB55" s="5"/>
      <c r="AC55" s="5"/>
      <c r="AD55" s="5"/>
      <c r="AE55" s="5"/>
      <c r="AF55" s="5"/>
      <c r="AG55" s="5"/>
      <c r="AH55" s="5"/>
      <c r="AI55" s="5"/>
      <c r="AJ55" s="5"/>
      <c r="AK55" s="5"/>
      <c r="AL55" s="5"/>
      <c r="AM55" s="5"/>
      <c r="AN55" s="5"/>
      <c r="AO55" s="5"/>
    </row>
    <row r="56">
      <c r="A56" s="11">
        <v>44641</v>
      </c>
      <c r="B56" s="14"/>
      <c r="C56" s="14"/>
      <c r="D56" s="14"/>
      <c r="E56" s="14"/>
      <c r="F56" s="14"/>
      <c r="G56" s="14"/>
      <c r="H56" s="14"/>
      <c r="I56" s="14"/>
      <c r="J56" s="14"/>
      <c r="K56" s="14"/>
      <c r="L56" s="14"/>
      <c r="M56" s="14"/>
      <c r="N56" s="14"/>
      <c r="O56" s="14"/>
      <c r="P56" s="14"/>
      <c r="Q56" s="14"/>
      <c r="R56" s="14"/>
      <c r="S56" s="14"/>
      <c r="T56" s="87"/>
      <c r="U56" s="31"/>
      <c r="V56" s="88"/>
      <c r="W56" s="11">
        <v>44641</v>
      </c>
      <c r="X56" s="14"/>
      <c r="Y56" s="14"/>
      <c r="Z56" s="14"/>
      <c r="AA56" s="14"/>
      <c r="AB56" s="14"/>
      <c r="AC56" s="14"/>
      <c r="AD56" s="14"/>
      <c r="AE56" s="14"/>
      <c r="AF56" s="14"/>
      <c r="AG56" s="14"/>
      <c r="AH56" s="14"/>
      <c r="AI56" s="14"/>
      <c r="AJ56" s="14"/>
      <c r="AK56" s="14"/>
      <c r="AL56" s="14"/>
      <c r="AM56" s="14"/>
      <c r="AN56" s="14"/>
      <c r="AO56" s="14"/>
    </row>
    <row r="57">
      <c r="A57" s="11">
        <v>44642</v>
      </c>
      <c r="B57" s="5"/>
      <c r="C57" s="5"/>
      <c r="D57" s="5"/>
      <c r="E57" s="5"/>
      <c r="F57" s="5"/>
      <c r="G57" s="5"/>
      <c r="H57" s="5"/>
      <c r="I57" s="5"/>
      <c r="J57" s="5"/>
      <c r="K57" s="5"/>
      <c r="L57" s="5"/>
      <c r="M57" s="5"/>
      <c r="N57" s="5"/>
      <c r="O57" s="5"/>
      <c r="P57" s="5"/>
      <c r="Q57" s="5"/>
      <c r="R57" s="5"/>
      <c r="S57" s="5"/>
      <c r="T57" s="87"/>
      <c r="U57" s="31"/>
      <c r="V57" s="88"/>
      <c r="W57" s="11">
        <v>44642</v>
      </c>
      <c r="X57" s="5"/>
      <c r="Y57" s="5"/>
      <c r="Z57" s="5"/>
      <c r="AA57" s="5"/>
      <c r="AB57" s="5"/>
      <c r="AC57" s="5"/>
      <c r="AD57" s="5"/>
      <c r="AE57" s="5"/>
      <c r="AF57" s="5"/>
      <c r="AG57" s="5"/>
      <c r="AH57" s="5"/>
      <c r="AI57" s="5"/>
      <c r="AJ57" s="5"/>
      <c r="AK57" s="5"/>
      <c r="AL57" s="5"/>
      <c r="AM57" s="5"/>
      <c r="AN57" s="5"/>
      <c r="AO57" s="5"/>
    </row>
    <row r="58">
      <c r="A58" s="11">
        <v>44643</v>
      </c>
      <c r="B58" s="14"/>
      <c r="C58" s="14"/>
      <c r="D58" s="14"/>
      <c r="E58" s="14"/>
      <c r="F58" s="14"/>
      <c r="G58" s="14"/>
      <c r="H58" s="14"/>
      <c r="I58" s="14"/>
      <c r="J58" s="14"/>
      <c r="K58" s="14"/>
      <c r="L58" s="14"/>
      <c r="M58" s="14"/>
      <c r="N58" s="14"/>
      <c r="O58" s="14"/>
      <c r="P58" s="14"/>
      <c r="Q58" s="14"/>
      <c r="R58" s="14"/>
      <c r="S58" s="14"/>
      <c r="T58" s="87"/>
      <c r="U58" s="31"/>
      <c r="V58" s="88"/>
      <c r="W58" s="11">
        <v>44643</v>
      </c>
      <c r="X58" s="14"/>
      <c r="Y58" s="14"/>
      <c r="Z58" s="14"/>
      <c r="AA58" s="14"/>
      <c r="AB58" s="14"/>
      <c r="AC58" s="14"/>
      <c r="AD58" s="14"/>
      <c r="AE58" s="14"/>
      <c r="AF58" s="14"/>
      <c r="AG58" s="14"/>
      <c r="AH58" s="14"/>
      <c r="AI58" s="14"/>
      <c r="AJ58" s="14"/>
      <c r="AK58" s="14"/>
      <c r="AL58" s="14"/>
      <c r="AM58" s="14"/>
      <c r="AN58" s="14"/>
      <c r="AO58" s="14"/>
    </row>
    <row r="59">
      <c r="A59" s="11">
        <v>44644</v>
      </c>
      <c r="B59" s="5"/>
      <c r="C59" s="5"/>
      <c r="D59" s="5"/>
      <c r="E59" s="5"/>
      <c r="F59" s="5"/>
      <c r="G59" s="5"/>
      <c r="H59" s="5"/>
      <c r="I59" s="5"/>
      <c r="J59" s="5"/>
      <c r="K59" s="5"/>
      <c r="L59" s="5"/>
      <c r="M59" s="5"/>
      <c r="N59" s="5"/>
      <c r="O59" s="5"/>
      <c r="P59" s="5"/>
      <c r="Q59" s="5"/>
      <c r="R59" s="5"/>
      <c r="S59" s="5"/>
      <c r="T59" s="87"/>
      <c r="U59" s="31"/>
      <c r="V59" s="88"/>
      <c r="W59" s="11">
        <v>44644</v>
      </c>
      <c r="X59" s="5"/>
      <c r="Y59" s="5"/>
      <c r="Z59" s="5"/>
      <c r="AA59" s="5"/>
      <c r="AB59" s="5"/>
      <c r="AC59" s="5"/>
      <c r="AD59" s="5"/>
      <c r="AE59" s="5"/>
      <c r="AF59" s="5"/>
      <c r="AG59" s="5"/>
      <c r="AH59" s="5"/>
      <c r="AI59" s="5"/>
      <c r="AJ59" s="5"/>
      <c r="AK59" s="5"/>
      <c r="AL59" s="5"/>
      <c r="AM59" s="5"/>
      <c r="AN59" s="5"/>
      <c r="AO59" s="5"/>
    </row>
    <row r="60">
      <c r="A60" s="11">
        <v>44645</v>
      </c>
      <c r="B60" s="14"/>
      <c r="C60" s="14"/>
      <c r="D60" s="14"/>
      <c r="E60" s="14"/>
      <c r="F60" s="14"/>
      <c r="G60" s="14"/>
      <c r="H60" s="14"/>
      <c r="I60" s="14"/>
      <c r="J60" s="14"/>
      <c r="K60" s="14"/>
      <c r="L60" s="14"/>
      <c r="M60" s="14"/>
      <c r="N60" s="14"/>
      <c r="O60" s="14"/>
      <c r="P60" s="14"/>
      <c r="Q60" s="14"/>
      <c r="R60" s="14"/>
      <c r="S60" s="14"/>
      <c r="T60" s="87"/>
      <c r="U60" s="31"/>
      <c r="V60" s="88"/>
      <c r="W60" s="11">
        <v>44645</v>
      </c>
      <c r="X60" s="14"/>
      <c r="Y60" s="14"/>
      <c r="Z60" s="14"/>
      <c r="AA60" s="14"/>
      <c r="AB60" s="14"/>
      <c r="AC60" s="14"/>
      <c r="AD60" s="14"/>
      <c r="AE60" s="14"/>
      <c r="AF60" s="14"/>
      <c r="AG60" s="14"/>
      <c r="AH60" s="14"/>
      <c r="AI60" s="14"/>
      <c r="AJ60" s="14"/>
      <c r="AK60" s="14"/>
      <c r="AL60" s="14"/>
      <c r="AM60" s="14"/>
      <c r="AN60" s="14"/>
      <c r="AO60" s="14"/>
    </row>
    <row r="61">
      <c r="A61" s="11">
        <v>44646</v>
      </c>
      <c r="B61" s="5"/>
      <c r="C61" s="5"/>
      <c r="D61" s="5"/>
      <c r="E61" s="5"/>
      <c r="F61" s="5"/>
      <c r="G61" s="5">
        <v>624.42999999999995</v>
      </c>
      <c r="H61" s="5"/>
      <c r="I61" s="5"/>
      <c r="J61" s="5"/>
      <c r="K61" s="5"/>
      <c r="L61" s="5"/>
      <c r="M61" s="5"/>
      <c r="N61" s="5"/>
      <c r="O61" s="5"/>
      <c r="P61" s="5"/>
      <c r="Q61" s="5"/>
      <c r="R61" s="5"/>
      <c r="S61" s="5"/>
      <c r="T61" s="87"/>
      <c r="U61" s="31"/>
      <c r="V61" s="88"/>
      <c r="W61" s="11">
        <v>44646</v>
      </c>
      <c r="X61" s="5"/>
      <c r="Y61" s="5"/>
      <c r="Z61" s="5"/>
      <c r="AA61" s="5"/>
      <c r="AB61" s="5"/>
      <c r="AC61" s="5"/>
      <c r="AD61" s="5"/>
      <c r="AE61" s="5"/>
      <c r="AF61" s="5"/>
      <c r="AG61" s="5"/>
      <c r="AH61" s="5"/>
      <c r="AI61" s="5"/>
      <c r="AJ61" s="5"/>
      <c r="AK61" s="5"/>
      <c r="AL61" s="5"/>
      <c r="AM61" s="5"/>
      <c r="AN61" s="5"/>
      <c r="AO61" s="5"/>
    </row>
    <row r="62">
      <c r="A62" s="11">
        <v>44647</v>
      </c>
      <c r="B62" s="14"/>
      <c r="C62" s="14"/>
      <c r="D62" s="14"/>
      <c r="E62" s="14"/>
      <c r="F62" s="14"/>
      <c r="G62" s="14"/>
      <c r="H62" s="14"/>
      <c r="I62" s="14"/>
      <c r="J62" s="14"/>
      <c r="K62" s="14"/>
      <c r="L62" s="14"/>
      <c r="M62" s="14"/>
      <c r="N62" s="14"/>
      <c r="O62" s="14"/>
      <c r="P62" s="14"/>
      <c r="Q62" s="14"/>
      <c r="R62" s="14"/>
      <c r="S62" s="14"/>
      <c r="T62" s="87"/>
      <c r="U62" s="31"/>
      <c r="V62" s="88"/>
      <c r="W62" s="11">
        <v>44647</v>
      </c>
      <c r="X62" s="14"/>
      <c r="Y62" s="14"/>
      <c r="Z62" s="14"/>
      <c r="AA62" s="14"/>
      <c r="AB62" s="14"/>
      <c r="AC62" s="14"/>
      <c r="AD62" s="14"/>
      <c r="AE62" s="14"/>
      <c r="AF62" s="14"/>
      <c r="AG62" s="14"/>
      <c r="AH62" s="14"/>
      <c r="AI62" s="14"/>
      <c r="AJ62" s="14"/>
      <c r="AK62" s="14"/>
      <c r="AL62" s="14"/>
      <c r="AM62" s="14"/>
      <c r="AN62" s="14"/>
      <c r="AO62" s="14"/>
    </row>
    <row r="63">
      <c r="A63" s="11">
        <v>44648</v>
      </c>
      <c r="B63" s="5"/>
      <c r="C63" s="5"/>
      <c r="D63" s="5"/>
      <c r="E63" s="5"/>
      <c r="F63" s="5"/>
      <c r="G63" s="5"/>
      <c r="H63" s="5"/>
      <c r="I63" s="5"/>
      <c r="J63" s="5"/>
      <c r="K63" s="5"/>
      <c r="L63" s="5"/>
      <c r="M63" s="5"/>
      <c r="N63" s="5"/>
      <c r="O63" s="5"/>
      <c r="P63" s="5"/>
      <c r="Q63" s="5"/>
      <c r="R63" s="48"/>
      <c r="S63" s="5"/>
      <c r="T63" s="87"/>
      <c r="U63" s="31"/>
      <c r="V63" s="88"/>
      <c r="W63" s="11">
        <v>44648</v>
      </c>
      <c r="X63" s="5">
        <v>11012.65</v>
      </c>
      <c r="Y63" s="5"/>
      <c r="Z63" s="5"/>
      <c r="AA63" s="5"/>
      <c r="AB63" s="5"/>
      <c r="AC63" s="5"/>
      <c r="AD63" s="5"/>
      <c r="AE63" s="5"/>
      <c r="AF63" s="5"/>
      <c r="AG63" s="5"/>
      <c r="AH63" s="5"/>
      <c r="AI63" s="5"/>
      <c r="AJ63" s="5"/>
      <c r="AK63" s="5"/>
      <c r="AL63" s="5"/>
      <c r="AM63" s="5"/>
      <c r="AN63" s="48"/>
      <c r="AO63" s="5"/>
    </row>
    <row r="64">
      <c r="A64" s="11">
        <v>44649</v>
      </c>
      <c r="B64" s="22"/>
      <c r="C64" s="22"/>
      <c r="D64" s="22"/>
      <c r="E64" s="22"/>
      <c r="F64" s="22"/>
      <c r="G64" s="22"/>
      <c r="H64" s="22"/>
      <c r="I64" s="22">
        <v>287</v>
      </c>
      <c r="J64" s="14"/>
      <c r="K64" s="14"/>
      <c r="L64" s="14"/>
      <c r="M64" s="14"/>
      <c r="N64" s="14"/>
      <c r="O64" s="14"/>
      <c r="P64" s="14"/>
      <c r="Q64" s="14"/>
      <c r="R64" s="80"/>
      <c r="S64" s="14"/>
      <c r="T64" s="87"/>
      <c r="U64" s="31"/>
      <c r="V64" s="88"/>
      <c r="W64" s="11">
        <v>44649</v>
      </c>
      <c r="X64" s="22"/>
      <c r="Y64" s="22"/>
      <c r="Z64" s="22"/>
      <c r="AA64" s="22"/>
      <c r="AB64" s="22"/>
      <c r="AC64" s="22"/>
      <c r="AD64" s="22"/>
      <c r="AE64" s="22"/>
      <c r="AF64" s="14"/>
      <c r="AG64" s="14"/>
      <c r="AH64" s="14"/>
      <c r="AI64" s="14"/>
      <c r="AJ64" s="14"/>
      <c r="AK64" s="14"/>
      <c r="AL64" s="14"/>
      <c r="AM64" s="14"/>
      <c r="AN64" s="80"/>
      <c r="AO64" s="14"/>
    </row>
    <row r="65">
      <c r="A65" s="11">
        <v>44650</v>
      </c>
      <c r="B65" s="5"/>
      <c r="C65" s="5"/>
      <c r="D65" s="5"/>
      <c r="E65" s="5"/>
      <c r="F65" s="5"/>
      <c r="G65" s="5"/>
      <c r="H65" s="5"/>
      <c r="I65" s="5"/>
      <c r="J65" s="5"/>
      <c r="K65" s="5"/>
      <c r="L65" s="5"/>
      <c r="M65" s="5"/>
      <c r="N65" s="5"/>
      <c r="O65" s="5"/>
      <c r="P65" s="5"/>
      <c r="Q65" s="5"/>
      <c r="R65" s="48"/>
      <c r="S65" s="5"/>
      <c r="T65" s="87"/>
      <c r="U65" s="31"/>
      <c r="V65" s="88"/>
      <c r="W65" s="11">
        <v>44650</v>
      </c>
      <c r="X65" s="5"/>
      <c r="Y65" s="5"/>
      <c r="Z65" s="5"/>
      <c r="AA65" s="5"/>
      <c r="AB65" s="5"/>
      <c r="AC65" s="5"/>
      <c r="AD65" s="5"/>
      <c r="AE65" s="5"/>
      <c r="AF65" s="5"/>
      <c r="AG65" s="5"/>
      <c r="AH65" s="5"/>
      <c r="AI65" s="5"/>
      <c r="AJ65" s="5"/>
      <c r="AK65" s="5"/>
      <c r="AL65" s="5"/>
      <c r="AM65" s="5"/>
      <c r="AN65" s="48"/>
      <c r="AO65" s="5"/>
    </row>
    <row r="66">
      <c r="A66" s="11">
        <v>44651</v>
      </c>
      <c r="B66" s="22"/>
      <c r="C66" s="22"/>
      <c r="D66" s="22"/>
      <c r="E66" s="22"/>
      <c r="F66" s="22"/>
      <c r="G66" s="22"/>
      <c r="H66" s="22"/>
      <c r="I66" s="22"/>
      <c r="J66" s="14"/>
      <c r="K66" s="14"/>
      <c r="L66" s="14"/>
      <c r="M66" s="14"/>
      <c r="N66" s="14"/>
      <c r="O66" s="14"/>
      <c r="P66" s="14"/>
      <c r="Q66" s="14"/>
      <c r="R66" s="80"/>
      <c r="S66" s="14"/>
      <c r="T66" s="87"/>
      <c r="U66" s="31"/>
      <c r="V66" s="88"/>
      <c r="W66" s="11">
        <v>44651</v>
      </c>
      <c r="X66" s="22"/>
      <c r="Y66" s="22"/>
      <c r="Z66" s="22"/>
      <c r="AA66" s="22"/>
      <c r="AB66" s="22"/>
      <c r="AC66" s="22"/>
      <c r="AD66" s="22"/>
      <c r="AE66" s="22"/>
      <c r="AF66" s="14"/>
      <c r="AG66" s="14"/>
      <c r="AH66" s="14"/>
      <c r="AI66" s="14"/>
      <c r="AJ66" s="14"/>
      <c r="AK66" s="14"/>
      <c r="AL66" s="14"/>
      <c r="AM66" s="14"/>
      <c r="AN66" s="80"/>
      <c r="AO66" s="14"/>
    </row>
    <row r="67">
      <c r="A67" s="74"/>
      <c r="B67" s="75">
        <f t="shared" ref="B67:R67" si="108">SUM(B36:B66)</f>
        <v>32357.150000000001</v>
      </c>
      <c r="C67" s="75">
        <f t="shared" si="108"/>
        <v>0</v>
      </c>
      <c r="D67" s="75">
        <f t="shared" si="108"/>
        <v>0</v>
      </c>
      <c r="E67" s="75">
        <f t="shared" si="108"/>
        <v>9.6300000000000008</v>
      </c>
      <c r="F67" s="75">
        <f t="shared" si="108"/>
        <v>0</v>
      </c>
      <c r="G67" s="75">
        <f t="shared" si="108"/>
        <v>624.42999999999995</v>
      </c>
      <c r="H67" s="75">
        <f t="shared" si="108"/>
        <v>0</v>
      </c>
      <c r="I67" s="75">
        <f t="shared" si="108"/>
        <v>499</v>
      </c>
      <c r="J67" s="75">
        <f t="shared" si="108"/>
        <v>0</v>
      </c>
      <c r="K67" s="75">
        <f t="shared" si="108"/>
        <v>0</v>
      </c>
      <c r="L67" s="75">
        <f t="shared" si="108"/>
        <v>0</v>
      </c>
      <c r="M67" s="75">
        <f t="shared" si="108"/>
        <v>0</v>
      </c>
      <c r="N67" s="75">
        <f t="shared" si="108"/>
        <v>0</v>
      </c>
      <c r="O67" s="75">
        <f t="shared" si="108"/>
        <v>0</v>
      </c>
      <c r="P67" s="75">
        <f t="shared" si="108"/>
        <v>0</v>
      </c>
      <c r="Q67" s="75">
        <f t="shared" si="108"/>
        <v>0</v>
      </c>
      <c r="R67" s="75">
        <f t="shared" si="108"/>
        <v>0</v>
      </c>
      <c r="S67" s="75">
        <f>SUM(B67:R67)</f>
        <v>33490.209999999999</v>
      </c>
      <c r="T67" s="87"/>
      <c r="U67" s="31"/>
      <c r="V67" s="88"/>
      <c r="W67" s="74"/>
      <c r="X67" s="75">
        <f t="shared" ref="X67:AN67" si="109">SUM(X36:X66)</f>
        <v>34071.159999999996</v>
      </c>
      <c r="Y67" s="75">
        <f t="shared" si="109"/>
        <v>0</v>
      </c>
      <c r="Z67" s="75">
        <f t="shared" si="109"/>
        <v>0</v>
      </c>
      <c r="AA67" s="75">
        <f t="shared" si="109"/>
        <v>0</v>
      </c>
      <c r="AB67" s="75">
        <f t="shared" si="109"/>
        <v>0</v>
      </c>
      <c r="AC67" s="75">
        <f t="shared" si="109"/>
        <v>0</v>
      </c>
      <c r="AD67" s="75">
        <f t="shared" si="109"/>
        <v>0</v>
      </c>
      <c r="AE67" s="75">
        <f t="shared" si="109"/>
        <v>0</v>
      </c>
      <c r="AF67" s="75">
        <f t="shared" si="109"/>
        <v>0</v>
      </c>
      <c r="AG67" s="75">
        <f t="shared" si="109"/>
        <v>0</v>
      </c>
      <c r="AH67" s="75">
        <f t="shared" si="109"/>
        <v>0</v>
      </c>
      <c r="AI67" s="75">
        <f t="shared" si="109"/>
        <v>0</v>
      </c>
      <c r="AJ67" s="75">
        <f t="shared" si="109"/>
        <v>0</v>
      </c>
      <c r="AK67" s="75">
        <f t="shared" si="109"/>
        <v>0</v>
      </c>
      <c r="AL67" s="75">
        <f t="shared" si="109"/>
        <v>0</v>
      </c>
      <c r="AM67" s="75">
        <f t="shared" si="109"/>
        <v>0</v>
      </c>
      <c r="AN67" s="75">
        <f t="shared" si="109"/>
        <v>0</v>
      </c>
      <c r="AO67" s="75">
        <f>SUM(X67:AN67)</f>
        <v>34071.159999999996</v>
      </c>
    </row>
    <row r="68">
      <c r="A68" s="84"/>
      <c r="B68" s="84"/>
      <c r="C68" s="84"/>
      <c r="D68" s="84"/>
      <c r="E68" s="84"/>
      <c r="F68" s="84"/>
      <c r="G68" s="84"/>
      <c r="H68" s="84"/>
      <c r="I68" s="84"/>
      <c r="J68" s="84"/>
      <c r="K68" s="84"/>
      <c r="L68" s="84"/>
      <c r="M68" s="84"/>
      <c r="N68" s="84"/>
      <c r="O68" s="84"/>
      <c r="P68" s="84"/>
      <c r="Q68" s="84"/>
      <c r="R68" s="84"/>
      <c r="S68" s="84"/>
      <c r="T68" s="31"/>
      <c r="U68" s="31"/>
      <c r="V68" s="31"/>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c r="T69" s="87"/>
      <c r="U69" s="31"/>
      <c r="V69" s="31"/>
      <c r="W69" s="31"/>
      <c r="X69" s="31"/>
      <c r="Y69" s="31"/>
      <c r="Z69" s="31"/>
      <c r="AA69" s="31"/>
      <c r="AB69" s="31"/>
      <c r="AC69" s="31"/>
      <c r="AD69" s="31"/>
      <c r="AE69" s="31"/>
      <c r="AF69" s="31"/>
      <c r="AG69" s="31"/>
      <c r="AH69" s="31"/>
      <c r="AI69" s="31"/>
      <c r="AJ69" s="31"/>
      <c r="AK69" s="31"/>
      <c r="AL69" s="31"/>
      <c r="AM69" s="31"/>
      <c r="AN69" s="31"/>
      <c r="AO69" s="31"/>
    </row>
    <row r="70">
      <c r="A70" s="5" t="s">
        <v>68</v>
      </c>
      <c r="B70" s="71">
        <f>21000-344+2039+(23000-23000)-344-344+8164.1-4600-3300+(3000-3000)+80000+2000+(5500-5500)+(5650-5100)+1000+300</f>
        <v>106121.10000000001</v>
      </c>
      <c r="C70" s="5"/>
      <c r="D70" s="5"/>
      <c r="E70" s="5"/>
      <c r="F70" s="5"/>
      <c r="G70" s="5"/>
      <c r="H70" s="5"/>
      <c r="I70" s="5"/>
      <c r="J70" s="5"/>
      <c r="K70" s="5"/>
      <c r="L70" s="5"/>
      <c r="M70" s="5"/>
      <c r="N70" s="5"/>
      <c r="O70" s="5"/>
      <c r="P70" s="5"/>
      <c r="Q70" s="5"/>
      <c r="R70" s="5"/>
      <c r="S70" s="5"/>
      <c r="T70" s="87"/>
      <c r="U70" s="31"/>
      <c r="V70" s="31"/>
      <c r="W70" s="31"/>
      <c r="X70" s="31"/>
      <c r="Y70" s="31"/>
      <c r="Z70" s="31"/>
      <c r="AA70" s="31"/>
      <c r="AB70" s="31"/>
      <c r="AC70" s="31"/>
      <c r="AD70" s="31"/>
      <c r="AE70" s="31"/>
      <c r="AF70" s="31"/>
      <c r="AG70" s="31"/>
      <c r="AH70" s="31"/>
      <c r="AI70" s="31"/>
      <c r="AJ70" s="31"/>
      <c r="AK70" s="31"/>
      <c r="AL70" s="31"/>
      <c r="AM70" s="31"/>
      <c r="AN70" s="31"/>
      <c r="AO70" s="31"/>
    </row>
    <row r="71">
      <c r="A71" s="5" t="s">
        <v>76</v>
      </c>
      <c r="B71" s="5"/>
      <c r="C71" s="5"/>
      <c r="D71" s="5"/>
      <c r="E71" s="5"/>
      <c r="F71" s="5"/>
      <c r="G71" s="5"/>
      <c r="H71" s="5"/>
      <c r="I71" s="5"/>
      <c r="J71" s="5"/>
      <c r="K71" s="5"/>
      <c r="L71" s="5"/>
      <c r="M71" s="5"/>
      <c r="N71" s="5"/>
      <c r="O71" s="5"/>
      <c r="P71" s="5"/>
      <c r="Q71" s="5"/>
      <c r="R71" s="5"/>
      <c r="S71" s="5"/>
      <c r="T71" s="87"/>
      <c r="U71" s="31"/>
      <c r="V71" s="31"/>
      <c r="W71" s="31"/>
      <c r="X71" s="31"/>
      <c r="Y71" s="31"/>
      <c r="Z71" s="31"/>
      <c r="AA71" s="31"/>
      <c r="AB71" s="31"/>
      <c r="AC71" s="31"/>
      <c r="AD71" s="31"/>
      <c r="AE71" s="31"/>
      <c r="AF71" s="31"/>
      <c r="AG71" s="31"/>
      <c r="AH71" s="31"/>
      <c r="AI71" s="31"/>
      <c r="AJ71" s="31"/>
      <c r="AK71" s="31"/>
      <c r="AL71" s="31"/>
      <c r="AM71" s="31"/>
      <c r="AN71" s="31"/>
      <c r="AO71" s="31"/>
    </row>
    <row r="72">
      <c r="A72" s="89"/>
      <c r="B72" s="89"/>
      <c r="C72" s="89"/>
      <c r="D72" s="89"/>
      <c r="E72" s="89"/>
      <c r="F72" s="89"/>
      <c r="G72" s="89"/>
      <c r="H72" s="89"/>
      <c r="I72" s="89"/>
      <c r="J72" s="89"/>
      <c r="K72" s="89"/>
      <c r="L72" s="89"/>
      <c r="M72" s="89"/>
      <c r="N72" s="89"/>
      <c r="O72" s="89"/>
      <c r="P72" s="89"/>
      <c r="Q72" s="89"/>
      <c r="R72" s="89"/>
      <c r="S72" s="89"/>
      <c r="T72" s="31"/>
      <c r="U72" s="31"/>
      <c r="V72" s="31"/>
      <c r="W72" s="31"/>
      <c r="X72" s="31"/>
      <c r="Y72" s="31"/>
      <c r="Z72" s="31"/>
      <c r="AA72" s="31"/>
      <c r="AB72" s="31"/>
      <c r="AC72" s="31"/>
      <c r="AD72" s="31"/>
      <c r="AE72" s="31"/>
      <c r="AF72" s="31"/>
      <c r="AG72" s="31"/>
      <c r="AH72" s="31"/>
      <c r="AI72" s="31"/>
      <c r="AJ72" s="31"/>
      <c r="AK72" s="31"/>
      <c r="AL72" s="31"/>
      <c r="AM72" s="31"/>
      <c r="AN72" s="31"/>
      <c r="AO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N38" zoomScale="100" workbookViewId="0">
      <selection activeCell="N2" activeCellId="0" sqref="N2"/>
    </sheetView>
  </sheetViews>
  <sheetFormatPr defaultRowHeight="14.25"/>
  <cols>
    <col customWidth="1" min="1" max="1" width="11.140625"/>
    <col customWidth="1" min="23" max="23" width="12.28515625"/>
  </cols>
  <sheetData>
    <row r="1">
      <c r="A1" s="82" t="s">
        <v>0</v>
      </c>
      <c r="B1" s="83" t="s">
        <v>70</v>
      </c>
      <c r="C1" s="83" t="s">
        <v>71</v>
      </c>
      <c r="D1" s="83" t="s">
        <v>72</v>
      </c>
      <c r="E1" s="83" t="s">
        <v>3</v>
      </c>
      <c r="F1" s="83" t="s">
        <v>4</v>
      </c>
      <c r="G1" s="83" t="s">
        <v>5</v>
      </c>
      <c r="H1" s="83" t="s">
        <v>6</v>
      </c>
      <c r="I1" s="83" t="s">
        <v>7</v>
      </c>
      <c r="J1" s="83" t="s">
        <v>8</v>
      </c>
      <c r="K1" s="83" t="s">
        <v>9</v>
      </c>
      <c r="L1" s="83" t="s">
        <v>10</v>
      </c>
      <c r="M1" s="83" t="s">
        <v>11</v>
      </c>
      <c r="N1" s="83" t="s">
        <v>12</v>
      </c>
      <c r="O1" s="83" t="s">
        <v>13</v>
      </c>
      <c r="P1" s="83" t="s">
        <v>19</v>
      </c>
      <c r="Q1" s="83" t="s">
        <v>20</v>
      </c>
      <c r="R1" s="83" t="s">
        <v>73</v>
      </c>
      <c r="S1" s="83" t="s">
        <v>62</v>
      </c>
      <c r="T1" s="87"/>
      <c r="U1" s="31"/>
      <c r="V1" s="88"/>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19</v>
      </c>
      <c r="AM1" s="83" t="s">
        <v>20</v>
      </c>
      <c r="AN1" s="83" t="s">
        <v>73</v>
      </c>
      <c r="AO1" s="83" t="s">
        <v>62</v>
      </c>
    </row>
    <row r="2">
      <c r="A2" s="11">
        <v>44652</v>
      </c>
      <c r="B2" s="14"/>
      <c r="C2" s="14"/>
      <c r="D2" s="14"/>
      <c r="E2" s="14"/>
      <c r="F2" s="14"/>
      <c r="G2" s="14"/>
      <c r="H2" s="14"/>
      <c r="I2" s="14"/>
      <c r="J2" s="14"/>
      <c r="K2" s="14"/>
      <c r="L2" s="14"/>
      <c r="M2" s="14"/>
      <c r="N2" s="14">
        <v>525</v>
      </c>
      <c r="O2" s="14"/>
      <c r="P2" s="14"/>
      <c r="Q2" s="14"/>
      <c r="R2" s="14"/>
      <c r="S2" s="14"/>
      <c r="T2" s="87"/>
      <c r="U2" s="31"/>
      <c r="V2" s="88"/>
      <c r="W2" s="11">
        <v>44652</v>
      </c>
      <c r="X2" s="14"/>
      <c r="Y2" s="14"/>
      <c r="Z2" s="14"/>
      <c r="AA2" s="14"/>
      <c r="AB2" s="14"/>
      <c r="AC2" s="14"/>
      <c r="AD2" s="14"/>
      <c r="AE2" s="14"/>
      <c r="AF2" s="14"/>
      <c r="AG2" s="14"/>
      <c r="AH2" s="14"/>
      <c r="AI2" s="14"/>
      <c r="AJ2" s="14"/>
      <c r="AK2" s="14"/>
      <c r="AL2" s="14"/>
      <c r="AM2" s="14"/>
      <c r="AN2" s="14"/>
      <c r="AO2" s="14"/>
    </row>
    <row r="3">
      <c r="A3" s="11">
        <v>44653</v>
      </c>
      <c r="B3" s="5"/>
      <c r="C3" s="5"/>
      <c r="D3" s="5"/>
      <c r="E3" s="5"/>
      <c r="F3" s="5"/>
      <c r="G3" s="5"/>
      <c r="H3" s="5"/>
      <c r="I3" s="5"/>
      <c r="J3" s="5"/>
      <c r="K3" s="5"/>
      <c r="L3" s="5"/>
      <c r="M3" s="5"/>
      <c r="N3" s="5"/>
      <c r="O3" s="5"/>
      <c r="P3" s="5"/>
      <c r="Q3" s="5"/>
      <c r="R3" s="5"/>
      <c r="S3" s="5"/>
      <c r="T3" s="87"/>
      <c r="U3" s="31"/>
      <c r="V3" s="88"/>
      <c r="W3" s="11">
        <v>44653</v>
      </c>
      <c r="X3" s="5"/>
      <c r="Y3" s="5"/>
      <c r="Z3" s="5"/>
      <c r="AA3" s="5"/>
      <c r="AB3" s="5"/>
      <c r="AC3" s="5"/>
      <c r="AD3" s="5"/>
      <c r="AE3" s="5"/>
      <c r="AF3" s="5"/>
      <c r="AG3" s="5"/>
      <c r="AH3" s="5"/>
      <c r="AI3" s="5"/>
      <c r="AJ3" s="5"/>
      <c r="AK3" s="5"/>
      <c r="AL3" s="5"/>
      <c r="AM3" s="5"/>
      <c r="AN3" s="5"/>
      <c r="AO3" s="5"/>
    </row>
    <row r="4">
      <c r="A4" s="11">
        <v>44654</v>
      </c>
      <c r="B4" s="14">
        <v>1200.29</v>
      </c>
      <c r="C4" s="14"/>
      <c r="D4" s="14"/>
      <c r="E4" s="14"/>
      <c r="F4" s="14"/>
      <c r="G4" s="14"/>
      <c r="H4" s="14"/>
      <c r="I4" s="14"/>
      <c r="J4" s="14"/>
      <c r="K4" s="14"/>
      <c r="L4" s="14"/>
      <c r="M4" s="14"/>
      <c r="N4" s="14"/>
      <c r="O4" s="14"/>
      <c r="P4" s="14"/>
      <c r="Q4" s="14"/>
      <c r="R4" s="14"/>
      <c r="S4" s="14"/>
      <c r="T4" s="87"/>
      <c r="U4" s="31"/>
      <c r="V4" s="88"/>
      <c r="W4" s="11">
        <v>44654</v>
      </c>
      <c r="X4" s="14"/>
      <c r="Y4" s="14"/>
      <c r="Z4" s="14"/>
      <c r="AA4" s="14"/>
      <c r="AB4" s="14"/>
      <c r="AC4" s="14"/>
      <c r="AD4" s="14"/>
      <c r="AE4" s="14"/>
      <c r="AF4" s="14"/>
      <c r="AG4" s="14"/>
      <c r="AH4" s="14"/>
      <c r="AI4" s="14"/>
      <c r="AJ4" s="14"/>
      <c r="AK4" s="14"/>
      <c r="AL4" s="14"/>
      <c r="AM4" s="14"/>
      <c r="AN4" s="14"/>
      <c r="AO4" s="14"/>
    </row>
    <row r="5">
      <c r="A5" s="11">
        <v>44655</v>
      </c>
      <c r="B5" s="5"/>
      <c r="C5" s="5"/>
      <c r="D5" s="5"/>
      <c r="E5" s="5"/>
      <c r="F5" s="5"/>
      <c r="G5" s="5"/>
      <c r="H5" s="5"/>
      <c r="I5" s="5"/>
      <c r="J5" s="5">
        <v>179</v>
      </c>
      <c r="K5" s="5"/>
      <c r="L5" s="5"/>
      <c r="M5" s="5"/>
      <c r="N5" s="5"/>
      <c r="O5" s="5"/>
      <c r="P5" s="5"/>
      <c r="Q5" s="5"/>
      <c r="R5" s="5"/>
      <c r="S5" s="5"/>
      <c r="T5" s="87"/>
      <c r="U5" s="31"/>
      <c r="V5" s="88"/>
      <c r="W5" s="11">
        <v>44655</v>
      </c>
      <c r="X5" s="5"/>
      <c r="Y5" s="5"/>
      <c r="Z5" s="5"/>
      <c r="AA5" s="5"/>
      <c r="AB5" s="5"/>
      <c r="AC5" s="5"/>
      <c r="AD5" s="5"/>
      <c r="AE5" s="5"/>
      <c r="AF5" s="5"/>
      <c r="AG5" s="5"/>
      <c r="AH5" s="5"/>
      <c r="AI5" s="5"/>
      <c r="AJ5" s="5"/>
      <c r="AK5" s="5"/>
      <c r="AL5" s="5"/>
      <c r="AM5" s="5"/>
      <c r="AN5" s="5"/>
      <c r="AO5" s="5"/>
    </row>
    <row r="6">
      <c r="A6" s="11">
        <v>44656</v>
      </c>
      <c r="B6" s="14"/>
      <c r="C6" s="14"/>
      <c r="D6" s="14"/>
      <c r="E6" s="14">
        <f>579+620</f>
        <v>1199</v>
      </c>
      <c r="F6" s="14"/>
      <c r="G6" s="14"/>
      <c r="H6" s="14"/>
      <c r="I6" s="14"/>
      <c r="J6" s="14"/>
      <c r="K6" s="14"/>
      <c r="L6" s="14"/>
      <c r="M6" s="14"/>
      <c r="N6" s="14"/>
      <c r="O6" s="14"/>
      <c r="P6" s="14"/>
      <c r="Q6" s="14"/>
      <c r="R6" s="14"/>
      <c r="S6" s="14"/>
      <c r="T6" s="87"/>
      <c r="U6" s="31"/>
      <c r="V6" s="88"/>
      <c r="W6" s="11">
        <v>44656</v>
      </c>
      <c r="X6" s="14"/>
      <c r="Y6" s="14"/>
      <c r="Z6" s="14"/>
      <c r="AA6" s="14"/>
      <c r="AB6" s="14"/>
      <c r="AC6" s="14"/>
      <c r="AD6" s="14"/>
      <c r="AE6" s="14"/>
      <c r="AF6" s="14"/>
      <c r="AG6" s="14"/>
      <c r="AH6" s="14"/>
      <c r="AI6" s="14"/>
      <c r="AJ6" s="14"/>
      <c r="AK6" s="14"/>
      <c r="AL6" s="14"/>
      <c r="AM6" s="14"/>
      <c r="AN6" s="14"/>
      <c r="AO6" s="14"/>
    </row>
    <row r="7">
      <c r="A7" s="11">
        <v>44657</v>
      </c>
      <c r="B7" s="5"/>
      <c r="C7" s="5"/>
      <c r="D7" s="5"/>
      <c r="E7" s="5"/>
      <c r="F7" s="5"/>
      <c r="G7" s="5"/>
      <c r="H7" s="5"/>
      <c r="I7" s="5"/>
      <c r="J7" s="5"/>
      <c r="K7" s="5"/>
      <c r="L7" s="5"/>
      <c r="M7" s="5"/>
      <c r="N7" s="5"/>
      <c r="O7" s="5"/>
      <c r="P7" s="5"/>
      <c r="Q7" s="5"/>
      <c r="R7" s="5"/>
      <c r="S7" s="5"/>
      <c r="T7" s="87"/>
      <c r="U7" s="31"/>
      <c r="V7" s="88"/>
      <c r="W7" s="11">
        <v>44657</v>
      </c>
      <c r="X7" s="5"/>
      <c r="Y7" s="5"/>
      <c r="Z7" s="5"/>
      <c r="AA7" s="5"/>
      <c r="AB7" s="5"/>
      <c r="AC7" s="5"/>
      <c r="AD7" s="5"/>
      <c r="AE7" s="5"/>
      <c r="AF7" s="5"/>
      <c r="AG7" s="5"/>
      <c r="AH7" s="5"/>
      <c r="AI7" s="5"/>
      <c r="AJ7" s="5"/>
      <c r="AK7" s="5"/>
      <c r="AL7" s="5"/>
      <c r="AM7" s="5"/>
      <c r="AN7" s="5"/>
      <c r="AO7" s="5"/>
    </row>
    <row r="8">
      <c r="A8" s="11">
        <v>44658</v>
      </c>
      <c r="B8" s="14">
        <v>25</v>
      </c>
      <c r="C8" s="14"/>
      <c r="D8" s="14">
        <v>64</v>
      </c>
      <c r="E8" s="14"/>
      <c r="F8" s="14"/>
      <c r="G8" s="14"/>
      <c r="H8" s="14"/>
      <c r="I8" s="14"/>
      <c r="J8" s="14"/>
      <c r="K8" s="14"/>
      <c r="L8" s="14"/>
      <c r="M8" s="14"/>
      <c r="N8" s="14"/>
      <c r="O8" s="14"/>
      <c r="P8" s="14"/>
      <c r="Q8" s="14"/>
      <c r="R8" s="14"/>
      <c r="S8" s="14"/>
      <c r="T8" s="87"/>
      <c r="U8" s="31"/>
      <c r="V8" s="88"/>
      <c r="W8" s="11">
        <v>44658</v>
      </c>
      <c r="X8" s="14"/>
      <c r="Y8" s="14"/>
      <c r="Z8" s="14"/>
      <c r="AA8" s="14"/>
      <c r="AB8" s="14"/>
      <c r="AC8" s="14"/>
      <c r="AD8" s="14"/>
      <c r="AE8" s="14"/>
      <c r="AF8" s="14"/>
      <c r="AG8" s="14"/>
      <c r="AH8" s="14"/>
      <c r="AI8" s="14"/>
      <c r="AJ8" s="14"/>
      <c r="AK8" s="14"/>
      <c r="AL8" s="14"/>
      <c r="AM8" s="14"/>
      <c r="AN8" s="14"/>
      <c r="AO8" s="14"/>
    </row>
    <row r="9">
      <c r="A9" s="11">
        <v>44659</v>
      </c>
      <c r="B9" s="5"/>
      <c r="C9" s="5"/>
      <c r="D9" s="5">
        <f>13+67</f>
        <v>80</v>
      </c>
      <c r="E9" s="5"/>
      <c r="F9" s="5"/>
      <c r="G9" s="5"/>
      <c r="H9" s="5"/>
      <c r="I9" s="5"/>
      <c r="J9" s="5"/>
      <c r="K9" s="5"/>
      <c r="L9" s="5"/>
      <c r="M9" s="5"/>
      <c r="N9" s="5"/>
      <c r="O9" s="5"/>
      <c r="P9" s="5"/>
      <c r="Q9" s="5"/>
      <c r="R9" s="5"/>
      <c r="S9" s="5"/>
      <c r="T9" s="87"/>
      <c r="U9" s="31"/>
      <c r="V9" s="88"/>
      <c r="W9" s="11">
        <v>44659</v>
      </c>
      <c r="X9" s="5"/>
      <c r="Y9" s="5"/>
      <c r="Z9" s="5"/>
      <c r="AA9" s="5"/>
      <c r="AB9" s="5"/>
      <c r="AC9" s="5"/>
      <c r="AD9" s="5"/>
      <c r="AE9" s="5"/>
      <c r="AF9" s="5"/>
      <c r="AG9" s="5"/>
      <c r="AH9" s="5"/>
      <c r="AI9" s="5"/>
      <c r="AJ9" s="5"/>
      <c r="AK9" s="5"/>
      <c r="AL9" s="5"/>
      <c r="AM9" s="5"/>
      <c r="AN9" s="5"/>
      <c r="AO9" s="5"/>
    </row>
    <row r="10">
      <c r="A10" s="11">
        <v>44660</v>
      </c>
      <c r="B10" s="14"/>
      <c r="C10" s="14"/>
      <c r="D10" s="14"/>
      <c r="E10" s="14"/>
      <c r="F10" s="14"/>
      <c r="G10" s="14"/>
      <c r="H10" s="14"/>
      <c r="I10" s="14"/>
      <c r="J10" s="14">
        <v>215</v>
      </c>
      <c r="K10" s="14"/>
      <c r="L10" s="14"/>
      <c r="M10" s="14"/>
      <c r="N10" s="14"/>
      <c r="O10" s="14"/>
      <c r="P10" s="14"/>
      <c r="Q10" s="14"/>
      <c r="R10" s="14"/>
      <c r="S10" s="14"/>
      <c r="T10" s="87"/>
      <c r="U10" s="31"/>
      <c r="V10" s="88"/>
      <c r="W10" s="11">
        <v>44660</v>
      </c>
      <c r="X10" s="14"/>
      <c r="Y10" s="14"/>
      <c r="Z10" s="14"/>
      <c r="AA10" s="14"/>
      <c r="AB10" s="14"/>
      <c r="AC10" s="14"/>
      <c r="AD10" s="14"/>
      <c r="AE10" s="14"/>
      <c r="AF10" s="14"/>
      <c r="AG10" s="14"/>
      <c r="AH10" s="14"/>
      <c r="AI10" s="14"/>
      <c r="AJ10" s="14"/>
      <c r="AK10" s="14"/>
      <c r="AL10" s="14"/>
      <c r="AM10" s="14"/>
      <c r="AN10" s="14"/>
      <c r="AO10" s="14"/>
    </row>
    <row r="11">
      <c r="A11" s="11">
        <v>44661</v>
      </c>
      <c r="B11" s="5">
        <v>865</v>
      </c>
      <c r="C11" s="5">
        <f>160.93+353.43</f>
        <v>514.36000000000001</v>
      </c>
      <c r="D11" s="5"/>
      <c r="E11" s="5"/>
      <c r="F11" s="5"/>
      <c r="G11" s="5"/>
      <c r="H11" s="5"/>
      <c r="I11" s="5"/>
      <c r="J11" s="5">
        <f>445+109</f>
        <v>554</v>
      </c>
      <c r="K11" s="5"/>
      <c r="L11" s="5"/>
      <c r="M11" s="5"/>
      <c r="N11" s="5"/>
      <c r="O11" s="5"/>
      <c r="P11" s="5"/>
      <c r="Q11" s="5"/>
      <c r="R11" s="5"/>
      <c r="S11" s="5"/>
      <c r="T11" s="87"/>
      <c r="U11" s="31"/>
      <c r="V11" s="88"/>
      <c r="W11" s="11">
        <v>44661</v>
      </c>
      <c r="X11" s="5"/>
      <c r="Y11" s="5"/>
      <c r="Z11" s="5"/>
      <c r="AA11" s="5"/>
      <c r="AB11" s="5"/>
      <c r="AC11" s="5"/>
      <c r="AD11" s="5"/>
      <c r="AE11" s="5"/>
      <c r="AF11" s="5"/>
      <c r="AG11" s="5"/>
      <c r="AH11" s="5"/>
      <c r="AI11" s="5"/>
      <c r="AJ11" s="5"/>
      <c r="AK11" s="5"/>
      <c r="AL11" s="5"/>
      <c r="AM11" s="5"/>
      <c r="AN11" s="5"/>
      <c r="AO11" s="5"/>
    </row>
    <row r="12">
      <c r="A12" s="11">
        <v>44662</v>
      </c>
      <c r="B12" s="14"/>
      <c r="C12" s="14"/>
      <c r="D12" s="14">
        <v>61</v>
      </c>
      <c r="E12" s="14"/>
      <c r="F12" s="14"/>
      <c r="G12" s="14"/>
      <c r="H12" s="14"/>
      <c r="I12" s="14"/>
      <c r="J12" s="14"/>
      <c r="K12" s="14"/>
      <c r="L12" s="14"/>
      <c r="M12" s="14"/>
      <c r="N12" s="14"/>
      <c r="O12" s="14"/>
      <c r="P12" s="14"/>
      <c r="Q12" s="14"/>
      <c r="R12" s="14"/>
      <c r="S12" s="14"/>
      <c r="T12" s="87"/>
      <c r="U12" s="31"/>
      <c r="V12" s="88"/>
      <c r="W12" s="11">
        <v>44662</v>
      </c>
      <c r="X12" s="14"/>
      <c r="Y12" s="14"/>
      <c r="Z12" s="14"/>
      <c r="AA12" s="14"/>
      <c r="AB12" s="14"/>
      <c r="AC12" s="14"/>
      <c r="AD12" s="14"/>
      <c r="AE12" s="14"/>
      <c r="AF12" s="14"/>
      <c r="AG12" s="14"/>
      <c r="AH12" s="14"/>
      <c r="AI12" s="14"/>
      <c r="AJ12" s="14"/>
      <c r="AK12" s="14"/>
      <c r="AL12" s="14"/>
      <c r="AM12" s="14"/>
      <c r="AN12" s="14"/>
      <c r="AO12" s="14"/>
    </row>
    <row r="13">
      <c r="A13" s="11">
        <v>44663</v>
      </c>
      <c r="B13" s="5"/>
      <c r="C13" s="5"/>
      <c r="D13" s="5"/>
      <c r="E13" s="5"/>
      <c r="F13" s="5"/>
      <c r="G13" s="5"/>
      <c r="H13" s="5"/>
      <c r="I13" s="5"/>
      <c r="J13" s="5"/>
      <c r="K13" s="5"/>
      <c r="L13" s="5"/>
      <c r="M13" s="5"/>
      <c r="N13" s="5"/>
      <c r="O13" s="5"/>
      <c r="P13" s="5"/>
      <c r="Q13" s="5"/>
      <c r="R13" s="5"/>
      <c r="S13" s="5"/>
      <c r="T13" s="87"/>
      <c r="U13" s="31"/>
      <c r="V13" s="88"/>
      <c r="W13" s="11">
        <v>44663</v>
      </c>
      <c r="X13" s="5"/>
      <c r="Y13" s="5"/>
      <c r="Z13" s="5"/>
      <c r="AA13" s="5"/>
      <c r="AB13" s="5"/>
      <c r="AC13" s="5"/>
      <c r="AD13" s="5"/>
      <c r="AE13" s="5"/>
      <c r="AF13" s="5"/>
      <c r="AG13" s="5"/>
      <c r="AH13" s="5"/>
      <c r="AI13" s="5"/>
      <c r="AJ13" s="5"/>
      <c r="AK13" s="5"/>
      <c r="AL13" s="5"/>
      <c r="AM13" s="5"/>
      <c r="AN13" s="5"/>
      <c r="AO13" s="5"/>
    </row>
    <row r="14">
      <c r="A14" s="11">
        <v>44664</v>
      </c>
      <c r="B14" s="14"/>
      <c r="C14" s="14"/>
      <c r="D14" s="14">
        <v>90</v>
      </c>
      <c r="E14" s="14"/>
      <c r="F14" s="14"/>
      <c r="G14" s="14"/>
      <c r="H14" s="14"/>
      <c r="I14" s="14"/>
      <c r="J14" s="14"/>
      <c r="K14" s="14"/>
      <c r="L14" s="14"/>
      <c r="M14" s="14"/>
      <c r="N14" s="14"/>
      <c r="O14" s="14"/>
      <c r="P14" s="14"/>
      <c r="Q14" s="14"/>
      <c r="R14" s="14"/>
      <c r="S14" s="14"/>
      <c r="T14" s="87"/>
      <c r="U14" s="31"/>
      <c r="V14" s="88"/>
      <c r="W14" s="11">
        <v>44664</v>
      </c>
      <c r="X14" s="14"/>
      <c r="Y14" s="14"/>
      <c r="Z14" s="14"/>
      <c r="AA14" s="14"/>
      <c r="AB14" s="14"/>
      <c r="AC14" s="14"/>
      <c r="AD14" s="14"/>
      <c r="AE14" s="14"/>
      <c r="AF14" s="14"/>
      <c r="AG14" s="14"/>
      <c r="AH14" s="14"/>
      <c r="AI14" s="14"/>
      <c r="AJ14" s="14"/>
      <c r="AK14" s="14"/>
      <c r="AL14" s="14"/>
      <c r="AM14" s="14"/>
      <c r="AN14" s="14"/>
      <c r="AO14" s="14"/>
    </row>
    <row r="15">
      <c r="A15" s="11">
        <v>44665</v>
      </c>
      <c r="B15" s="5"/>
      <c r="C15" s="5"/>
      <c r="D15" s="5"/>
      <c r="E15" s="5"/>
      <c r="F15" s="5"/>
      <c r="G15" s="5"/>
      <c r="H15" s="5"/>
      <c r="I15" s="5"/>
      <c r="J15" s="5">
        <v>140</v>
      </c>
      <c r="K15" s="5"/>
      <c r="L15" s="5"/>
      <c r="M15" s="5"/>
      <c r="N15" s="5"/>
      <c r="O15" s="5"/>
      <c r="P15" s="5"/>
      <c r="Q15" s="5"/>
      <c r="R15" s="5">
        <v>1370</v>
      </c>
      <c r="S15" s="5"/>
      <c r="T15" s="87"/>
      <c r="U15" s="31"/>
      <c r="V15" s="88"/>
      <c r="W15" s="11">
        <v>44665</v>
      </c>
      <c r="X15" s="5"/>
      <c r="Y15" s="5"/>
      <c r="Z15" s="5"/>
      <c r="AA15" s="5"/>
      <c r="AB15" s="5"/>
      <c r="AC15" s="5"/>
      <c r="AD15" s="5"/>
      <c r="AE15" s="5"/>
      <c r="AF15" s="5"/>
      <c r="AG15" s="5"/>
      <c r="AH15" s="5"/>
      <c r="AI15" s="5"/>
      <c r="AJ15" s="5"/>
      <c r="AK15" s="5"/>
      <c r="AL15" s="5"/>
      <c r="AM15" s="5"/>
      <c r="AN15" s="5"/>
      <c r="AO15" s="5"/>
    </row>
    <row r="16">
      <c r="A16" s="11">
        <v>44666</v>
      </c>
      <c r="B16" s="14"/>
      <c r="C16" s="14"/>
      <c r="D16" s="14">
        <v>18</v>
      </c>
      <c r="E16" s="14"/>
      <c r="F16" s="14"/>
      <c r="G16" s="14"/>
      <c r="H16" s="14"/>
      <c r="I16" s="14"/>
      <c r="J16" s="14"/>
      <c r="K16" s="14"/>
      <c r="L16" s="14"/>
      <c r="M16" s="14"/>
      <c r="N16" s="14"/>
      <c r="O16" s="14"/>
      <c r="P16" s="14"/>
      <c r="Q16" s="14"/>
      <c r="R16" s="14"/>
      <c r="S16" s="14"/>
      <c r="T16" s="87"/>
      <c r="U16" s="31"/>
      <c r="V16" s="88"/>
      <c r="W16" s="11">
        <v>44666</v>
      </c>
      <c r="X16" s="14"/>
      <c r="Y16" s="14"/>
      <c r="Z16" s="14"/>
      <c r="AA16" s="14"/>
      <c r="AB16" s="14"/>
      <c r="AC16" s="14"/>
      <c r="AD16" s="14"/>
      <c r="AE16" s="14"/>
      <c r="AF16" s="14"/>
      <c r="AG16" s="14"/>
      <c r="AH16" s="14"/>
      <c r="AI16" s="14"/>
      <c r="AJ16" s="14"/>
      <c r="AK16" s="14"/>
      <c r="AL16" s="14"/>
      <c r="AM16" s="14"/>
      <c r="AN16" s="14"/>
      <c r="AO16" s="14"/>
    </row>
    <row r="17">
      <c r="A17" s="11">
        <v>44667</v>
      </c>
      <c r="B17" s="5"/>
      <c r="C17" s="5"/>
      <c r="D17" s="5"/>
      <c r="E17" s="5">
        <v>396</v>
      </c>
      <c r="F17" s="5"/>
      <c r="G17" s="5"/>
      <c r="H17" s="5"/>
      <c r="I17" s="5"/>
      <c r="J17" s="5">
        <f>120+121.6+3585.53</f>
        <v>3827.1300000000001</v>
      </c>
      <c r="K17" s="5"/>
      <c r="L17" s="5"/>
      <c r="M17" s="5"/>
      <c r="N17" s="5"/>
      <c r="O17" s="5"/>
      <c r="P17" s="5"/>
      <c r="Q17" s="5"/>
      <c r="R17" s="5"/>
      <c r="S17" s="5"/>
      <c r="T17" s="87"/>
      <c r="U17" s="31"/>
      <c r="V17" s="88"/>
      <c r="W17" s="11">
        <v>44667</v>
      </c>
      <c r="X17" s="5"/>
      <c r="Y17" s="5"/>
      <c r="Z17" s="5"/>
      <c r="AA17" s="5"/>
      <c r="AB17" s="5"/>
      <c r="AC17" s="5"/>
      <c r="AD17" s="5"/>
      <c r="AE17" s="5"/>
      <c r="AF17" s="5"/>
      <c r="AG17" s="5"/>
      <c r="AH17" s="5"/>
      <c r="AI17" s="5"/>
      <c r="AJ17" s="5"/>
      <c r="AK17" s="5"/>
      <c r="AL17" s="5"/>
      <c r="AM17" s="5"/>
      <c r="AN17" s="5"/>
      <c r="AO17" s="5"/>
    </row>
    <row r="18">
      <c r="A18" s="11">
        <v>44668</v>
      </c>
      <c r="B18" s="14"/>
      <c r="C18" s="14"/>
      <c r="D18" s="14"/>
      <c r="E18" s="14"/>
      <c r="F18" s="14"/>
      <c r="G18" s="14"/>
      <c r="H18" s="14"/>
      <c r="I18" s="14"/>
      <c r="J18" s="14"/>
      <c r="K18" s="14"/>
      <c r="L18" s="14"/>
      <c r="M18" s="14"/>
      <c r="N18" s="14"/>
      <c r="O18" s="14"/>
      <c r="P18" s="14"/>
      <c r="Q18" s="14"/>
      <c r="R18" s="14"/>
      <c r="S18" s="14"/>
      <c r="T18" s="87"/>
      <c r="U18" s="31"/>
      <c r="V18" s="88"/>
      <c r="W18" s="11">
        <v>44668</v>
      </c>
      <c r="X18" s="14"/>
      <c r="Y18" s="14"/>
      <c r="Z18" s="14"/>
      <c r="AA18" s="14"/>
      <c r="AB18" s="14"/>
      <c r="AC18" s="14"/>
      <c r="AD18" s="14"/>
      <c r="AE18" s="14"/>
      <c r="AF18" s="14"/>
      <c r="AG18" s="14"/>
      <c r="AH18" s="14"/>
      <c r="AI18" s="14"/>
      <c r="AJ18" s="14"/>
      <c r="AK18" s="14"/>
      <c r="AL18" s="14"/>
      <c r="AM18" s="14"/>
      <c r="AN18" s="14"/>
      <c r="AO18" s="14"/>
    </row>
    <row r="19">
      <c r="A19" s="11">
        <v>44669</v>
      </c>
      <c r="B19" s="5"/>
      <c r="C19" s="5"/>
      <c r="D19" s="5"/>
      <c r="E19" s="5"/>
      <c r="F19" s="5"/>
      <c r="G19" s="5"/>
      <c r="H19" s="5"/>
      <c r="I19" s="5"/>
      <c r="J19" s="5"/>
      <c r="K19" s="5"/>
      <c r="L19" s="5"/>
      <c r="M19" s="5"/>
      <c r="N19" s="5"/>
      <c r="O19" s="5"/>
      <c r="P19" s="5"/>
      <c r="Q19" s="5"/>
      <c r="R19" s="5"/>
      <c r="S19" s="5"/>
      <c r="T19" s="87"/>
      <c r="U19" s="31"/>
      <c r="V19" s="88"/>
      <c r="W19" s="11">
        <v>44669</v>
      </c>
      <c r="X19" s="5"/>
      <c r="Y19" s="5"/>
      <c r="Z19" s="5"/>
      <c r="AA19" s="5"/>
      <c r="AB19" s="5"/>
      <c r="AC19" s="5"/>
      <c r="AD19" s="5"/>
      <c r="AE19" s="5"/>
      <c r="AF19" s="5"/>
      <c r="AG19" s="5"/>
      <c r="AH19" s="5"/>
      <c r="AI19" s="5"/>
      <c r="AJ19" s="5"/>
      <c r="AK19" s="5"/>
      <c r="AL19" s="5"/>
      <c r="AM19" s="5"/>
      <c r="AN19" s="5"/>
      <c r="AO19" s="5"/>
    </row>
    <row r="20">
      <c r="A20" s="11">
        <v>44670</v>
      </c>
      <c r="B20" s="14"/>
      <c r="C20" s="14"/>
      <c r="D20" s="14">
        <v>100</v>
      </c>
      <c r="E20" s="14"/>
      <c r="F20" s="14"/>
      <c r="G20" s="14"/>
      <c r="H20" s="14"/>
      <c r="I20" s="14"/>
      <c r="J20" s="14"/>
      <c r="K20" s="14"/>
      <c r="L20" s="14"/>
      <c r="M20" s="14"/>
      <c r="N20" s="14"/>
      <c r="O20" s="14"/>
      <c r="P20" s="34"/>
      <c r="Q20" s="14"/>
      <c r="R20" s="14"/>
      <c r="S20" s="14"/>
      <c r="T20" s="87"/>
      <c r="U20" s="31"/>
      <c r="V20" s="88"/>
      <c r="W20" s="11">
        <v>44670</v>
      </c>
      <c r="X20" s="14"/>
      <c r="Y20" s="14"/>
      <c r="Z20" s="14"/>
      <c r="AA20" s="14"/>
      <c r="AB20" s="14"/>
      <c r="AC20" s="14"/>
      <c r="AD20" s="14"/>
      <c r="AE20" s="14"/>
      <c r="AF20" s="14"/>
      <c r="AG20" s="14"/>
      <c r="AH20" s="14"/>
      <c r="AI20" s="14"/>
      <c r="AJ20" s="14"/>
      <c r="AK20" s="14"/>
      <c r="AL20" s="34"/>
      <c r="AM20" s="14"/>
      <c r="AN20" s="14"/>
      <c r="AO20" s="14"/>
    </row>
    <row r="21">
      <c r="A21" s="11">
        <v>44671</v>
      </c>
      <c r="B21" s="69"/>
      <c r="C21" s="5">
        <v>117.98</v>
      </c>
      <c r="D21" s="5">
        <v>163</v>
      </c>
      <c r="E21" s="5"/>
      <c r="F21" s="5"/>
      <c r="G21" s="5"/>
      <c r="H21" s="5"/>
      <c r="I21" s="5"/>
      <c r="J21" s="5"/>
      <c r="K21" s="5"/>
      <c r="L21" s="5"/>
      <c r="M21" s="5"/>
      <c r="N21" s="5"/>
      <c r="O21" s="5"/>
      <c r="P21" s="5"/>
      <c r="Q21" s="5"/>
      <c r="R21" s="5"/>
      <c r="S21" s="5"/>
      <c r="T21" s="87"/>
      <c r="U21" s="31"/>
      <c r="V21" s="88"/>
      <c r="W21" s="11">
        <v>44671</v>
      </c>
      <c r="X21" s="69"/>
      <c r="Y21" s="5"/>
      <c r="Z21" s="5"/>
      <c r="AA21" s="5"/>
      <c r="AB21" s="5"/>
      <c r="AC21" s="5"/>
      <c r="AD21" s="5"/>
      <c r="AE21" s="5"/>
      <c r="AF21" s="5"/>
      <c r="AG21" s="5"/>
      <c r="AH21" s="5"/>
      <c r="AI21" s="5"/>
      <c r="AJ21" s="5"/>
      <c r="AK21" s="5"/>
      <c r="AL21" s="5"/>
      <c r="AM21" s="5"/>
      <c r="AN21" s="5"/>
      <c r="AO21" s="5"/>
    </row>
    <row r="22">
      <c r="A22" s="11">
        <v>44672</v>
      </c>
      <c r="B22" s="22"/>
      <c r="C22" s="14"/>
      <c r="D22" s="14">
        <f>38+89</f>
        <v>127</v>
      </c>
      <c r="E22" s="14"/>
      <c r="F22" s="14"/>
      <c r="G22" s="14"/>
      <c r="H22" s="14"/>
      <c r="I22" s="14"/>
      <c r="J22" s="14"/>
      <c r="K22" s="14"/>
      <c r="L22" s="14"/>
      <c r="M22" s="14">
        <v>5379</v>
      </c>
      <c r="N22" s="14"/>
      <c r="O22" s="14"/>
      <c r="P22" s="14"/>
      <c r="Q22" s="14"/>
      <c r="R22" s="14"/>
      <c r="S22" s="14"/>
      <c r="T22" s="87"/>
      <c r="U22" s="31"/>
      <c r="V22" s="88"/>
      <c r="W22" s="11">
        <v>44672</v>
      </c>
      <c r="X22" s="22"/>
      <c r="Y22" s="14"/>
      <c r="Z22" s="14"/>
      <c r="AA22" s="14"/>
      <c r="AB22" s="14"/>
      <c r="AC22" s="14"/>
      <c r="AD22" s="14"/>
      <c r="AE22" s="14"/>
      <c r="AF22" s="14"/>
      <c r="AG22" s="14"/>
      <c r="AH22" s="14"/>
      <c r="AI22" s="14"/>
      <c r="AJ22" s="14"/>
      <c r="AK22" s="14"/>
      <c r="AL22" s="14"/>
      <c r="AM22" s="14"/>
      <c r="AN22" s="14"/>
      <c r="AO22" s="14"/>
    </row>
    <row r="23">
      <c r="A23" s="11">
        <v>44673</v>
      </c>
      <c r="B23" s="5"/>
      <c r="C23" s="5"/>
      <c r="D23" s="5">
        <v>146</v>
      </c>
      <c r="E23" s="5"/>
      <c r="F23" s="5"/>
      <c r="G23" s="5"/>
      <c r="H23" s="5"/>
      <c r="I23" s="5"/>
      <c r="J23" s="5"/>
      <c r="K23" s="5"/>
      <c r="L23" s="5"/>
      <c r="M23" s="5"/>
      <c r="N23" s="5"/>
      <c r="O23" s="5"/>
      <c r="P23" s="5"/>
      <c r="Q23" s="5"/>
      <c r="R23" s="5"/>
      <c r="S23" s="5"/>
      <c r="T23" s="87"/>
      <c r="U23" s="31"/>
      <c r="V23" s="88"/>
      <c r="W23" s="11">
        <v>44673</v>
      </c>
      <c r="X23" s="5"/>
      <c r="Y23" s="5"/>
      <c r="Z23" s="5"/>
      <c r="AA23" s="5"/>
      <c r="AB23" s="5"/>
      <c r="AC23" s="5"/>
      <c r="AD23" s="5"/>
      <c r="AE23" s="5"/>
      <c r="AF23" s="5"/>
      <c r="AG23" s="5"/>
      <c r="AH23" s="5"/>
      <c r="AI23" s="5"/>
      <c r="AJ23" s="5"/>
      <c r="AK23" s="5"/>
      <c r="AL23" s="5"/>
      <c r="AM23" s="5"/>
      <c r="AN23" s="5"/>
      <c r="AO23" s="5"/>
    </row>
    <row r="24">
      <c r="A24" s="11">
        <v>44674</v>
      </c>
      <c r="B24" s="14"/>
      <c r="C24" s="14"/>
      <c r="D24" s="14"/>
      <c r="E24" s="14"/>
      <c r="F24" s="14"/>
      <c r="G24" s="14"/>
      <c r="H24" s="14"/>
      <c r="I24" s="14"/>
      <c r="J24" s="14"/>
      <c r="K24" s="14"/>
      <c r="L24" s="14"/>
      <c r="M24" s="14"/>
      <c r="N24" s="14"/>
      <c r="O24" s="14"/>
      <c r="P24" s="14"/>
      <c r="Q24" s="14"/>
      <c r="R24" s="14"/>
      <c r="S24" s="14"/>
      <c r="T24" s="87"/>
      <c r="U24" s="31"/>
      <c r="V24" s="88"/>
      <c r="W24" s="11">
        <v>44674</v>
      </c>
      <c r="X24" s="14"/>
      <c r="Y24" s="14"/>
      <c r="Z24" s="14"/>
      <c r="AA24" s="14"/>
      <c r="AB24" s="14"/>
      <c r="AC24" s="14"/>
      <c r="AD24" s="14"/>
      <c r="AE24" s="14"/>
      <c r="AF24" s="14"/>
      <c r="AG24" s="14"/>
      <c r="AH24" s="14"/>
      <c r="AI24" s="14"/>
      <c r="AJ24" s="14"/>
      <c r="AK24" s="14"/>
      <c r="AL24" s="14"/>
      <c r="AM24" s="14"/>
      <c r="AN24" s="14"/>
      <c r="AO24" s="14"/>
    </row>
    <row r="25">
      <c r="A25" s="11">
        <v>44675</v>
      </c>
      <c r="B25" s="28"/>
      <c r="C25" s="5"/>
      <c r="D25" s="5"/>
      <c r="E25" s="5"/>
      <c r="F25" s="5"/>
      <c r="G25" s="5"/>
      <c r="H25" s="5"/>
      <c r="I25" s="5"/>
      <c r="J25" s="5"/>
      <c r="K25" s="5"/>
      <c r="L25" s="5"/>
      <c r="M25" s="5"/>
      <c r="N25" s="5"/>
      <c r="O25" s="5"/>
      <c r="P25" s="5"/>
      <c r="Q25" s="5"/>
      <c r="R25" s="5"/>
      <c r="S25" s="5"/>
      <c r="T25" s="87"/>
      <c r="U25" s="31"/>
      <c r="V25" s="88"/>
      <c r="W25" s="11">
        <v>44675</v>
      </c>
      <c r="X25" s="28"/>
      <c r="Y25" s="5"/>
      <c r="Z25" s="5"/>
      <c r="AA25" s="5"/>
      <c r="AB25" s="5"/>
      <c r="AC25" s="5"/>
      <c r="AD25" s="5"/>
      <c r="AE25" s="5"/>
      <c r="AF25" s="5"/>
      <c r="AG25" s="5"/>
      <c r="AH25" s="5"/>
      <c r="AI25" s="5"/>
      <c r="AJ25" s="5"/>
      <c r="AK25" s="5"/>
      <c r="AL25" s="5"/>
      <c r="AM25" s="5"/>
      <c r="AN25" s="5"/>
      <c r="AO25" s="5"/>
    </row>
    <row r="26">
      <c r="A26" s="11">
        <v>44676</v>
      </c>
      <c r="B26" s="14"/>
      <c r="C26" s="14"/>
      <c r="D26" s="14">
        <f>27+82</f>
        <v>109</v>
      </c>
      <c r="E26" s="14"/>
      <c r="F26" s="14"/>
      <c r="G26" s="14"/>
      <c r="H26" s="14"/>
      <c r="I26" s="14"/>
      <c r="J26" s="14"/>
      <c r="K26" s="14"/>
      <c r="L26" s="14"/>
      <c r="M26" s="14"/>
      <c r="N26" s="14"/>
      <c r="O26" s="14"/>
      <c r="P26" s="14"/>
      <c r="Q26" s="14"/>
      <c r="R26" s="14"/>
      <c r="S26" s="14"/>
      <c r="T26" s="87"/>
      <c r="U26" s="31"/>
      <c r="V26" s="88"/>
      <c r="W26" s="11">
        <v>44676</v>
      </c>
      <c r="X26" s="14"/>
      <c r="Y26" s="14"/>
      <c r="Z26" s="14"/>
      <c r="AA26" s="14"/>
      <c r="AB26" s="14"/>
      <c r="AC26" s="14"/>
      <c r="AD26" s="14"/>
      <c r="AE26" s="14"/>
      <c r="AF26" s="14"/>
      <c r="AG26" s="14"/>
      <c r="AH26" s="14"/>
      <c r="AI26" s="14"/>
      <c r="AJ26" s="14"/>
      <c r="AK26" s="14"/>
      <c r="AL26" s="14"/>
      <c r="AM26" s="14"/>
      <c r="AN26" s="14"/>
      <c r="AO26" s="14"/>
    </row>
    <row r="27">
      <c r="A27" s="11">
        <v>44677</v>
      </c>
      <c r="B27" s="5">
        <f>1458.25-550</f>
        <v>908.25</v>
      </c>
      <c r="C27" s="5">
        <v>501.92000000000002</v>
      </c>
      <c r="D27" s="5">
        <v>102</v>
      </c>
      <c r="E27" s="5"/>
      <c r="F27" s="5"/>
      <c r="G27" s="5"/>
      <c r="H27" s="5"/>
      <c r="I27" s="5"/>
      <c r="J27" s="5"/>
      <c r="K27" s="5"/>
      <c r="L27" s="5"/>
      <c r="M27" s="5">
        <v>954</v>
      </c>
      <c r="N27" s="5"/>
      <c r="O27" s="5"/>
      <c r="P27" s="5"/>
      <c r="Q27" s="5"/>
      <c r="R27" s="5"/>
      <c r="S27" s="5"/>
      <c r="T27" s="87"/>
      <c r="U27" s="31"/>
      <c r="V27" s="88"/>
      <c r="W27" s="11">
        <v>44677</v>
      </c>
      <c r="X27" s="5"/>
      <c r="Y27" s="5"/>
      <c r="Z27" s="5"/>
      <c r="AA27" s="5"/>
      <c r="AB27" s="5"/>
      <c r="AC27" s="5"/>
      <c r="AD27" s="5"/>
      <c r="AE27" s="5"/>
      <c r="AF27" s="5"/>
      <c r="AG27" s="5"/>
      <c r="AH27" s="5"/>
      <c r="AI27" s="5"/>
      <c r="AJ27" s="5"/>
      <c r="AK27" s="5"/>
      <c r="AL27" s="5"/>
      <c r="AM27" s="5"/>
      <c r="AN27" s="5"/>
      <c r="AO27" s="5"/>
    </row>
    <row r="28">
      <c r="A28" s="11">
        <v>44678</v>
      </c>
      <c r="B28" s="14"/>
      <c r="C28" s="14"/>
      <c r="D28" s="14">
        <v>157</v>
      </c>
      <c r="E28" s="14"/>
      <c r="F28" s="14"/>
      <c r="G28" s="14"/>
      <c r="H28" s="14"/>
      <c r="I28" s="14"/>
      <c r="J28" s="14"/>
      <c r="K28" s="14"/>
      <c r="L28" s="14"/>
      <c r="M28" s="14"/>
      <c r="N28" s="14"/>
      <c r="O28" s="14"/>
      <c r="P28" s="14"/>
      <c r="Q28" s="14"/>
      <c r="R28" s="14"/>
      <c r="S28" s="14"/>
      <c r="T28" s="87"/>
      <c r="U28" s="31"/>
      <c r="V28" s="88"/>
      <c r="W28" s="11">
        <v>44678</v>
      </c>
      <c r="X28" s="14"/>
      <c r="Y28" s="14"/>
      <c r="Z28" s="14"/>
      <c r="AA28" s="14"/>
      <c r="AB28" s="14"/>
      <c r="AC28" s="14"/>
      <c r="AD28" s="14"/>
      <c r="AE28" s="14"/>
      <c r="AF28" s="14"/>
      <c r="AG28" s="14"/>
      <c r="AH28" s="14"/>
      <c r="AI28" s="14"/>
      <c r="AJ28" s="14"/>
      <c r="AK28" s="14"/>
      <c r="AL28" s="14"/>
      <c r="AM28" s="14"/>
      <c r="AN28" s="14"/>
      <c r="AO28" s="14"/>
    </row>
    <row r="29">
      <c r="A29" s="11">
        <v>44679</v>
      </c>
      <c r="B29" s="5"/>
      <c r="C29" s="5"/>
      <c r="D29" s="5">
        <f>30+70</f>
        <v>100</v>
      </c>
      <c r="E29" s="5">
        <v>760</v>
      </c>
      <c r="F29" s="5"/>
      <c r="G29" s="5"/>
      <c r="H29" s="5"/>
      <c r="I29" s="5"/>
      <c r="J29" s="5"/>
      <c r="K29" s="5"/>
      <c r="L29" s="5"/>
      <c r="M29" s="5"/>
      <c r="N29" s="5"/>
      <c r="O29" s="5"/>
      <c r="P29" s="5"/>
      <c r="Q29" s="5"/>
      <c r="R29" s="5"/>
      <c r="S29" s="5"/>
      <c r="T29" s="87"/>
      <c r="U29" s="31"/>
      <c r="V29" s="88"/>
      <c r="W29" s="11">
        <v>44679</v>
      </c>
      <c r="X29" s="5"/>
      <c r="Y29" s="5"/>
      <c r="Z29" s="5"/>
      <c r="AA29" s="5"/>
      <c r="AB29" s="5"/>
      <c r="AC29" s="5"/>
      <c r="AD29" s="5"/>
      <c r="AE29" s="5"/>
      <c r="AF29" s="5"/>
      <c r="AG29" s="5"/>
      <c r="AH29" s="5"/>
      <c r="AI29" s="5"/>
      <c r="AJ29" s="5"/>
      <c r="AK29" s="5"/>
      <c r="AL29" s="5"/>
      <c r="AM29" s="5"/>
      <c r="AN29" s="5"/>
      <c r="AO29" s="5"/>
    </row>
    <row r="30">
      <c r="A30" s="11">
        <v>44680</v>
      </c>
      <c r="B30" s="22"/>
      <c r="C30" s="22"/>
      <c r="D30" s="22">
        <f>113+25</f>
        <v>138</v>
      </c>
      <c r="E30" s="22"/>
      <c r="F30" s="22"/>
      <c r="G30" s="22"/>
      <c r="H30" s="22"/>
      <c r="I30" s="22"/>
      <c r="J30" s="22"/>
      <c r="K30" s="22"/>
      <c r="L30" s="22">
        <v>3262.1999999999998</v>
      </c>
      <c r="M30" s="22"/>
      <c r="N30" s="22"/>
      <c r="O30" s="22"/>
      <c r="P30" s="22"/>
      <c r="Q30" s="22"/>
      <c r="R30" s="22"/>
      <c r="S30" s="22"/>
      <c r="T30" s="87"/>
      <c r="U30" s="31"/>
      <c r="V30" s="88"/>
      <c r="W30" s="11">
        <v>44680</v>
      </c>
      <c r="X30" s="22"/>
      <c r="Y30" s="22"/>
      <c r="Z30" s="22"/>
      <c r="AA30" s="22"/>
      <c r="AB30" s="22"/>
      <c r="AC30" s="22"/>
      <c r="AD30" s="22"/>
      <c r="AE30" s="22"/>
      <c r="AF30" s="22"/>
      <c r="AG30" s="22"/>
      <c r="AH30" s="22"/>
      <c r="AI30" s="22"/>
      <c r="AJ30" s="22"/>
      <c r="AK30" s="22"/>
      <c r="AL30" s="22"/>
      <c r="AM30" s="22"/>
      <c r="AN30" s="22"/>
      <c r="AO30" s="22"/>
    </row>
    <row r="31">
      <c r="A31" s="11">
        <v>44681</v>
      </c>
      <c r="B31" s="5">
        <v>1300</v>
      </c>
      <c r="C31" s="5"/>
      <c r="D31" s="5"/>
      <c r="E31" s="5"/>
      <c r="F31" s="5"/>
      <c r="G31" s="5"/>
      <c r="H31" s="5"/>
      <c r="I31" s="5"/>
      <c r="J31" s="5"/>
      <c r="K31" s="5"/>
      <c r="L31" s="5"/>
      <c r="M31" s="5"/>
      <c r="N31" s="5"/>
      <c r="O31" s="5"/>
      <c r="P31" s="5"/>
      <c r="Q31" s="5"/>
      <c r="R31" s="5"/>
      <c r="S31" s="5"/>
      <c r="T31" s="87"/>
      <c r="U31" s="31"/>
      <c r="V31" s="88"/>
      <c r="W31" s="11">
        <v>44681</v>
      </c>
      <c r="X31" s="5"/>
      <c r="Y31" s="5"/>
      <c r="Z31" s="5"/>
      <c r="AA31" s="5"/>
      <c r="AB31" s="5"/>
      <c r="AC31" s="5"/>
      <c r="AD31" s="5"/>
      <c r="AE31" s="5"/>
      <c r="AF31" s="5"/>
      <c r="AG31" s="5"/>
      <c r="AH31" s="5"/>
      <c r="AI31" s="5"/>
      <c r="AJ31" s="5"/>
      <c r="AK31" s="5"/>
      <c r="AL31" s="5"/>
      <c r="AM31" s="5"/>
      <c r="AN31" s="5"/>
      <c r="AO31" s="5"/>
    </row>
    <row r="32">
      <c r="A32" s="11"/>
      <c r="B32" s="22"/>
      <c r="C32" s="22"/>
      <c r="D32" s="22"/>
      <c r="E32" s="22"/>
      <c r="F32" s="22"/>
      <c r="G32" s="22"/>
      <c r="H32" s="22"/>
      <c r="I32" s="22"/>
      <c r="J32" s="22"/>
      <c r="K32" s="22"/>
      <c r="L32" s="22"/>
      <c r="M32" s="22"/>
      <c r="N32" s="22"/>
      <c r="O32" s="22"/>
      <c r="P32" s="22"/>
      <c r="Q32" s="22"/>
      <c r="R32" s="22"/>
      <c r="S32" s="22"/>
      <c r="T32" s="87"/>
      <c r="U32" s="31"/>
      <c r="V32" s="88"/>
      <c r="W32" s="11"/>
      <c r="X32" s="22"/>
      <c r="Y32" s="22"/>
      <c r="Z32" s="22"/>
      <c r="AA32" s="22"/>
      <c r="AB32" s="22"/>
      <c r="AC32" s="22"/>
      <c r="AD32" s="22"/>
      <c r="AE32" s="22"/>
      <c r="AF32" s="22"/>
      <c r="AG32" s="22"/>
      <c r="AH32" s="22"/>
      <c r="AI32" s="22"/>
      <c r="AJ32" s="22"/>
      <c r="AK32" s="22"/>
      <c r="AL32" s="22"/>
      <c r="AM32" s="22"/>
      <c r="AN32" s="22"/>
      <c r="AO32" s="22"/>
    </row>
    <row r="33">
      <c r="A33" s="74"/>
      <c r="B33" s="75">
        <f t="shared" ref="B33:R33" si="110">SUM(B2:B32)</f>
        <v>4298.54</v>
      </c>
      <c r="C33" s="75">
        <f t="shared" si="110"/>
        <v>1134.26</v>
      </c>
      <c r="D33" s="75">
        <f t="shared" si="110"/>
        <v>1455</v>
      </c>
      <c r="E33" s="75">
        <f t="shared" si="110"/>
        <v>2355</v>
      </c>
      <c r="F33" s="75">
        <f t="shared" si="110"/>
        <v>0</v>
      </c>
      <c r="G33" s="75">
        <f t="shared" si="110"/>
        <v>0</v>
      </c>
      <c r="H33" s="75">
        <f t="shared" si="110"/>
        <v>0</v>
      </c>
      <c r="I33" s="75">
        <f t="shared" si="110"/>
        <v>0</v>
      </c>
      <c r="J33" s="75">
        <f t="shared" si="110"/>
        <v>4915.1300000000001</v>
      </c>
      <c r="K33" s="75">
        <f t="shared" si="110"/>
        <v>0</v>
      </c>
      <c r="L33" s="75">
        <f t="shared" si="110"/>
        <v>3262.1999999999998</v>
      </c>
      <c r="M33" s="75">
        <f t="shared" si="110"/>
        <v>6333</v>
      </c>
      <c r="N33" s="75">
        <f t="shared" si="110"/>
        <v>525</v>
      </c>
      <c r="O33" s="75">
        <f t="shared" si="110"/>
        <v>0</v>
      </c>
      <c r="P33" s="75">
        <f t="shared" si="110"/>
        <v>0</v>
      </c>
      <c r="Q33" s="75">
        <f t="shared" si="110"/>
        <v>0</v>
      </c>
      <c r="R33" s="75">
        <f t="shared" si="110"/>
        <v>1370</v>
      </c>
      <c r="S33" s="75">
        <f>SUM(B33:R33)</f>
        <v>25648.130000000001</v>
      </c>
      <c r="T33" s="87"/>
      <c r="U33" s="31"/>
      <c r="V33" s="88"/>
      <c r="W33" s="74"/>
      <c r="X33" s="75">
        <f t="shared" ref="X33:AN33" si="111">SUM(X2:X32)</f>
        <v>0</v>
      </c>
      <c r="Y33" s="75">
        <f t="shared" si="111"/>
        <v>0</v>
      </c>
      <c r="Z33" s="75">
        <f t="shared" si="111"/>
        <v>0</v>
      </c>
      <c r="AA33" s="75">
        <f t="shared" si="111"/>
        <v>0</v>
      </c>
      <c r="AB33" s="75">
        <f t="shared" si="111"/>
        <v>0</v>
      </c>
      <c r="AC33" s="75">
        <f t="shared" si="111"/>
        <v>0</v>
      </c>
      <c r="AD33" s="75">
        <f t="shared" si="111"/>
        <v>0</v>
      </c>
      <c r="AE33" s="75">
        <f t="shared" si="111"/>
        <v>0</v>
      </c>
      <c r="AF33" s="75">
        <f t="shared" si="111"/>
        <v>0</v>
      </c>
      <c r="AG33" s="75">
        <f t="shared" si="111"/>
        <v>0</v>
      </c>
      <c r="AH33" s="75">
        <f t="shared" si="111"/>
        <v>0</v>
      </c>
      <c r="AI33" s="75">
        <f t="shared" si="111"/>
        <v>0</v>
      </c>
      <c r="AJ33" s="75">
        <f t="shared" si="111"/>
        <v>0</v>
      </c>
      <c r="AK33" s="75">
        <f t="shared" si="111"/>
        <v>0</v>
      </c>
      <c r="AL33" s="75">
        <f t="shared" si="111"/>
        <v>0</v>
      </c>
      <c r="AM33" s="75">
        <f t="shared" si="111"/>
        <v>0</v>
      </c>
      <c r="AN33" s="75">
        <f t="shared" si="111"/>
        <v>0</v>
      </c>
      <c r="AO33" s="75">
        <f>SUM(X33:AN33)</f>
        <v>0</v>
      </c>
    </row>
    <row r="34">
      <c r="A34" s="84"/>
      <c r="B34" s="84"/>
      <c r="C34" s="84"/>
      <c r="D34" s="84"/>
      <c r="E34" s="84"/>
      <c r="F34" s="84"/>
      <c r="G34" s="84"/>
      <c r="H34" s="84"/>
      <c r="I34" s="84"/>
      <c r="J34" s="84"/>
      <c r="K34" s="84"/>
      <c r="L34" s="84"/>
      <c r="M34" s="84"/>
      <c r="N34" s="84"/>
      <c r="O34" s="84"/>
      <c r="P34" s="84"/>
      <c r="Q34" s="84"/>
      <c r="R34" s="84"/>
      <c r="S34" s="84"/>
      <c r="T34" s="31"/>
      <c r="U34" s="31"/>
      <c r="V34" s="31"/>
      <c r="W34" s="84"/>
      <c r="X34" s="84"/>
      <c r="Y34" s="84"/>
      <c r="Z34" s="84"/>
      <c r="AA34" s="84"/>
      <c r="AB34" s="84"/>
      <c r="AC34" s="84"/>
      <c r="AD34" s="84"/>
      <c r="AE34" s="84"/>
      <c r="AF34" s="84"/>
      <c r="AG34" s="84"/>
      <c r="AH34" s="84"/>
      <c r="AI34" s="84"/>
      <c r="AJ34" s="84"/>
      <c r="AK34" s="84"/>
      <c r="AL34" s="84"/>
      <c r="AM34" s="84"/>
      <c r="AN34" s="84"/>
      <c r="AO34" s="84"/>
    </row>
    <row r="35">
      <c r="A35" s="85" t="s">
        <v>0</v>
      </c>
      <c r="B35" s="85" t="s">
        <v>50</v>
      </c>
      <c r="C35" s="85" t="s">
        <v>13</v>
      </c>
      <c r="D35" s="85" t="s">
        <v>11</v>
      </c>
      <c r="E35" s="85" t="s">
        <v>51</v>
      </c>
      <c r="F35" s="85" t="s">
        <v>52</v>
      </c>
      <c r="G35" s="85" t="s">
        <v>53</v>
      </c>
      <c r="H35" s="85" t="s">
        <v>54</v>
      </c>
      <c r="I35" s="85" t="s">
        <v>55</v>
      </c>
      <c r="J35" s="85" t="s">
        <v>61</v>
      </c>
      <c r="K35" s="85" t="s">
        <v>74</v>
      </c>
      <c r="L35" s="86"/>
      <c r="M35" s="86"/>
      <c r="N35" s="86"/>
      <c r="O35" s="86"/>
      <c r="P35" s="86"/>
      <c r="Q35" s="86"/>
      <c r="R35" s="86"/>
      <c r="S35" s="86"/>
      <c r="T35" s="87"/>
      <c r="U35" s="31"/>
      <c r="V35" s="88"/>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44652</v>
      </c>
      <c r="B36" s="14"/>
      <c r="C36" s="14"/>
      <c r="D36" s="14"/>
      <c r="E36" s="14"/>
      <c r="F36" s="14"/>
      <c r="G36" s="14"/>
      <c r="H36" s="14"/>
      <c r="I36" s="14"/>
      <c r="J36" s="22"/>
      <c r="K36" s="22"/>
      <c r="L36" s="22"/>
      <c r="M36" s="22"/>
      <c r="N36" s="22"/>
      <c r="O36" s="22"/>
      <c r="P36" s="22"/>
      <c r="Q36" s="22"/>
      <c r="R36" s="22"/>
      <c r="S36" s="22"/>
      <c r="T36" s="87"/>
      <c r="U36" s="31"/>
      <c r="V36" s="88"/>
      <c r="W36" s="11">
        <v>44652</v>
      </c>
      <c r="X36" s="14"/>
      <c r="Y36" s="14"/>
      <c r="Z36" s="14"/>
      <c r="AA36" s="14"/>
      <c r="AB36" s="14"/>
      <c r="AC36" s="14"/>
      <c r="AD36" s="14"/>
      <c r="AE36" s="14"/>
      <c r="AF36" s="22"/>
      <c r="AG36" s="22"/>
      <c r="AH36" s="22"/>
      <c r="AI36" s="22"/>
      <c r="AJ36" s="22"/>
      <c r="AK36" s="22"/>
      <c r="AL36" s="22"/>
      <c r="AM36" s="22"/>
      <c r="AN36" s="22"/>
      <c r="AO36" s="22"/>
    </row>
    <row r="37">
      <c r="A37" s="11">
        <v>44653</v>
      </c>
      <c r="B37" s="5"/>
      <c r="C37" s="5"/>
      <c r="D37" s="5"/>
      <c r="E37" s="5"/>
      <c r="F37" s="5"/>
      <c r="G37" s="5"/>
      <c r="H37" s="5"/>
      <c r="I37" s="5"/>
      <c r="J37" s="5"/>
      <c r="K37" s="5"/>
      <c r="L37" s="5"/>
      <c r="M37" s="5"/>
      <c r="N37" s="5"/>
      <c r="O37" s="5"/>
      <c r="P37" s="5"/>
      <c r="Q37" s="5"/>
      <c r="R37" s="5"/>
      <c r="S37" s="5"/>
      <c r="T37" s="87"/>
      <c r="U37" s="31"/>
      <c r="V37" s="88"/>
      <c r="W37" s="11">
        <v>44653</v>
      </c>
      <c r="X37" s="5"/>
      <c r="Y37" s="5"/>
      <c r="Z37" s="5"/>
      <c r="AA37" s="5"/>
      <c r="AB37" s="5"/>
      <c r="AC37" s="5"/>
      <c r="AD37" s="5"/>
      <c r="AE37" s="5"/>
      <c r="AF37" s="5"/>
      <c r="AG37" s="5"/>
      <c r="AH37" s="5"/>
      <c r="AI37" s="5"/>
      <c r="AJ37" s="5"/>
      <c r="AK37" s="5"/>
      <c r="AL37" s="5"/>
      <c r="AM37" s="5"/>
      <c r="AN37" s="5"/>
      <c r="AO37" s="5"/>
    </row>
    <row r="38">
      <c r="A38" s="11">
        <v>44654</v>
      </c>
      <c r="B38" s="14"/>
      <c r="C38" s="14"/>
      <c r="D38" s="14"/>
      <c r="E38" s="14"/>
      <c r="F38" s="14"/>
      <c r="G38" s="14"/>
      <c r="H38" s="14"/>
      <c r="I38" s="14"/>
      <c r="J38" s="22"/>
      <c r="K38" s="22"/>
      <c r="L38" s="22"/>
      <c r="M38" s="22"/>
      <c r="N38" s="22"/>
      <c r="O38" s="22"/>
      <c r="P38" s="22"/>
      <c r="Q38" s="22"/>
      <c r="R38" s="22"/>
      <c r="S38" s="22"/>
      <c r="T38" s="87"/>
      <c r="U38" s="31"/>
      <c r="V38" s="88"/>
      <c r="W38" s="11">
        <v>44654</v>
      </c>
      <c r="X38" s="14"/>
      <c r="Y38" s="14"/>
      <c r="Z38" s="14"/>
      <c r="AA38" s="14"/>
      <c r="AB38" s="14"/>
      <c r="AC38" s="14"/>
      <c r="AD38" s="14"/>
      <c r="AE38" s="14"/>
      <c r="AF38" s="22"/>
      <c r="AG38" s="22"/>
      <c r="AH38" s="22"/>
      <c r="AI38" s="22"/>
      <c r="AJ38" s="22"/>
      <c r="AK38" s="22"/>
      <c r="AL38" s="22"/>
      <c r="AM38" s="22"/>
      <c r="AN38" s="22"/>
      <c r="AO38" s="22"/>
    </row>
    <row r="39">
      <c r="A39" s="11">
        <v>44655</v>
      </c>
      <c r="B39" s="5"/>
      <c r="C39" s="5"/>
      <c r="D39" s="5"/>
      <c r="E39" s="71"/>
      <c r="F39" s="5"/>
      <c r="G39" s="5"/>
      <c r="H39" s="5"/>
      <c r="I39" s="5"/>
      <c r="J39" s="5"/>
      <c r="K39" s="5"/>
      <c r="L39" s="5"/>
      <c r="M39" s="5"/>
      <c r="N39" s="5"/>
      <c r="O39" s="5"/>
      <c r="P39" s="5"/>
      <c r="Q39" s="5"/>
      <c r="R39" s="5"/>
      <c r="S39" s="5"/>
      <c r="T39" s="87"/>
      <c r="U39" s="31"/>
      <c r="V39" s="88"/>
      <c r="W39" s="11">
        <v>44655</v>
      </c>
      <c r="X39" s="5"/>
      <c r="Y39" s="5"/>
      <c r="Z39" s="5"/>
      <c r="AA39" s="71"/>
      <c r="AB39" s="5"/>
      <c r="AC39" s="5"/>
      <c r="AD39" s="5"/>
      <c r="AE39" s="5"/>
      <c r="AF39" s="5"/>
      <c r="AG39" s="5"/>
      <c r="AH39" s="5"/>
      <c r="AI39" s="5"/>
      <c r="AJ39" s="5"/>
      <c r="AK39" s="5"/>
      <c r="AL39" s="5"/>
      <c r="AM39" s="5"/>
      <c r="AN39" s="5"/>
      <c r="AO39" s="5"/>
    </row>
    <row r="40">
      <c r="A40" s="11">
        <v>44656</v>
      </c>
      <c r="B40" s="14">
        <v>27824.209999999999</v>
      </c>
      <c r="C40" s="14"/>
      <c r="D40" s="14"/>
      <c r="E40" s="14"/>
      <c r="F40" s="14"/>
      <c r="G40" s="14"/>
      <c r="H40" s="14"/>
      <c r="I40" s="14"/>
      <c r="J40" s="14"/>
      <c r="K40" s="14"/>
      <c r="L40" s="14"/>
      <c r="M40" s="14"/>
      <c r="N40" s="14"/>
      <c r="O40" s="14"/>
      <c r="P40" s="14"/>
      <c r="Q40" s="14"/>
      <c r="R40" s="14"/>
      <c r="S40" s="14"/>
      <c r="T40" s="87"/>
      <c r="U40" s="31"/>
      <c r="V40" s="88"/>
      <c r="W40" s="11">
        <v>44656</v>
      </c>
      <c r="X40" s="14"/>
      <c r="Y40" s="14"/>
      <c r="Z40" s="14"/>
      <c r="AA40" s="14"/>
      <c r="AB40" s="14"/>
      <c r="AC40" s="14"/>
      <c r="AD40" s="14"/>
      <c r="AE40" s="14"/>
      <c r="AF40" s="14"/>
      <c r="AG40" s="14"/>
      <c r="AH40" s="14"/>
      <c r="AI40" s="14"/>
      <c r="AJ40" s="14"/>
      <c r="AK40" s="14"/>
      <c r="AL40" s="14"/>
      <c r="AM40" s="14"/>
      <c r="AN40" s="14"/>
      <c r="AO40" s="14"/>
    </row>
    <row r="41">
      <c r="A41" s="11">
        <v>44657</v>
      </c>
      <c r="B41" s="5"/>
      <c r="C41" s="5"/>
      <c r="D41" s="5"/>
      <c r="E41" s="5">
        <v>8.1600000000000001</v>
      </c>
      <c r="F41" s="5"/>
      <c r="G41" s="5"/>
      <c r="H41" s="5"/>
      <c r="I41" s="5"/>
      <c r="J41" s="5"/>
      <c r="K41" s="5"/>
      <c r="L41" s="5"/>
      <c r="M41" s="5"/>
      <c r="N41" s="5"/>
      <c r="O41" s="5"/>
      <c r="P41" s="5"/>
      <c r="Q41" s="5"/>
      <c r="R41" s="5"/>
      <c r="S41" s="5"/>
      <c r="T41" s="87"/>
      <c r="U41" s="31"/>
      <c r="V41" s="88"/>
      <c r="W41" s="11">
        <v>44657</v>
      </c>
      <c r="X41" s="5"/>
      <c r="Y41" s="5"/>
      <c r="Z41" s="5"/>
      <c r="AA41" s="5"/>
      <c r="AB41" s="5"/>
      <c r="AC41" s="5"/>
      <c r="AD41" s="5"/>
      <c r="AE41" s="5"/>
      <c r="AF41" s="5"/>
      <c r="AG41" s="5"/>
      <c r="AH41" s="5"/>
      <c r="AI41" s="5"/>
      <c r="AJ41" s="5"/>
      <c r="AK41" s="5"/>
      <c r="AL41" s="5"/>
      <c r="AM41" s="5"/>
      <c r="AN41" s="5"/>
      <c r="AO41" s="5"/>
    </row>
    <row r="42">
      <c r="A42" s="11">
        <v>44658</v>
      </c>
      <c r="B42" s="14"/>
      <c r="C42" s="14"/>
      <c r="D42" s="14"/>
      <c r="E42" s="14"/>
      <c r="F42" s="14"/>
      <c r="G42" s="14"/>
      <c r="H42" s="14"/>
      <c r="I42" s="14"/>
      <c r="J42" s="14"/>
      <c r="K42" s="14"/>
      <c r="L42" s="14"/>
      <c r="M42" s="14"/>
      <c r="N42" s="14"/>
      <c r="O42" s="14"/>
      <c r="P42" s="14"/>
      <c r="Q42" s="14"/>
      <c r="R42" s="14"/>
      <c r="S42" s="14"/>
      <c r="T42" s="87"/>
      <c r="U42" s="31"/>
      <c r="V42" s="88"/>
      <c r="W42" s="11">
        <v>44658</v>
      </c>
      <c r="X42" s="14"/>
      <c r="Y42" s="14"/>
      <c r="Z42" s="14"/>
      <c r="AA42" s="14"/>
      <c r="AB42" s="14"/>
      <c r="AC42" s="14"/>
      <c r="AD42" s="14"/>
      <c r="AE42" s="14"/>
      <c r="AF42" s="14"/>
      <c r="AG42" s="14"/>
      <c r="AH42" s="14"/>
      <c r="AI42" s="14"/>
      <c r="AJ42" s="14"/>
      <c r="AK42" s="14"/>
      <c r="AL42" s="14"/>
      <c r="AM42" s="14"/>
      <c r="AN42" s="14"/>
      <c r="AO42" s="14"/>
    </row>
    <row r="43">
      <c r="A43" s="11">
        <v>44659</v>
      </c>
      <c r="B43" s="5"/>
      <c r="C43" s="5"/>
      <c r="D43" s="5"/>
      <c r="E43" s="5"/>
      <c r="F43" s="5"/>
      <c r="G43" s="5"/>
      <c r="H43" s="5"/>
      <c r="I43" s="5"/>
      <c r="J43" s="5"/>
      <c r="K43" s="5"/>
      <c r="L43" s="5"/>
      <c r="M43" s="5"/>
      <c r="N43" s="5"/>
      <c r="O43" s="5"/>
      <c r="P43" s="5"/>
      <c r="Q43" s="5"/>
      <c r="R43" s="5"/>
      <c r="S43" s="5"/>
      <c r="T43" s="87"/>
      <c r="U43" s="31"/>
      <c r="V43" s="88"/>
      <c r="W43" s="11">
        <v>44659</v>
      </c>
      <c r="X43" s="5"/>
      <c r="Y43" s="5"/>
      <c r="Z43" s="5"/>
      <c r="AA43" s="5"/>
      <c r="AB43" s="5"/>
      <c r="AC43" s="5"/>
      <c r="AD43" s="5"/>
      <c r="AE43" s="5"/>
      <c r="AF43" s="5"/>
      <c r="AG43" s="5"/>
      <c r="AH43" s="5"/>
      <c r="AI43" s="5"/>
      <c r="AJ43" s="5"/>
      <c r="AK43" s="5"/>
      <c r="AL43" s="5"/>
      <c r="AM43" s="5"/>
      <c r="AN43" s="5"/>
      <c r="AO43" s="5"/>
    </row>
    <row r="44">
      <c r="A44" s="11">
        <v>44660</v>
      </c>
      <c r="B44" s="79"/>
      <c r="C44" s="14"/>
      <c r="D44" s="14"/>
      <c r="E44" s="14"/>
      <c r="F44" s="14"/>
      <c r="G44" s="14"/>
      <c r="H44" s="14"/>
      <c r="I44" s="14"/>
      <c r="J44" s="14"/>
      <c r="K44" s="14"/>
      <c r="L44" s="14"/>
      <c r="M44" s="14"/>
      <c r="N44" s="14"/>
      <c r="O44" s="14"/>
      <c r="P44" s="14"/>
      <c r="Q44" s="14"/>
      <c r="R44" s="14"/>
      <c r="S44" s="14"/>
      <c r="T44" s="87"/>
      <c r="U44" s="31"/>
      <c r="V44" s="88"/>
      <c r="W44" s="11">
        <v>44660</v>
      </c>
      <c r="X44" s="79"/>
      <c r="Y44" s="14"/>
      <c r="Z44" s="14"/>
      <c r="AA44" s="14"/>
      <c r="AB44" s="14"/>
      <c r="AC44" s="14"/>
      <c r="AD44" s="14"/>
      <c r="AE44" s="14"/>
      <c r="AF44" s="14"/>
      <c r="AG44" s="14"/>
      <c r="AH44" s="14"/>
      <c r="AI44" s="14"/>
      <c r="AJ44" s="14"/>
      <c r="AK44" s="14"/>
      <c r="AL44" s="14"/>
      <c r="AM44" s="14"/>
      <c r="AN44" s="14"/>
      <c r="AO44" s="14"/>
    </row>
    <row r="45">
      <c r="A45" s="11">
        <v>44661</v>
      </c>
      <c r="B45" s="5"/>
      <c r="C45" s="5"/>
      <c r="D45" s="5">
        <v>3000</v>
      </c>
      <c r="E45" s="5"/>
      <c r="F45" s="5"/>
      <c r="G45" s="5"/>
      <c r="H45" s="5"/>
      <c r="I45" s="5"/>
      <c r="J45" s="5"/>
      <c r="K45" s="5"/>
      <c r="L45" s="5"/>
      <c r="M45" s="5"/>
      <c r="N45" s="5"/>
      <c r="O45" s="5"/>
      <c r="P45" s="5"/>
      <c r="Q45" s="5"/>
      <c r="R45" s="5"/>
      <c r="S45" s="5"/>
      <c r="T45" s="87"/>
      <c r="U45" s="31"/>
      <c r="V45" s="88"/>
      <c r="W45" s="11">
        <v>44661</v>
      </c>
      <c r="X45" s="5"/>
      <c r="Y45" s="5"/>
      <c r="Z45" s="5"/>
      <c r="AA45" s="5"/>
      <c r="AB45" s="5"/>
      <c r="AC45" s="5"/>
      <c r="AD45" s="5"/>
      <c r="AE45" s="5"/>
      <c r="AF45" s="5"/>
      <c r="AG45" s="5"/>
      <c r="AH45" s="5"/>
      <c r="AI45" s="5"/>
      <c r="AJ45" s="5"/>
      <c r="AK45" s="5"/>
      <c r="AL45" s="5"/>
      <c r="AM45" s="5"/>
      <c r="AN45" s="5"/>
      <c r="AO45" s="5"/>
    </row>
    <row r="46">
      <c r="A46" s="11">
        <v>44662</v>
      </c>
      <c r="B46" s="14"/>
      <c r="C46" s="14"/>
      <c r="D46" s="14"/>
      <c r="E46" s="14"/>
      <c r="F46" s="14"/>
      <c r="G46" s="14"/>
      <c r="H46" s="14"/>
      <c r="I46" s="14"/>
      <c r="J46" s="14"/>
      <c r="K46" s="14"/>
      <c r="L46" s="14"/>
      <c r="M46" s="14"/>
      <c r="N46" s="14"/>
      <c r="O46" s="14"/>
      <c r="P46" s="14"/>
      <c r="Q46" s="14"/>
      <c r="R46" s="14"/>
      <c r="S46" s="14"/>
      <c r="T46" s="87"/>
      <c r="U46" s="31"/>
      <c r="V46" s="88"/>
      <c r="W46" s="11">
        <v>44662</v>
      </c>
      <c r="X46" s="14"/>
      <c r="Y46" s="14"/>
      <c r="Z46" s="14"/>
      <c r="AA46" s="14"/>
      <c r="AB46" s="14"/>
      <c r="AC46" s="14"/>
      <c r="AD46" s="14"/>
      <c r="AE46" s="14"/>
      <c r="AF46" s="14"/>
      <c r="AG46" s="14"/>
      <c r="AH46" s="14"/>
      <c r="AI46" s="14"/>
      <c r="AJ46" s="14"/>
      <c r="AK46" s="14"/>
      <c r="AL46" s="14"/>
      <c r="AM46" s="14"/>
      <c r="AN46" s="14"/>
      <c r="AO46" s="14"/>
    </row>
    <row r="47">
      <c r="A47" s="11">
        <v>44663</v>
      </c>
      <c r="B47" s="5"/>
      <c r="C47" s="5"/>
      <c r="D47" s="5"/>
      <c r="E47" s="5"/>
      <c r="F47" s="5"/>
      <c r="G47" s="5"/>
      <c r="H47" s="5"/>
      <c r="I47" s="5"/>
      <c r="J47" s="5"/>
      <c r="K47" s="5"/>
      <c r="L47" s="5"/>
      <c r="M47" s="5"/>
      <c r="N47" s="5"/>
      <c r="O47" s="5"/>
      <c r="P47" s="5"/>
      <c r="Q47" s="5"/>
      <c r="R47" s="5"/>
      <c r="S47" s="5"/>
      <c r="T47" s="87"/>
      <c r="U47" s="31"/>
      <c r="V47" s="88"/>
      <c r="W47" s="11">
        <v>44663</v>
      </c>
      <c r="X47" s="5"/>
      <c r="Y47" s="5"/>
      <c r="Z47" s="5"/>
      <c r="AA47" s="5"/>
      <c r="AB47" s="5"/>
      <c r="AC47" s="5"/>
      <c r="AD47" s="5"/>
      <c r="AE47" s="5"/>
      <c r="AF47" s="5"/>
      <c r="AG47" s="5"/>
      <c r="AH47" s="5"/>
      <c r="AI47" s="5"/>
      <c r="AJ47" s="5"/>
      <c r="AK47" s="5"/>
      <c r="AL47" s="5"/>
      <c r="AM47" s="5"/>
      <c r="AN47" s="5"/>
      <c r="AO47" s="5"/>
    </row>
    <row r="48">
      <c r="A48" s="11">
        <v>44664</v>
      </c>
      <c r="B48" s="14"/>
      <c r="C48" s="14"/>
      <c r="D48" s="14"/>
      <c r="E48" s="14"/>
      <c r="F48" s="14"/>
      <c r="G48" s="14"/>
      <c r="H48" s="14"/>
      <c r="I48" s="14"/>
      <c r="J48" s="14"/>
      <c r="K48" s="14"/>
      <c r="L48" s="14"/>
      <c r="M48" s="14"/>
      <c r="N48" s="14"/>
      <c r="O48" s="14"/>
      <c r="P48" s="14"/>
      <c r="Q48" s="14"/>
      <c r="R48" s="14"/>
      <c r="S48" s="14"/>
      <c r="T48" s="87"/>
      <c r="U48" s="31"/>
      <c r="V48" s="88"/>
      <c r="W48" s="11">
        <v>44664</v>
      </c>
      <c r="X48" s="14"/>
      <c r="Y48" s="14"/>
      <c r="Z48" s="14"/>
      <c r="AA48" s="14"/>
      <c r="AB48" s="14"/>
      <c r="AC48" s="14"/>
      <c r="AD48" s="14"/>
      <c r="AE48" s="14"/>
      <c r="AF48" s="14"/>
      <c r="AG48" s="14"/>
      <c r="AH48" s="14"/>
      <c r="AI48" s="14"/>
      <c r="AJ48" s="14"/>
      <c r="AK48" s="14"/>
      <c r="AL48" s="14"/>
      <c r="AM48" s="14"/>
      <c r="AN48" s="14"/>
      <c r="AO48" s="14"/>
    </row>
    <row r="49">
      <c r="A49" s="11">
        <v>44665</v>
      </c>
      <c r="B49" s="5"/>
      <c r="C49" s="5"/>
      <c r="D49" s="5"/>
      <c r="E49" s="5"/>
      <c r="F49" s="5"/>
      <c r="G49" s="5"/>
      <c r="H49" s="5"/>
      <c r="I49" s="5"/>
      <c r="J49" s="5"/>
      <c r="K49" s="5"/>
      <c r="L49" s="5"/>
      <c r="M49" s="5"/>
      <c r="N49" s="5"/>
      <c r="O49" s="5"/>
      <c r="P49" s="5"/>
      <c r="Q49" s="5"/>
      <c r="R49" s="5"/>
      <c r="S49" s="5"/>
      <c r="T49" s="87"/>
      <c r="U49" s="31"/>
      <c r="V49" s="88"/>
      <c r="W49" s="11">
        <v>44665</v>
      </c>
      <c r="X49" s="5">
        <v>22809.240000000002</v>
      </c>
      <c r="Y49" s="5"/>
      <c r="Z49" s="5"/>
      <c r="AA49" s="5"/>
      <c r="AB49" s="5"/>
      <c r="AC49" s="5"/>
      <c r="AD49" s="5"/>
      <c r="AE49" s="5"/>
      <c r="AF49" s="5"/>
      <c r="AG49" s="5"/>
      <c r="AH49" s="5"/>
      <c r="AI49" s="5"/>
      <c r="AJ49" s="5"/>
      <c r="AK49" s="5"/>
      <c r="AL49" s="5"/>
      <c r="AM49" s="5"/>
      <c r="AN49" s="5"/>
      <c r="AO49" s="5"/>
    </row>
    <row r="50">
      <c r="A50" s="11">
        <v>44666</v>
      </c>
      <c r="B50" s="14"/>
      <c r="C50" s="14"/>
      <c r="D50" s="14"/>
      <c r="E50" s="14"/>
      <c r="F50" s="14"/>
      <c r="G50" s="14"/>
      <c r="H50" s="14"/>
      <c r="I50" s="14"/>
      <c r="J50" s="14"/>
      <c r="K50" s="14"/>
      <c r="L50" s="14"/>
      <c r="M50" s="14"/>
      <c r="N50" s="14"/>
      <c r="O50" s="14"/>
      <c r="P50" s="14"/>
      <c r="Q50" s="14"/>
      <c r="R50" s="14"/>
      <c r="S50" s="14"/>
      <c r="T50" s="87"/>
      <c r="U50" s="31"/>
      <c r="V50" s="88"/>
      <c r="W50" s="11">
        <v>44666</v>
      </c>
      <c r="X50" s="14"/>
      <c r="Y50" s="14"/>
      <c r="Z50" s="14"/>
      <c r="AA50" s="14"/>
      <c r="AB50" s="14"/>
      <c r="AC50" s="14"/>
      <c r="AD50" s="14"/>
      <c r="AE50" s="14"/>
      <c r="AF50" s="14"/>
      <c r="AG50" s="14"/>
      <c r="AH50" s="14"/>
      <c r="AI50" s="14"/>
      <c r="AJ50" s="14"/>
      <c r="AK50" s="14"/>
      <c r="AL50" s="14"/>
      <c r="AM50" s="14"/>
      <c r="AN50" s="14"/>
      <c r="AO50" s="14"/>
    </row>
    <row r="51">
      <c r="A51" s="11">
        <v>44667</v>
      </c>
      <c r="B51" s="5"/>
      <c r="C51" s="5"/>
      <c r="D51" s="5"/>
      <c r="E51" s="5"/>
      <c r="F51" s="5"/>
      <c r="G51" s="5"/>
      <c r="H51" s="5"/>
      <c r="I51" s="5"/>
      <c r="J51" s="5"/>
      <c r="K51" s="5"/>
      <c r="L51" s="5"/>
      <c r="M51" s="5"/>
      <c r="N51" s="5"/>
      <c r="O51" s="5"/>
      <c r="P51" s="5"/>
      <c r="Q51" s="5"/>
      <c r="R51" s="5"/>
      <c r="S51" s="5"/>
      <c r="T51" s="87"/>
      <c r="U51" s="31"/>
      <c r="V51" s="88"/>
      <c r="W51" s="11">
        <v>44667</v>
      </c>
      <c r="X51" s="5"/>
      <c r="Y51" s="5"/>
      <c r="Z51" s="5"/>
      <c r="AA51" s="5"/>
      <c r="AB51" s="5"/>
      <c r="AC51" s="5"/>
      <c r="AD51" s="5"/>
      <c r="AE51" s="5"/>
      <c r="AF51" s="5"/>
      <c r="AG51" s="5"/>
      <c r="AH51" s="5"/>
      <c r="AI51" s="5"/>
      <c r="AJ51" s="5"/>
      <c r="AK51" s="5"/>
      <c r="AL51" s="5"/>
      <c r="AM51" s="5"/>
      <c r="AN51" s="5"/>
      <c r="AO51" s="5"/>
    </row>
    <row r="52">
      <c r="A52" s="11">
        <v>44668</v>
      </c>
      <c r="B52" s="14"/>
      <c r="C52" s="14"/>
      <c r="D52" s="14"/>
      <c r="E52" s="14"/>
      <c r="F52" s="14"/>
      <c r="G52" s="14"/>
      <c r="H52" s="14"/>
      <c r="I52" s="14"/>
      <c r="J52" s="14"/>
      <c r="K52" s="14"/>
      <c r="L52" s="14"/>
      <c r="M52" s="14"/>
      <c r="N52" s="14"/>
      <c r="O52" s="14"/>
      <c r="P52" s="14"/>
      <c r="Q52" s="14"/>
      <c r="R52" s="14"/>
      <c r="S52" s="14"/>
      <c r="T52" s="87"/>
      <c r="U52" s="31"/>
      <c r="V52" s="88"/>
      <c r="W52" s="11">
        <v>44668</v>
      </c>
      <c r="X52" s="14"/>
      <c r="Y52" s="14"/>
      <c r="Z52" s="14"/>
      <c r="AA52" s="14"/>
      <c r="AB52" s="14"/>
      <c r="AC52" s="14"/>
      <c r="AD52" s="14"/>
      <c r="AE52" s="14"/>
      <c r="AF52" s="14"/>
      <c r="AG52" s="14"/>
      <c r="AH52" s="14"/>
      <c r="AI52" s="14"/>
      <c r="AJ52" s="14"/>
      <c r="AK52" s="14"/>
      <c r="AL52" s="14"/>
      <c r="AM52" s="14"/>
      <c r="AN52" s="14"/>
      <c r="AO52" s="14"/>
    </row>
    <row r="53">
      <c r="A53" s="11">
        <v>44669</v>
      </c>
      <c r="B53" s="5"/>
      <c r="C53" s="5"/>
      <c r="D53" s="5"/>
      <c r="E53" s="5"/>
      <c r="F53" s="5"/>
      <c r="G53" s="5"/>
      <c r="H53" s="5"/>
      <c r="I53" s="5"/>
      <c r="J53" s="5"/>
      <c r="K53" s="5"/>
      <c r="L53" s="5"/>
      <c r="M53" s="5"/>
      <c r="N53" s="5"/>
      <c r="O53" s="5"/>
      <c r="P53" s="5"/>
      <c r="Q53" s="5"/>
      <c r="R53" s="5"/>
      <c r="S53" s="5"/>
      <c r="T53" s="87"/>
      <c r="U53" s="31"/>
      <c r="V53" s="88"/>
      <c r="W53" s="11">
        <v>44669</v>
      </c>
      <c r="X53" s="5"/>
      <c r="Y53" s="5"/>
      <c r="Z53" s="5"/>
      <c r="AA53" s="5"/>
      <c r="AB53" s="5"/>
      <c r="AC53" s="5"/>
      <c r="AD53" s="5"/>
      <c r="AE53" s="5"/>
      <c r="AF53" s="5"/>
      <c r="AG53" s="5"/>
      <c r="AH53" s="5"/>
      <c r="AI53" s="5"/>
      <c r="AJ53" s="5"/>
      <c r="AK53" s="5"/>
      <c r="AL53" s="5"/>
      <c r="AM53" s="5"/>
      <c r="AN53" s="5"/>
      <c r="AO53" s="5"/>
    </row>
    <row r="54">
      <c r="A54" s="11">
        <v>44670</v>
      </c>
      <c r="B54" s="14"/>
      <c r="C54" s="14"/>
      <c r="D54" s="14"/>
      <c r="E54" s="14"/>
      <c r="F54" s="14"/>
      <c r="G54" s="14"/>
      <c r="H54" s="14"/>
      <c r="I54" s="14"/>
      <c r="J54" s="14"/>
      <c r="K54" s="14"/>
      <c r="L54" s="14"/>
      <c r="M54" s="14"/>
      <c r="N54" s="14"/>
      <c r="O54" s="14"/>
      <c r="P54" s="14"/>
      <c r="Q54" s="14"/>
      <c r="R54" s="14"/>
      <c r="S54" s="14"/>
      <c r="T54" s="87"/>
      <c r="U54" s="31"/>
      <c r="V54" s="88"/>
      <c r="W54" s="11">
        <v>44670</v>
      </c>
      <c r="X54" s="14"/>
      <c r="Y54" s="14"/>
      <c r="Z54" s="14"/>
      <c r="AA54" s="14"/>
      <c r="AB54" s="14"/>
      <c r="AC54" s="14"/>
      <c r="AD54" s="14"/>
      <c r="AE54" s="14"/>
      <c r="AF54" s="14"/>
      <c r="AG54" s="14"/>
      <c r="AH54" s="14"/>
      <c r="AI54" s="14"/>
      <c r="AJ54" s="14"/>
      <c r="AK54" s="14"/>
      <c r="AL54" s="14"/>
      <c r="AM54" s="14"/>
      <c r="AN54" s="14"/>
      <c r="AO54" s="14"/>
    </row>
    <row r="55">
      <c r="A55" s="11">
        <v>44671</v>
      </c>
      <c r="B55" s="5">
        <v>11965.139999999999</v>
      </c>
      <c r="C55" s="5"/>
      <c r="D55" s="5"/>
      <c r="E55" s="5"/>
      <c r="F55" s="5"/>
      <c r="G55" s="5"/>
      <c r="H55" s="5"/>
      <c r="I55" s="5"/>
      <c r="J55" s="5"/>
      <c r="K55" s="5"/>
      <c r="L55" s="5"/>
      <c r="M55" s="5"/>
      <c r="N55" s="5"/>
      <c r="O55" s="5"/>
      <c r="P55" s="5"/>
      <c r="Q55" s="5"/>
      <c r="R55" s="5"/>
      <c r="S55" s="5"/>
      <c r="T55" s="87"/>
      <c r="U55" s="31"/>
      <c r="V55" s="88"/>
      <c r="W55" s="11">
        <v>44671</v>
      </c>
      <c r="X55" s="5"/>
      <c r="Y55" s="5"/>
      <c r="Z55" s="5"/>
      <c r="AA55" s="5"/>
      <c r="AB55" s="5"/>
      <c r="AC55" s="5"/>
      <c r="AD55" s="5"/>
      <c r="AE55" s="5"/>
      <c r="AF55" s="5"/>
      <c r="AG55" s="5"/>
      <c r="AH55" s="5"/>
      <c r="AI55" s="5"/>
      <c r="AJ55" s="5"/>
      <c r="AK55" s="5"/>
      <c r="AL55" s="5"/>
      <c r="AM55" s="5"/>
      <c r="AN55" s="5"/>
      <c r="AO55" s="5"/>
    </row>
    <row r="56">
      <c r="A56" s="11">
        <v>44672</v>
      </c>
      <c r="B56" s="14"/>
      <c r="C56" s="14"/>
      <c r="D56" s="14"/>
      <c r="E56" s="14"/>
      <c r="F56" s="14"/>
      <c r="G56" s="14"/>
      <c r="H56" s="14"/>
      <c r="I56" s="14"/>
      <c r="J56" s="14"/>
      <c r="K56" s="14"/>
      <c r="L56" s="14"/>
      <c r="M56" s="14"/>
      <c r="N56" s="14"/>
      <c r="O56" s="14"/>
      <c r="P56" s="14"/>
      <c r="Q56" s="14"/>
      <c r="R56" s="14"/>
      <c r="S56" s="14"/>
      <c r="T56" s="87"/>
      <c r="U56" s="31"/>
      <c r="V56" s="88"/>
      <c r="W56" s="11">
        <v>44672</v>
      </c>
      <c r="X56" s="14"/>
      <c r="Y56" s="14"/>
      <c r="Z56" s="14"/>
      <c r="AA56" s="14"/>
      <c r="AB56" s="14"/>
      <c r="AC56" s="14"/>
      <c r="AD56" s="14"/>
      <c r="AE56" s="14"/>
      <c r="AF56" s="14"/>
      <c r="AG56" s="14"/>
      <c r="AH56" s="14"/>
      <c r="AI56" s="14"/>
      <c r="AJ56" s="14"/>
      <c r="AK56" s="14"/>
      <c r="AL56" s="14"/>
      <c r="AM56" s="14"/>
      <c r="AN56" s="14"/>
      <c r="AO56" s="14"/>
    </row>
    <row r="57">
      <c r="A57" s="11">
        <v>44673</v>
      </c>
      <c r="B57" s="5"/>
      <c r="C57" s="5"/>
      <c r="D57" s="5"/>
      <c r="E57" s="5"/>
      <c r="F57" s="5"/>
      <c r="G57" s="5"/>
      <c r="H57" s="5"/>
      <c r="I57" s="5"/>
      <c r="J57" s="5"/>
      <c r="K57" s="5"/>
      <c r="L57" s="5"/>
      <c r="M57" s="5"/>
      <c r="N57" s="5"/>
      <c r="O57" s="5"/>
      <c r="P57" s="5"/>
      <c r="Q57" s="5"/>
      <c r="R57" s="5"/>
      <c r="S57" s="5"/>
      <c r="T57" s="87"/>
      <c r="U57" s="31"/>
      <c r="V57" s="88"/>
      <c r="W57" s="11">
        <v>44673</v>
      </c>
      <c r="X57" s="5"/>
      <c r="Y57" s="5"/>
      <c r="Z57" s="5"/>
      <c r="AA57" s="5"/>
      <c r="AB57" s="5"/>
      <c r="AC57" s="5"/>
      <c r="AD57" s="5"/>
      <c r="AE57" s="5"/>
      <c r="AF57" s="5"/>
      <c r="AG57" s="5"/>
      <c r="AH57" s="5"/>
      <c r="AI57" s="5"/>
      <c r="AJ57" s="5"/>
      <c r="AK57" s="5"/>
      <c r="AL57" s="5"/>
      <c r="AM57" s="5"/>
      <c r="AN57" s="5"/>
      <c r="AO57" s="5"/>
    </row>
    <row r="58">
      <c r="A58" s="11">
        <v>44674</v>
      </c>
      <c r="B58" s="14"/>
      <c r="C58" s="14"/>
      <c r="D58" s="14"/>
      <c r="E58" s="14"/>
      <c r="F58" s="14"/>
      <c r="G58" s="14"/>
      <c r="H58" s="14"/>
      <c r="I58" s="14"/>
      <c r="J58" s="14"/>
      <c r="K58" s="14"/>
      <c r="L58" s="14"/>
      <c r="M58" s="14"/>
      <c r="N58" s="14"/>
      <c r="O58" s="14"/>
      <c r="P58" s="14"/>
      <c r="Q58" s="14"/>
      <c r="R58" s="14"/>
      <c r="S58" s="14"/>
      <c r="T58" s="87"/>
      <c r="U58" s="31"/>
      <c r="V58" s="88"/>
      <c r="W58" s="11">
        <v>44674</v>
      </c>
      <c r="X58" s="14"/>
      <c r="Y58" s="14"/>
      <c r="Z58" s="14"/>
      <c r="AA58" s="14"/>
      <c r="AB58" s="14"/>
      <c r="AC58" s="14"/>
      <c r="AD58" s="14"/>
      <c r="AE58" s="14"/>
      <c r="AF58" s="14"/>
      <c r="AG58" s="14"/>
      <c r="AH58" s="14"/>
      <c r="AI58" s="14"/>
      <c r="AJ58" s="14"/>
      <c r="AK58" s="14"/>
      <c r="AL58" s="14"/>
      <c r="AM58" s="14"/>
      <c r="AN58" s="14"/>
      <c r="AO58" s="14"/>
    </row>
    <row r="59">
      <c r="A59" s="11">
        <v>44675</v>
      </c>
      <c r="B59" s="5"/>
      <c r="C59" s="5"/>
      <c r="D59" s="5"/>
      <c r="E59" s="5"/>
      <c r="F59" s="5"/>
      <c r="G59" s="5"/>
      <c r="H59" s="5"/>
      <c r="I59" s="5"/>
      <c r="J59" s="5"/>
      <c r="K59" s="5"/>
      <c r="L59" s="5"/>
      <c r="M59" s="5"/>
      <c r="N59" s="5"/>
      <c r="O59" s="5"/>
      <c r="P59" s="5"/>
      <c r="Q59" s="5"/>
      <c r="R59" s="5"/>
      <c r="S59" s="5"/>
      <c r="T59" s="87"/>
      <c r="U59" s="31"/>
      <c r="V59" s="88"/>
      <c r="W59" s="11">
        <v>44675</v>
      </c>
      <c r="X59" s="5"/>
      <c r="Y59" s="5"/>
      <c r="Z59" s="5"/>
      <c r="AA59" s="5"/>
      <c r="AB59" s="5"/>
      <c r="AC59" s="5"/>
      <c r="AD59" s="5"/>
      <c r="AE59" s="5"/>
      <c r="AF59" s="5"/>
      <c r="AG59" s="5"/>
      <c r="AH59" s="5"/>
      <c r="AI59" s="5"/>
      <c r="AJ59" s="5"/>
      <c r="AK59" s="5"/>
      <c r="AL59" s="5"/>
      <c r="AM59" s="5"/>
      <c r="AN59" s="5"/>
      <c r="AO59" s="5"/>
    </row>
    <row r="60">
      <c r="A60" s="11">
        <v>44676</v>
      </c>
      <c r="B60" s="14">
        <v>5878</v>
      </c>
      <c r="C60" s="14"/>
      <c r="D60" s="14"/>
      <c r="E60" s="14"/>
      <c r="F60" s="14"/>
      <c r="G60" s="14"/>
      <c r="H60" s="14"/>
      <c r="I60" s="14"/>
      <c r="J60" s="14"/>
      <c r="K60" s="14"/>
      <c r="L60" s="14"/>
      <c r="M60" s="14"/>
      <c r="N60" s="14"/>
      <c r="O60" s="14"/>
      <c r="P60" s="14"/>
      <c r="Q60" s="14"/>
      <c r="R60" s="14"/>
      <c r="S60" s="14"/>
      <c r="T60" s="87"/>
      <c r="U60" s="31"/>
      <c r="V60" s="88"/>
      <c r="W60" s="11">
        <v>44676</v>
      </c>
      <c r="X60" s="14"/>
      <c r="Y60" s="14"/>
      <c r="Z60" s="14"/>
      <c r="AA60" s="14"/>
      <c r="AB60" s="14"/>
      <c r="AC60" s="14"/>
      <c r="AD60" s="14"/>
      <c r="AE60" s="14"/>
      <c r="AF60" s="14"/>
      <c r="AG60" s="14"/>
      <c r="AH60" s="14"/>
      <c r="AI60" s="14"/>
      <c r="AJ60" s="14"/>
      <c r="AK60" s="14"/>
      <c r="AL60" s="14"/>
      <c r="AM60" s="14"/>
      <c r="AN60" s="14"/>
      <c r="AO60" s="14"/>
    </row>
    <row r="61">
      <c r="A61" s="11">
        <v>44677</v>
      </c>
      <c r="B61" s="5"/>
      <c r="C61" s="5"/>
      <c r="D61" s="5"/>
      <c r="E61" s="5"/>
      <c r="F61" s="5"/>
      <c r="G61" s="5"/>
      <c r="H61" s="5"/>
      <c r="I61" s="5"/>
      <c r="J61" s="5"/>
      <c r="K61" s="5"/>
      <c r="L61" s="5"/>
      <c r="M61" s="5"/>
      <c r="N61" s="5"/>
      <c r="O61" s="5"/>
      <c r="P61" s="5"/>
      <c r="Q61" s="5"/>
      <c r="R61" s="5"/>
      <c r="S61" s="5"/>
      <c r="T61" s="87"/>
      <c r="U61" s="31"/>
      <c r="V61" s="88"/>
      <c r="W61" s="11">
        <v>44677</v>
      </c>
      <c r="X61" s="5"/>
      <c r="Y61" s="5"/>
      <c r="Z61" s="5"/>
      <c r="AA61" s="5"/>
      <c r="AB61" s="5"/>
      <c r="AC61" s="5"/>
      <c r="AD61" s="5"/>
      <c r="AE61" s="5"/>
      <c r="AF61" s="5"/>
      <c r="AG61" s="5"/>
      <c r="AH61" s="5"/>
      <c r="AI61" s="5"/>
      <c r="AJ61" s="5"/>
      <c r="AK61" s="5"/>
      <c r="AL61" s="5"/>
      <c r="AM61" s="5"/>
      <c r="AN61" s="5"/>
      <c r="AO61" s="5"/>
    </row>
    <row r="62">
      <c r="A62" s="11">
        <v>44678</v>
      </c>
      <c r="B62" s="14"/>
      <c r="C62" s="14"/>
      <c r="D62" s="14"/>
      <c r="E62" s="14"/>
      <c r="F62" s="14"/>
      <c r="G62" s="14"/>
      <c r="H62" s="14"/>
      <c r="I62" s="14"/>
      <c r="J62" s="14"/>
      <c r="K62" s="14"/>
      <c r="L62" s="14"/>
      <c r="M62" s="14"/>
      <c r="N62" s="14"/>
      <c r="O62" s="14"/>
      <c r="P62" s="14"/>
      <c r="Q62" s="14"/>
      <c r="R62" s="14"/>
      <c r="S62" s="14"/>
      <c r="T62" s="87"/>
      <c r="U62" s="31"/>
      <c r="V62" s="88"/>
      <c r="W62" s="11">
        <v>44678</v>
      </c>
      <c r="X62" s="14"/>
      <c r="Y62" s="14"/>
      <c r="Z62" s="14"/>
      <c r="AA62" s="14"/>
      <c r="AB62" s="14"/>
      <c r="AC62" s="14"/>
      <c r="AD62" s="14"/>
      <c r="AE62" s="14"/>
      <c r="AF62" s="14"/>
      <c r="AG62" s="14"/>
      <c r="AH62" s="14"/>
      <c r="AI62" s="14"/>
      <c r="AJ62" s="14"/>
      <c r="AK62" s="14"/>
      <c r="AL62" s="14"/>
      <c r="AM62" s="14"/>
      <c r="AN62" s="14"/>
      <c r="AO62" s="14"/>
    </row>
    <row r="63">
      <c r="A63" s="11">
        <v>44679</v>
      </c>
      <c r="B63" s="5"/>
      <c r="C63" s="5"/>
      <c r="D63" s="5"/>
      <c r="E63" s="5"/>
      <c r="F63" s="5"/>
      <c r="G63" s="5"/>
      <c r="H63" s="5"/>
      <c r="I63" s="5"/>
      <c r="J63" s="5"/>
      <c r="K63" s="5"/>
      <c r="L63" s="5"/>
      <c r="M63" s="5"/>
      <c r="N63" s="5"/>
      <c r="O63" s="5"/>
      <c r="P63" s="5"/>
      <c r="Q63" s="5"/>
      <c r="R63" s="48"/>
      <c r="S63" s="5"/>
      <c r="T63" s="87"/>
      <c r="U63" s="31"/>
      <c r="V63" s="88"/>
      <c r="W63" s="11">
        <v>44679</v>
      </c>
      <c r="X63" s="5">
        <v>12527.17</v>
      </c>
      <c r="Y63" s="5"/>
      <c r="Z63" s="5"/>
      <c r="AA63" s="5"/>
      <c r="AB63" s="5"/>
      <c r="AC63" s="5"/>
      <c r="AD63" s="5"/>
      <c r="AE63" s="5"/>
      <c r="AF63" s="5"/>
      <c r="AG63" s="5"/>
      <c r="AH63" s="5"/>
      <c r="AI63" s="5"/>
      <c r="AJ63" s="5"/>
      <c r="AK63" s="5"/>
      <c r="AL63" s="5"/>
      <c r="AM63" s="5"/>
      <c r="AN63" s="48"/>
      <c r="AO63" s="5"/>
    </row>
    <row r="64">
      <c r="A64" s="11">
        <v>44680</v>
      </c>
      <c r="B64" s="22"/>
      <c r="C64" s="22"/>
      <c r="D64" s="22"/>
      <c r="E64" s="22"/>
      <c r="F64" s="22"/>
      <c r="G64" s="22"/>
      <c r="H64" s="22"/>
      <c r="I64" s="22"/>
      <c r="J64" s="14"/>
      <c r="K64" s="14"/>
      <c r="L64" s="14"/>
      <c r="M64" s="14"/>
      <c r="N64" s="14"/>
      <c r="O64" s="14"/>
      <c r="P64" s="14"/>
      <c r="Q64" s="14"/>
      <c r="R64" s="80"/>
      <c r="S64" s="14"/>
      <c r="T64" s="87"/>
      <c r="U64" s="31"/>
      <c r="V64" s="88"/>
      <c r="W64" s="11">
        <v>44680</v>
      </c>
      <c r="X64" s="22"/>
      <c r="Y64" s="22"/>
      <c r="Z64" s="22"/>
      <c r="AA64" s="22"/>
      <c r="AB64" s="22"/>
      <c r="AC64" s="22"/>
      <c r="AD64" s="22"/>
      <c r="AE64" s="22"/>
      <c r="AF64" s="14"/>
      <c r="AG64" s="14"/>
      <c r="AH64" s="14"/>
      <c r="AI64" s="14"/>
      <c r="AJ64" s="14"/>
      <c r="AK64" s="14"/>
      <c r="AL64" s="14"/>
      <c r="AM64" s="14"/>
      <c r="AN64" s="80"/>
      <c r="AO64" s="14"/>
    </row>
    <row r="65">
      <c r="A65" s="11">
        <v>44681</v>
      </c>
      <c r="B65" s="5"/>
      <c r="C65" s="5"/>
      <c r="D65" s="5"/>
      <c r="E65" s="5">
        <v>16.449999999999999</v>
      </c>
      <c r="F65" s="5"/>
      <c r="G65" s="5"/>
      <c r="H65" s="5"/>
      <c r="I65" s="5">
        <v>32.909999999999997</v>
      </c>
      <c r="J65" s="5"/>
      <c r="K65" s="5"/>
      <c r="L65" s="5"/>
      <c r="M65" s="5"/>
      <c r="N65" s="5"/>
      <c r="O65" s="5"/>
      <c r="P65" s="5"/>
      <c r="Q65" s="5"/>
      <c r="R65" s="48"/>
      <c r="S65" s="5"/>
      <c r="T65" s="87"/>
      <c r="U65" s="31"/>
      <c r="V65" s="88"/>
      <c r="W65" s="11">
        <v>44681</v>
      </c>
      <c r="X65" s="5"/>
      <c r="Y65" s="5"/>
      <c r="Z65" s="5"/>
      <c r="AA65" s="5"/>
      <c r="AB65" s="5"/>
      <c r="AC65" s="5"/>
      <c r="AD65" s="5"/>
      <c r="AE65" s="5"/>
      <c r="AF65" s="5"/>
      <c r="AG65" s="5"/>
      <c r="AH65" s="5"/>
      <c r="AI65" s="5"/>
      <c r="AJ65" s="5"/>
      <c r="AK65" s="5"/>
      <c r="AL65" s="5"/>
      <c r="AM65" s="5"/>
      <c r="AN65" s="48"/>
      <c r="AO65" s="5"/>
    </row>
    <row r="66">
      <c r="A66" s="11"/>
      <c r="B66" s="22"/>
      <c r="C66" s="22"/>
      <c r="D66" s="22"/>
      <c r="E66" s="22"/>
      <c r="F66" s="22"/>
      <c r="G66" s="22"/>
      <c r="H66" s="22"/>
      <c r="I66" s="22"/>
      <c r="J66" s="14"/>
      <c r="K66" s="14"/>
      <c r="L66" s="14"/>
      <c r="M66" s="14"/>
      <c r="N66" s="14"/>
      <c r="O66" s="14"/>
      <c r="P66" s="14"/>
      <c r="Q66" s="14"/>
      <c r="R66" s="80"/>
      <c r="S66" s="14"/>
      <c r="T66" s="87"/>
      <c r="U66" s="31"/>
      <c r="V66" s="88"/>
      <c r="W66" s="11">
        <v>44652</v>
      </c>
      <c r="X66" s="22"/>
      <c r="Y66" s="22"/>
      <c r="Z66" s="22"/>
      <c r="AA66" s="22"/>
      <c r="AB66" s="22"/>
      <c r="AC66" s="22"/>
      <c r="AD66" s="22"/>
      <c r="AE66" s="22"/>
      <c r="AF66" s="14"/>
      <c r="AG66" s="14"/>
      <c r="AH66" s="14"/>
      <c r="AI66" s="14"/>
      <c r="AJ66" s="14"/>
      <c r="AK66" s="14"/>
      <c r="AL66" s="14"/>
      <c r="AM66" s="14"/>
      <c r="AN66" s="80"/>
      <c r="AO66" s="14"/>
    </row>
    <row r="67">
      <c r="A67" s="74"/>
      <c r="B67" s="75">
        <f t="shared" ref="B67:R67" si="112">SUM(B36:B66)</f>
        <v>45667.349999999999</v>
      </c>
      <c r="C67" s="75">
        <f t="shared" si="112"/>
        <v>0</v>
      </c>
      <c r="D67" s="75">
        <f t="shared" si="112"/>
        <v>3000</v>
      </c>
      <c r="E67" s="75">
        <f t="shared" si="112"/>
        <v>24.609999999999999</v>
      </c>
      <c r="F67" s="75">
        <f t="shared" si="112"/>
        <v>0</v>
      </c>
      <c r="G67" s="75">
        <f t="shared" si="112"/>
        <v>0</v>
      </c>
      <c r="H67" s="75">
        <f t="shared" si="112"/>
        <v>0</v>
      </c>
      <c r="I67" s="75">
        <f t="shared" si="112"/>
        <v>32.909999999999997</v>
      </c>
      <c r="J67" s="75">
        <f t="shared" si="112"/>
        <v>0</v>
      </c>
      <c r="K67" s="75">
        <f t="shared" si="112"/>
        <v>0</v>
      </c>
      <c r="L67" s="75">
        <f t="shared" si="112"/>
        <v>0</v>
      </c>
      <c r="M67" s="75">
        <f t="shared" si="112"/>
        <v>0</v>
      </c>
      <c r="N67" s="75">
        <f t="shared" si="112"/>
        <v>0</v>
      </c>
      <c r="O67" s="75">
        <f t="shared" si="112"/>
        <v>0</v>
      </c>
      <c r="P67" s="75">
        <f t="shared" si="112"/>
        <v>0</v>
      </c>
      <c r="Q67" s="75">
        <f t="shared" si="112"/>
        <v>0</v>
      </c>
      <c r="R67" s="75">
        <f t="shared" si="112"/>
        <v>0</v>
      </c>
      <c r="S67" s="75">
        <f>SUM(B67:R67)</f>
        <v>48724.870000000003</v>
      </c>
      <c r="T67" s="87"/>
      <c r="U67" s="31"/>
      <c r="V67" s="88"/>
      <c r="W67" s="74"/>
      <c r="X67" s="75">
        <f t="shared" ref="X67:AN67" si="113">SUM(X36:X66)</f>
        <v>35336.410000000003</v>
      </c>
      <c r="Y67" s="75">
        <f t="shared" si="113"/>
        <v>0</v>
      </c>
      <c r="Z67" s="75">
        <f t="shared" si="113"/>
        <v>0</v>
      </c>
      <c r="AA67" s="75">
        <f t="shared" si="113"/>
        <v>0</v>
      </c>
      <c r="AB67" s="75">
        <f t="shared" si="113"/>
        <v>0</v>
      </c>
      <c r="AC67" s="75">
        <f t="shared" si="113"/>
        <v>0</v>
      </c>
      <c r="AD67" s="75">
        <f t="shared" si="113"/>
        <v>0</v>
      </c>
      <c r="AE67" s="75">
        <f t="shared" si="113"/>
        <v>0</v>
      </c>
      <c r="AF67" s="75">
        <f t="shared" si="113"/>
        <v>0</v>
      </c>
      <c r="AG67" s="75">
        <f t="shared" si="113"/>
        <v>0</v>
      </c>
      <c r="AH67" s="75">
        <f t="shared" si="113"/>
        <v>0</v>
      </c>
      <c r="AI67" s="75">
        <f t="shared" si="113"/>
        <v>0</v>
      </c>
      <c r="AJ67" s="75">
        <f t="shared" si="113"/>
        <v>0</v>
      </c>
      <c r="AK67" s="75">
        <f t="shared" si="113"/>
        <v>0</v>
      </c>
      <c r="AL67" s="75">
        <f t="shared" si="113"/>
        <v>0</v>
      </c>
      <c r="AM67" s="75">
        <f t="shared" si="113"/>
        <v>0</v>
      </c>
      <c r="AN67" s="75">
        <f t="shared" si="113"/>
        <v>0</v>
      </c>
      <c r="AO67" s="75">
        <f>SUM(X67:AN67)</f>
        <v>35336.410000000003</v>
      </c>
    </row>
    <row r="68">
      <c r="A68" s="84"/>
      <c r="B68" s="84"/>
      <c r="C68" s="84"/>
      <c r="D68" s="84"/>
      <c r="E68" s="84"/>
      <c r="F68" s="84"/>
      <c r="G68" s="84"/>
      <c r="H68" s="84"/>
      <c r="I68" s="84"/>
      <c r="J68" s="84"/>
      <c r="K68" s="84"/>
      <c r="L68" s="84"/>
      <c r="M68" s="84"/>
      <c r="N68" s="84"/>
      <c r="O68" s="84"/>
      <c r="P68" s="84"/>
      <c r="Q68" s="84"/>
      <c r="R68" s="84"/>
      <c r="S68" s="84"/>
      <c r="T68" s="31"/>
      <c r="U68" s="31"/>
      <c r="V68" s="31"/>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c r="T69" s="87"/>
      <c r="U69" s="31"/>
      <c r="V69" s="31"/>
      <c r="W69" s="31"/>
      <c r="X69" s="31"/>
      <c r="Y69" s="31"/>
      <c r="Z69" s="31"/>
      <c r="AA69" s="31"/>
      <c r="AB69" s="31"/>
      <c r="AC69" s="31"/>
      <c r="AD69" s="31"/>
      <c r="AE69" s="31"/>
      <c r="AF69" s="31"/>
      <c r="AG69" s="31"/>
      <c r="AH69" s="31"/>
      <c r="AI69" s="31"/>
      <c r="AJ69" s="31"/>
      <c r="AK69" s="31"/>
      <c r="AL69" s="31"/>
      <c r="AM69" s="31"/>
      <c r="AN69" s="31"/>
      <c r="AO69" s="31"/>
    </row>
    <row r="70">
      <c r="A70" s="5" t="s">
        <v>68</v>
      </c>
      <c r="B70" s="71">
        <f>21000-344+2039+(23000-23000)-344-344+8164.1-4600-3300+(3000-3000)+80000+2000+(5500-5500)+(5650-5100)+1000+300</f>
        <v>106121.10000000001</v>
      </c>
      <c r="C70" s="5"/>
      <c r="D70" s="5"/>
      <c r="E70" s="5"/>
      <c r="F70" s="5"/>
      <c r="G70" s="5"/>
      <c r="H70" s="5"/>
      <c r="I70" s="5"/>
      <c r="J70" s="5"/>
      <c r="K70" s="5"/>
      <c r="L70" s="5"/>
      <c r="M70" s="5"/>
      <c r="N70" s="5"/>
      <c r="O70" s="5"/>
      <c r="P70" s="5"/>
      <c r="Q70" s="5"/>
      <c r="R70" s="5"/>
      <c r="S70" s="5"/>
      <c r="T70" s="87"/>
      <c r="U70" s="31"/>
      <c r="V70" s="31"/>
      <c r="W70" s="31"/>
      <c r="X70" s="31"/>
      <c r="Y70" s="31"/>
      <c r="Z70" s="31"/>
      <c r="AA70" s="31"/>
      <c r="AB70" s="31"/>
      <c r="AC70" s="31"/>
      <c r="AD70" s="31"/>
      <c r="AE70" s="31"/>
      <c r="AF70" s="31"/>
      <c r="AG70" s="31"/>
      <c r="AH70" s="31"/>
      <c r="AI70" s="31"/>
      <c r="AJ70" s="31"/>
      <c r="AK70" s="31"/>
      <c r="AL70" s="31"/>
      <c r="AM70" s="31"/>
      <c r="AN70" s="31"/>
      <c r="AO70" s="31"/>
    </row>
    <row r="71">
      <c r="A71" s="5" t="s">
        <v>76</v>
      </c>
      <c r="B71" s="5"/>
      <c r="C71" s="5"/>
      <c r="D71" s="5"/>
      <c r="E71" s="5"/>
      <c r="F71" s="5"/>
      <c r="G71" s="5"/>
      <c r="H71" s="5"/>
      <c r="I71" s="5"/>
      <c r="J71" s="5"/>
      <c r="K71" s="5"/>
      <c r="L71" s="5"/>
      <c r="M71" s="5"/>
      <c r="N71" s="5"/>
      <c r="O71" s="5"/>
      <c r="P71" s="5"/>
      <c r="Q71" s="5"/>
      <c r="R71" s="5"/>
      <c r="S71" s="5"/>
      <c r="T71" s="87"/>
      <c r="U71" s="31"/>
      <c r="V71" s="31"/>
      <c r="W71" s="31"/>
      <c r="X71" s="31"/>
      <c r="Y71" s="31"/>
      <c r="Z71" s="31"/>
      <c r="AA71" s="31"/>
      <c r="AB71" s="31"/>
      <c r="AC71" s="31"/>
      <c r="AD71" s="31"/>
      <c r="AE71" s="31"/>
      <c r="AF71" s="31"/>
      <c r="AG71" s="31"/>
      <c r="AH71" s="31"/>
      <c r="AI71" s="31"/>
      <c r="AJ71" s="31"/>
      <c r="AK71" s="31"/>
      <c r="AL71" s="31"/>
      <c r="AM71" s="31"/>
      <c r="AN71" s="31"/>
      <c r="AO71" s="3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9" zoomScale="100" workbookViewId="0">
      <selection activeCell="Y32" activeCellId="0" sqref="Y32"/>
    </sheetView>
  </sheetViews>
  <sheetFormatPr defaultRowHeight="14.25"/>
  <cols>
    <col customWidth="1" min="1" max="1" width="13"/>
    <col customWidth="1" min="23" max="23" width="11.85546875"/>
  </cols>
  <sheetData>
    <row r="1">
      <c r="A1" s="82" t="s">
        <v>0</v>
      </c>
      <c r="B1" s="83" t="s">
        <v>70</v>
      </c>
      <c r="C1" s="83" t="s">
        <v>71</v>
      </c>
      <c r="D1" s="83" t="s">
        <v>72</v>
      </c>
      <c r="E1" s="83" t="s">
        <v>3</v>
      </c>
      <c r="F1" s="83" t="s">
        <v>4</v>
      </c>
      <c r="G1" s="83" t="s">
        <v>5</v>
      </c>
      <c r="H1" s="83" t="s">
        <v>6</v>
      </c>
      <c r="I1" s="83" t="s">
        <v>7</v>
      </c>
      <c r="J1" s="83" t="s">
        <v>8</v>
      </c>
      <c r="K1" s="83" t="s">
        <v>9</v>
      </c>
      <c r="L1" s="83" t="s">
        <v>10</v>
      </c>
      <c r="M1" s="83" t="s">
        <v>11</v>
      </c>
      <c r="N1" s="83" t="s">
        <v>12</v>
      </c>
      <c r="O1" s="83" t="s">
        <v>13</v>
      </c>
      <c r="P1" s="83" t="s">
        <v>19</v>
      </c>
      <c r="Q1" s="83" t="s">
        <v>20</v>
      </c>
      <c r="R1" s="83" t="s">
        <v>73</v>
      </c>
      <c r="S1" s="83" t="s">
        <v>62</v>
      </c>
      <c r="T1" s="87"/>
      <c r="U1" s="31"/>
      <c r="V1" s="88"/>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19</v>
      </c>
      <c r="AM1" s="83" t="s">
        <v>20</v>
      </c>
      <c r="AN1" s="83" t="s">
        <v>73</v>
      </c>
      <c r="AO1" s="83" t="s">
        <v>62</v>
      </c>
    </row>
    <row r="2">
      <c r="A2" s="11">
        <v>44682</v>
      </c>
      <c r="B2" s="14">
        <f>106+252</f>
        <v>358</v>
      </c>
      <c r="C2" s="14"/>
      <c r="D2" s="14"/>
      <c r="E2" s="14"/>
      <c r="F2" s="14"/>
      <c r="G2" s="14"/>
      <c r="H2" s="14"/>
      <c r="I2" s="14"/>
      <c r="J2" s="14"/>
      <c r="K2" s="14"/>
      <c r="L2" s="14"/>
      <c r="M2" s="14"/>
      <c r="N2" s="14"/>
      <c r="O2" s="14"/>
      <c r="P2" s="14"/>
      <c r="Q2" s="14"/>
      <c r="R2" s="14"/>
      <c r="S2" s="14"/>
      <c r="T2" s="87"/>
      <c r="U2" s="31"/>
      <c r="V2" s="88"/>
      <c r="W2" s="11">
        <v>44682</v>
      </c>
      <c r="X2" s="14"/>
      <c r="Y2" s="14">
        <v>901.49000000000001</v>
      </c>
      <c r="Z2" s="14"/>
      <c r="AA2" s="14"/>
      <c r="AB2" s="14"/>
      <c r="AC2" s="14"/>
      <c r="AD2" s="14"/>
      <c r="AE2" s="14"/>
      <c r="AF2" s="14"/>
      <c r="AG2" s="14"/>
      <c r="AH2" s="14"/>
      <c r="AI2" s="14"/>
      <c r="AJ2" s="14"/>
      <c r="AK2" s="14"/>
      <c r="AL2" s="14"/>
      <c r="AM2" s="14"/>
      <c r="AN2" s="14"/>
      <c r="AO2" s="14"/>
    </row>
    <row r="3">
      <c r="A3" s="11">
        <v>44683</v>
      </c>
      <c r="B3" s="5">
        <v>129</v>
      </c>
      <c r="C3" s="5">
        <v>466.13</v>
      </c>
      <c r="D3" s="5"/>
      <c r="E3" s="5"/>
      <c r="F3" s="5"/>
      <c r="G3" s="5"/>
      <c r="H3" s="5"/>
      <c r="I3" s="5">
        <v>237</v>
      </c>
      <c r="J3" s="5"/>
      <c r="K3" s="5"/>
      <c r="L3" s="5"/>
      <c r="M3" s="5"/>
      <c r="N3" s="5">
        <v>625</v>
      </c>
      <c r="O3" s="5"/>
      <c r="P3" s="5"/>
      <c r="Q3" s="5"/>
      <c r="R3" s="5"/>
      <c r="S3" s="5"/>
      <c r="T3" s="87"/>
      <c r="U3" s="31"/>
      <c r="V3" s="88"/>
      <c r="W3" s="11">
        <v>44683</v>
      </c>
      <c r="X3" s="5"/>
      <c r="Y3" s="5"/>
      <c r="Z3" s="5"/>
      <c r="AA3" s="5"/>
      <c r="AB3" s="5"/>
      <c r="AC3" s="5"/>
      <c r="AD3" s="5"/>
      <c r="AE3" s="5"/>
      <c r="AF3" s="5"/>
      <c r="AG3" s="5"/>
      <c r="AH3" s="5"/>
      <c r="AI3" s="5"/>
      <c r="AJ3" s="5"/>
      <c r="AK3" s="5"/>
      <c r="AL3" s="5"/>
      <c r="AM3" s="5"/>
      <c r="AN3" s="5"/>
      <c r="AO3" s="5"/>
    </row>
    <row r="4">
      <c r="A4" s="11">
        <v>44684</v>
      </c>
      <c r="B4" s="14"/>
      <c r="C4" s="14"/>
      <c r="D4" s="14"/>
      <c r="E4" s="14"/>
      <c r="F4" s="14"/>
      <c r="G4" s="14"/>
      <c r="H4" s="14"/>
      <c r="I4" s="14"/>
      <c r="J4" s="14"/>
      <c r="K4" s="14"/>
      <c r="L4" s="14"/>
      <c r="M4" s="14"/>
      <c r="N4" s="14"/>
      <c r="O4" s="14"/>
      <c r="P4" s="14"/>
      <c r="Q4" s="14"/>
      <c r="R4" s="14"/>
      <c r="S4" s="14"/>
      <c r="T4" s="87"/>
      <c r="U4" s="31"/>
      <c r="V4" s="88"/>
      <c r="W4" s="11">
        <v>44684</v>
      </c>
      <c r="X4" s="14"/>
      <c r="Y4" s="14">
        <v>477.38</v>
      </c>
      <c r="Z4" s="14"/>
      <c r="AA4" s="14"/>
      <c r="AB4" s="14"/>
      <c r="AC4" s="14">
        <v>30</v>
      </c>
      <c r="AD4" s="14"/>
      <c r="AE4" s="14"/>
      <c r="AF4" s="14">
        <f>234+334+1024.94</f>
        <v>1592.9400000000001</v>
      </c>
      <c r="AG4" s="14"/>
      <c r="AH4" s="14"/>
      <c r="AI4" s="14"/>
      <c r="AJ4" s="14"/>
      <c r="AK4" s="14"/>
      <c r="AL4" s="14">
        <v>1200</v>
      </c>
      <c r="AM4" s="14"/>
      <c r="AN4" s="14"/>
      <c r="AO4" s="14"/>
    </row>
    <row r="5">
      <c r="A5" s="11">
        <v>44685</v>
      </c>
      <c r="B5" s="5"/>
      <c r="C5" s="5"/>
      <c r="D5" s="5"/>
      <c r="E5" s="5"/>
      <c r="F5" s="5"/>
      <c r="G5" s="5"/>
      <c r="H5" s="5"/>
      <c r="I5" s="5"/>
      <c r="J5" s="5">
        <v>1179.8</v>
      </c>
      <c r="K5" s="5"/>
      <c r="L5" s="5"/>
      <c r="M5" s="5"/>
      <c r="N5" s="5"/>
      <c r="O5" s="5"/>
      <c r="P5" s="5"/>
      <c r="Q5" s="5"/>
      <c r="R5" s="5"/>
      <c r="S5" s="5"/>
      <c r="T5" s="87"/>
      <c r="U5" s="31"/>
      <c r="V5" s="88"/>
      <c r="W5" s="11">
        <v>44685</v>
      </c>
      <c r="X5" s="5"/>
      <c r="Y5" s="5"/>
      <c r="Z5" s="5"/>
      <c r="AA5" s="5"/>
      <c r="AB5" s="5"/>
      <c r="AC5" s="5"/>
      <c r="AD5" s="5"/>
      <c r="AE5" s="5"/>
      <c r="AF5" s="5"/>
      <c r="AG5" s="5"/>
      <c r="AH5" s="5"/>
      <c r="AI5" s="5"/>
      <c r="AJ5" s="5">
        <v>350</v>
      </c>
      <c r="AK5" s="5"/>
      <c r="AL5" s="5"/>
      <c r="AM5" s="5"/>
      <c r="AN5" s="5"/>
      <c r="AO5" s="5"/>
    </row>
    <row r="6">
      <c r="A6" s="11">
        <v>44686</v>
      </c>
      <c r="B6" s="14"/>
      <c r="C6" s="14"/>
      <c r="D6" s="14">
        <v>16</v>
      </c>
      <c r="E6" s="14">
        <v>714</v>
      </c>
      <c r="F6" s="14"/>
      <c r="G6" s="14"/>
      <c r="H6" s="14"/>
      <c r="I6" s="14"/>
      <c r="J6" s="14"/>
      <c r="K6" s="14">
        <v>108.8</v>
      </c>
      <c r="L6" s="14"/>
      <c r="M6" s="14"/>
      <c r="N6" s="14"/>
      <c r="O6" s="14"/>
      <c r="P6" s="14"/>
      <c r="Q6" s="14"/>
      <c r="R6" s="14"/>
      <c r="S6" s="14"/>
      <c r="T6" s="87"/>
      <c r="U6" s="31"/>
      <c r="V6" s="88"/>
      <c r="W6" s="11">
        <v>44686</v>
      </c>
      <c r="X6" s="14"/>
      <c r="Y6" s="14">
        <v>443.68000000000001</v>
      </c>
      <c r="Z6" s="14"/>
      <c r="AA6" s="14"/>
      <c r="AB6" s="14">
        <v>2000</v>
      </c>
      <c r="AC6" s="14"/>
      <c r="AD6" s="14"/>
      <c r="AE6" s="14"/>
      <c r="AF6" s="14">
        <f>367+1006</f>
        <v>1373</v>
      </c>
      <c r="AG6" s="14"/>
      <c r="AH6" s="14"/>
      <c r="AI6" s="14"/>
      <c r="AJ6" s="14"/>
      <c r="AK6" s="14"/>
      <c r="AL6" s="14"/>
      <c r="AM6" s="14"/>
      <c r="AN6" s="14"/>
      <c r="AO6" s="14"/>
    </row>
    <row r="7">
      <c r="A7" s="11">
        <v>44687</v>
      </c>
      <c r="B7" s="5"/>
      <c r="C7" s="5"/>
      <c r="D7" s="5"/>
      <c r="E7" s="5"/>
      <c r="F7" s="5"/>
      <c r="G7" s="5"/>
      <c r="H7" s="5"/>
      <c r="I7" s="5"/>
      <c r="J7" s="5"/>
      <c r="K7" s="5"/>
      <c r="L7" s="5"/>
      <c r="M7" s="5"/>
      <c r="N7" s="5"/>
      <c r="O7" s="5"/>
      <c r="P7" s="5"/>
      <c r="Q7" s="5"/>
      <c r="R7" s="5"/>
      <c r="S7" s="5"/>
      <c r="T7" s="87"/>
      <c r="U7" s="31"/>
      <c r="V7" s="88"/>
      <c r="W7" s="11">
        <v>44687</v>
      </c>
      <c r="X7" s="5"/>
      <c r="Y7" s="5"/>
      <c r="Z7" s="5"/>
      <c r="AA7" s="5"/>
      <c r="AB7" s="5"/>
      <c r="AC7" s="5"/>
      <c r="AD7" s="5"/>
      <c r="AE7" s="5"/>
      <c r="AF7" s="5"/>
      <c r="AG7" s="5"/>
      <c r="AH7" s="5"/>
      <c r="AI7" s="5"/>
      <c r="AJ7" s="5"/>
      <c r="AK7" s="5"/>
      <c r="AL7" s="5"/>
      <c r="AM7" s="5"/>
      <c r="AN7" s="5"/>
      <c r="AO7" s="5"/>
    </row>
    <row r="8">
      <c r="A8" s="11">
        <v>44688</v>
      </c>
      <c r="B8" s="14"/>
      <c r="C8" s="14">
        <v>376.83999999999997</v>
      </c>
      <c r="D8" s="14"/>
      <c r="E8" s="14"/>
      <c r="F8" s="14"/>
      <c r="G8" s="14"/>
      <c r="H8" s="14"/>
      <c r="I8" s="14"/>
      <c r="J8" s="14"/>
      <c r="K8" s="14"/>
      <c r="L8" s="14"/>
      <c r="M8" s="14"/>
      <c r="N8" s="14"/>
      <c r="O8" s="14"/>
      <c r="P8" s="14"/>
      <c r="Q8" s="14"/>
      <c r="R8" s="14"/>
      <c r="S8" s="14"/>
      <c r="T8" s="87"/>
      <c r="U8" s="31"/>
      <c r="V8" s="88"/>
      <c r="W8" s="11">
        <v>44688</v>
      </c>
      <c r="X8" s="14"/>
      <c r="Y8" s="14"/>
      <c r="Z8" s="14"/>
      <c r="AA8" s="14"/>
      <c r="AB8" s="14"/>
      <c r="AC8" s="14"/>
      <c r="AD8" s="14"/>
      <c r="AE8" s="14"/>
      <c r="AF8" s="14"/>
      <c r="AG8" s="14"/>
      <c r="AH8" s="14"/>
      <c r="AI8" s="14"/>
      <c r="AJ8" s="14"/>
      <c r="AK8" s="14"/>
      <c r="AL8" s="14"/>
      <c r="AM8" s="14"/>
      <c r="AN8" s="14"/>
      <c r="AO8" s="14"/>
    </row>
    <row r="9">
      <c r="A9" s="11">
        <v>44689</v>
      </c>
      <c r="B9" s="5"/>
      <c r="C9" s="5">
        <v>1004</v>
      </c>
      <c r="D9" s="5"/>
      <c r="E9" s="5"/>
      <c r="F9" s="5"/>
      <c r="G9" s="5"/>
      <c r="H9" s="5"/>
      <c r="I9" s="5"/>
      <c r="J9" s="5"/>
      <c r="K9" s="5"/>
      <c r="L9" s="5"/>
      <c r="M9" s="5"/>
      <c r="N9" s="5"/>
      <c r="O9" s="5"/>
      <c r="P9" s="5"/>
      <c r="Q9" s="5"/>
      <c r="R9" s="5"/>
      <c r="S9" s="5"/>
      <c r="T9" s="87"/>
      <c r="U9" s="31"/>
      <c r="V9" s="88"/>
      <c r="W9" s="11">
        <v>44689</v>
      </c>
      <c r="X9" s="5"/>
      <c r="Y9" s="5"/>
      <c r="Z9" s="5"/>
      <c r="AA9" s="5"/>
      <c r="AB9" s="5"/>
      <c r="AC9" s="5"/>
      <c r="AD9" s="5"/>
      <c r="AE9" s="5"/>
      <c r="AF9" s="5">
        <v>1100</v>
      </c>
      <c r="AG9" s="5"/>
      <c r="AH9" s="5"/>
      <c r="AI9" s="5"/>
      <c r="AJ9" s="5"/>
      <c r="AK9" s="5"/>
      <c r="AL9" s="5"/>
      <c r="AM9" s="5"/>
      <c r="AN9" s="5"/>
      <c r="AO9" s="5"/>
    </row>
    <row r="10">
      <c r="A10" s="11">
        <v>44690</v>
      </c>
      <c r="B10" s="14"/>
      <c r="C10" s="14"/>
      <c r="D10" s="14"/>
      <c r="E10" s="14"/>
      <c r="F10" s="14"/>
      <c r="G10" s="14"/>
      <c r="H10" s="14"/>
      <c r="I10" s="14"/>
      <c r="J10" s="14"/>
      <c r="K10" s="14"/>
      <c r="L10" s="14"/>
      <c r="M10" s="14"/>
      <c r="N10" s="14"/>
      <c r="O10" s="14"/>
      <c r="P10" s="14"/>
      <c r="Q10" s="14">
        <v>318</v>
      </c>
      <c r="R10" s="14"/>
      <c r="S10" s="14"/>
      <c r="T10" s="87"/>
      <c r="U10" s="31"/>
      <c r="V10" s="88"/>
      <c r="W10" s="11">
        <v>44690</v>
      </c>
      <c r="X10" s="14"/>
      <c r="Y10" s="14">
        <v>94.489999999999995</v>
      </c>
      <c r="Z10" s="14"/>
      <c r="AA10" s="14"/>
      <c r="AB10" s="14"/>
      <c r="AC10" s="14"/>
      <c r="AD10" s="14"/>
      <c r="AE10" s="14"/>
      <c r="AF10" s="14">
        <f>306-189</f>
        <v>117</v>
      </c>
      <c r="AG10" s="14"/>
      <c r="AH10" s="14"/>
      <c r="AI10" s="14"/>
      <c r="AJ10" s="14"/>
      <c r="AK10" s="14"/>
      <c r="AL10" s="14"/>
      <c r="AM10" s="14"/>
      <c r="AN10" s="14"/>
      <c r="AO10" s="14"/>
    </row>
    <row r="11">
      <c r="A11" s="11">
        <v>44691</v>
      </c>
      <c r="B11" s="5"/>
      <c r="C11" s="5"/>
      <c r="D11" s="5"/>
      <c r="E11" s="5"/>
      <c r="F11" s="5"/>
      <c r="G11" s="5"/>
      <c r="H11" s="5"/>
      <c r="I11" s="5"/>
      <c r="J11" s="5">
        <f>377+104.72</f>
        <v>481.72000000000003</v>
      </c>
      <c r="K11" s="5"/>
      <c r="L11" s="5"/>
      <c r="M11" s="5">
        <v>28519.75</v>
      </c>
      <c r="N11" s="5"/>
      <c r="O11" s="5"/>
      <c r="P11" s="5"/>
      <c r="Q11" s="5"/>
      <c r="R11" s="5"/>
      <c r="S11" s="5"/>
      <c r="T11" s="87"/>
      <c r="U11" s="31"/>
      <c r="V11" s="88"/>
      <c r="W11" s="11">
        <v>44691</v>
      </c>
      <c r="X11" s="5"/>
      <c r="Y11" s="5"/>
      <c r="Z11" s="5"/>
      <c r="AA11" s="5"/>
      <c r="AB11" s="5"/>
      <c r="AC11" s="5"/>
      <c r="AD11" s="5"/>
      <c r="AE11" s="5"/>
      <c r="AF11" s="5"/>
      <c r="AG11" s="5"/>
      <c r="AH11" s="5"/>
      <c r="AI11" s="5"/>
      <c r="AJ11" s="5"/>
      <c r="AK11" s="5"/>
      <c r="AL11" s="5"/>
      <c r="AM11" s="5"/>
      <c r="AN11" s="5"/>
      <c r="AO11" s="5"/>
    </row>
    <row r="12">
      <c r="A12" s="11">
        <v>44692</v>
      </c>
      <c r="B12" s="14"/>
      <c r="C12" s="14"/>
      <c r="D12" s="14">
        <v>62</v>
      </c>
      <c r="E12" s="14"/>
      <c r="F12" s="14"/>
      <c r="G12" s="14"/>
      <c r="H12" s="14"/>
      <c r="I12" s="14"/>
      <c r="J12" s="14">
        <v>337</v>
      </c>
      <c r="K12" s="14"/>
      <c r="L12" s="14"/>
      <c r="M12" s="14"/>
      <c r="N12" s="14"/>
      <c r="O12" s="14"/>
      <c r="P12" s="14"/>
      <c r="Q12" s="14"/>
      <c r="R12" s="14"/>
      <c r="S12" s="14"/>
      <c r="T12" s="87"/>
      <c r="U12" s="31"/>
      <c r="V12" s="88"/>
      <c r="W12" s="11">
        <v>44692</v>
      </c>
      <c r="X12" s="14"/>
      <c r="Y12" s="14">
        <v>850.57000000000005</v>
      </c>
      <c r="Z12" s="14"/>
      <c r="AA12" s="14"/>
      <c r="AB12" s="14"/>
      <c r="AC12" s="14"/>
      <c r="AD12" s="14"/>
      <c r="AE12" s="14"/>
      <c r="AF12" s="14">
        <v>666</v>
      </c>
      <c r="AG12" s="14"/>
      <c r="AH12" s="14"/>
      <c r="AI12" s="14"/>
      <c r="AJ12" s="14"/>
      <c r="AK12" s="14"/>
      <c r="AL12" s="14"/>
      <c r="AM12" s="14"/>
      <c r="AN12" s="14"/>
      <c r="AO12" s="14"/>
    </row>
    <row r="13">
      <c r="A13" s="11">
        <v>44693</v>
      </c>
      <c r="B13" s="5"/>
      <c r="C13" s="5"/>
      <c r="D13" s="5"/>
      <c r="E13" s="5"/>
      <c r="F13" s="5"/>
      <c r="G13" s="5"/>
      <c r="H13" s="5"/>
      <c r="I13" s="5"/>
      <c r="J13" s="5">
        <v>171</v>
      </c>
      <c r="K13" s="5"/>
      <c r="L13" s="5"/>
      <c r="M13" s="5"/>
      <c r="N13" s="5"/>
      <c r="O13" s="5"/>
      <c r="P13" s="5"/>
      <c r="Q13" s="5"/>
      <c r="R13" s="5"/>
      <c r="S13" s="5"/>
      <c r="T13" s="87"/>
      <c r="U13" s="31"/>
      <c r="V13" s="88"/>
      <c r="W13" s="11">
        <v>44693</v>
      </c>
      <c r="X13" s="5"/>
      <c r="Y13" s="5">
        <v>49.990000000000002</v>
      </c>
      <c r="Z13" s="5"/>
      <c r="AA13" s="5"/>
      <c r="AB13" s="5"/>
      <c r="AC13" s="5"/>
      <c r="AD13" s="5"/>
      <c r="AE13" s="5"/>
      <c r="AF13" s="5">
        <v>566</v>
      </c>
      <c r="AG13" s="5"/>
      <c r="AH13" s="5"/>
      <c r="AI13" s="5"/>
      <c r="AJ13" s="5"/>
      <c r="AK13" s="5"/>
      <c r="AL13" s="5"/>
      <c r="AM13" s="5"/>
      <c r="AN13" s="5"/>
      <c r="AO13" s="5"/>
    </row>
    <row r="14">
      <c r="A14" s="11">
        <v>44694</v>
      </c>
      <c r="B14" s="14"/>
      <c r="C14" s="14"/>
      <c r="D14" s="14">
        <v>75</v>
      </c>
      <c r="E14" s="14"/>
      <c r="F14" s="14"/>
      <c r="G14" s="14"/>
      <c r="H14" s="14"/>
      <c r="I14" s="14"/>
      <c r="J14" s="14"/>
      <c r="K14" s="14"/>
      <c r="L14" s="14"/>
      <c r="M14" s="14"/>
      <c r="N14" s="14"/>
      <c r="O14" s="14"/>
      <c r="P14" s="14"/>
      <c r="Q14" s="14"/>
      <c r="R14" s="14"/>
      <c r="S14" s="14"/>
      <c r="T14" s="87"/>
      <c r="U14" s="31"/>
      <c r="V14" s="88"/>
      <c r="W14" s="11">
        <v>44694</v>
      </c>
      <c r="X14" s="14"/>
      <c r="Y14" s="14"/>
      <c r="Z14" s="14"/>
      <c r="AA14" s="14"/>
      <c r="AB14" s="14">
        <v>-2000</v>
      </c>
      <c r="AC14" s="14"/>
      <c r="AD14" s="14"/>
      <c r="AE14" s="14"/>
      <c r="AF14" s="14">
        <f>248+269.97</f>
        <v>517.97000000000003</v>
      </c>
      <c r="AG14" s="14"/>
      <c r="AH14" s="14"/>
      <c r="AI14" s="14"/>
      <c r="AJ14" s="14"/>
      <c r="AK14" s="14"/>
      <c r="AL14" s="14"/>
      <c r="AM14" s="14"/>
      <c r="AN14" s="14"/>
      <c r="AO14" s="14"/>
    </row>
    <row r="15">
      <c r="A15" s="11">
        <v>44695</v>
      </c>
      <c r="B15" s="5"/>
      <c r="C15" s="5"/>
      <c r="D15" s="5"/>
      <c r="E15" s="5">
        <f>140+410</f>
        <v>550</v>
      </c>
      <c r="F15" s="5"/>
      <c r="G15" s="5"/>
      <c r="H15" s="5"/>
      <c r="I15" s="5"/>
      <c r="J15" s="5">
        <f>2426+130.38</f>
        <v>2556.3800000000001</v>
      </c>
      <c r="K15" s="5"/>
      <c r="L15" s="5"/>
      <c r="M15" s="5"/>
      <c r="N15" s="5"/>
      <c r="O15" s="5"/>
      <c r="P15" s="5"/>
      <c r="Q15" s="5"/>
      <c r="R15" s="5"/>
      <c r="S15" s="5"/>
      <c r="T15" s="87"/>
      <c r="U15" s="31"/>
      <c r="V15" s="88"/>
      <c r="W15" s="11">
        <v>44695</v>
      </c>
      <c r="X15" s="5"/>
      <c r="Y15" s="5"/>
      <c r="Z15" s="5"/>
      <c r="AA15" s="5"/>
      <c r="AB15" s="5"/>
      <c r="AC15" s="5"/>
      <c r="AD15" s="5"/>
      <c r="AE15" s="5"/>
      <c r="AF15" s="5">
        <v>318</v>
      </c>
      <c r="AG15" s="5"/>
      <c r="AH15" s="5"/>
      <c r="AI15" s="5"/>
      <c r="AJ15" s="5"/>
      <c r="AK15" s="5"/>
      <c r="AL15" s="5"/>
      <c r="AM15" s="5"/>
      <c r="AN15" s="5"/>
      <c r="AO15" s="5"/>
    </row>
    <row r="16">
      <c r="A16" s="11">
        <v>44696</v>
      </c>
      <c r="B16" s="14"/>
      <c r="C16" s="90">
        <f>470.81+589.84</f>
        <v>1060.6500000000001</v>
      </c>
      <c r="D16" s="14"/>
      <c r="E16" s="14"/>
      <c r="F16" s="14"/>
      <c r="G16" s="14"/>
      <c r="H16" s="14"/>
      <c r="I16" s="14"/>
      <c r="J16" s="14">
        <f>49+283+54.9</f>
        <v>386.89999999999998</v>
      </c>
      <c r="K16" s="14"/>
      <c r="L16" s="14"/>
      <c r="M16" s="14"/>
      <c r="N16" s="14"/>
      <c r="O16" s="14"/>
      <c r="P16" s="14"/>
      <c r="Q16" s="14"/>
      <c r="R16" s="14"/>
      <c r="S16" s="14"/>
      <c r="T16" s="87"/>
      <c r="U16" s="31"/>
      <c r="V16" s="88"/>
      <c r="W16" s="11">
        <v>44696</v>
      </c>
      <c r="X16" s="14"/>
      <c r="Y16" s="14"/>
      <c r="Z16" s="14"/>
      <c r="AA16" s="14"/>
      <c r="AB16" s="14"/>
      <c r="AC16" s="14">
        <v>99</v>
      </c>
      <c r="AD16" s="14"/>
      <c r="AE16" s="14"/>
      <c r="AF16" s="14">
        <v>1154</v>
      </c>
      <c r="AG16" s="14"/>
      <c r="AH16" s="14"/>
      <c r="AI16" s="14"/>
      <c r="AJ16" s="14"/>
      <c r="AK16" s="14"/>
      <c r="AL16" s="14"/>
      <c r="AM16" s="14"/>
      <c r="AN16" s="14"/>
      <c r="AO16" s="14"/>
    </row>
    <row r="17">
      <c r="A17" s="11">
        <v>44697</v>
      </c>
      <c r="B17" s="5"/>
      <c r="C17" s="90">
        <v>47.700000000000003</v>
      </c>
      <c r="D17" s="5"/>
      <c r="E17" s="5"/>
      <c r="F17" s="5"/>
      <c r="G17" s="5"/>
      <c r="H17" s="5"/>
      <c r="I17" s="5"/>
      <c r="J17" s="5"/>
      <c r="K17" s="5"/>
      <c r="L17" s="5"/>
      <c r="M17" s="5"/>
      <c r="N17" s="5"/>
      <c r="O17" s="5"/>
      <c r="P17" s="5"/>
      <c r="Q17" s="5"/>
      <c r="R17" s="5"/>
      <c r="S17" s="5"/>
      <c r="T17" s="87"/>
      <c r="U17" s="31"/>
      <c r="V17" s="88"/>
      <c r="W17" s="11">
        <v>44697</v>
      </c>
      <c r="X17" s="5"/>
      <c r="Y17" s="5"/>
      <c r="Z17" s="5"/>
      <c r="AA17" s="5">
        <f>89+359.95</f>
        <v>448.94999999999999</v>
      </c>
      <c r="AB17" s="5"/>
      <c r="AC17" s="5"/>
      <c r="AD17" s="5"/>
      <c r="AE17" s="5"/>
      <c r="AF17" s="5">
        <f>1162+345+179</f>
        <v>1686</v>
      </c>
      <c r="AG17" s="5"/>
      <c r="AH17" s="5"/>
      <c r="AI17" s="5"/>
      <c r="AJ17" s="5"/>
      <c r="AK17" s="5"/>
      <c r="AL17" s="5"/>
      <c r="AM17" s="5"/>
      <c r="AN17" s="5"/>
      <c r="AO17" s="5"/>
    </row>
    <row r="18">
      <c r="A18" s="11">
        <v>44698</v>
      </c>
      <c r="B18" s="14"/>
      <c r="C18" s="14"/>
      <c r="D18" s="14">
        <v>63</v>
      </c>
      <c r="E18" s="14"/>
      <c r="F18" s="14"/>
      <c r="G18" s="14"/>
      <c r="H18" s="14"/>
      <c r="I18" s="14"/>
      <c r="J18" s="14"/>
      <c r="K18" s="14"/>
      <c r="L18" s="14"/>
      <c r="M18" s="14"/>
      <c r="N18" s="14"/>
      <c r="O18" s="14"/>
      <c r="P18" s="14"/>
      <c r="Q18" s="14"/>
      <c r="R18" s="14"/>
      <c r="S18" s="14"/>
      <c r="T18" s="87"/>
      <c r="U18" s="31"/>
      <c r="V18" s="88"/>
      <c r="W18" s="11">
        <v>44698</v>
      </c>
      <c r="X18" s="14"/>
      <c r="Y18" s="14"/>
      <c r="Z18" s="14"/>
      <c r="AA18" s="14"/>
      <c r="AB18" s="14"/>
      <c r="AC18" s="14"/>
      <c r="AD18" s="14"/>
      <c r="AE18" s="14"/>
      <c r="AF18" s="14"/>
      <c r="AG18" s="14"/>
      <c r="AH18" s="14"/>
      <c r="AI18" s="14"/>
      <c r="AJ18" s="14"/>
      <c r="AK18" s="14"/>
      <c r="AL18" s="14"/>
      <c r="AM18" s="14"/>
      <c r="AN18" s="14"/>
      <c r="AO18" s="14"/>
    </row>
    <row r="19">
      <c r="A19" s="11">
        <v>44699</v>
      </c>
      <c r="B19" s="5"/>
      <c r="C19" s="5"/>
      <c r="D19" s="5"/>
      <c r="E19" s="5"/>
      <c r="F19" s="5"/>
      <c r="G19" s="5"/>
      <c r="H19" s="5"/>
      <c r="I19" s="5"/>
      <c r="J19" s="5"/>
      <c r="K19" s="5"/>
      <c r="L19" s="5"/>
      <c r="M19" s="5"/>
      <c r="N19" s="5"/>
      <c r="O19" s="5"/>
      <c r="P19" s="5"/>
      <c r="Q19" s="5"/>
      <c r="R19" s="90">
        <v>1565</v>
      </c>
      <c r="S19" s="5"/>
      <c r="T19" s="87"/>
      <c r="U19" s="31"/>
      <c r="V19" s="88"/>
      <c r="W19" s="11">
        <v>44699</v>
      </c>
      <c r="X19" s="5"/>
      <c r="Y19" s="5"/>
      <c r="Z19" s="5"/>
      <c r="AA19" s="5"/>
      <c r="AB19" s="5"/>
      <c r="AC19" s="5"/>
      <c r="AD19" s="5"/>
      <c r="AE19" s="5"/>
      <c r="AF19" s="5"/>
      <c r="AG19" s="5"/>
      <c r="AH19" s="5"/>
      <c r="AI19" s="5"/>
      <c r="AJ19" s="5"/>
      <c r="AK19" s="5"/>
      <c r="AL19" s="5"/>
      <c r="AM19" s="5"/>
      <c r="AN19" s="5"/>
      <c r="AO19" s="5"/>
    </row>
    <row r="20">
      <c r="A20" s="11">
        <v>44700</v>
      </c>
      <c r="B20" s="14"/>
      <c r="C20" s="14">
        <f>33.59+242.99</f>
        <v>276.58000000000004</v>
      </c>
      <c r="D20" s="14">
        <v>57</v>
      </c>
      <c r="E20" s="14"/>
      <c r="F20" s="14"/>
      <c r="G20" s="14"/>
      <c r="H20" s="14"/>
      <c r="I20" s="14"/>
      <c r="J20" s="14"/>
      <c r="K20" s="14"/>
      <c r="L20" s="14"/>
      <c r="M20" s="14"/>
      <c r="N20" s="14"/>
      <c r="O20" s="14"/>
      <c r="P20" s="34"/>
      <c r="Q20" s="14"/>
      <c r="R20" s="14"/>
      <c r="S20" s="14"/>
      <c r="T20" s="87"/>
      <c r="U20" s="31"/>
      <c r="V20" s="88"/>
      <c r="W20" s="11">
        <v>44700</v>
      </c>
      <c r="X20" s="14"/>
      <c r="Y20" s="14">
        <v>986.62</v>
      </c>
      <c r="Z20" s="14"/>
      <c r="AA20" s="14"/>
      <c r="AB20" s="14"/>
      <c r="AC20" s="14"/>
      <c r="AD20" s="14"/>
      <c r="AE20" s="14"/>
      <c r="AF20" s="14"/>
      <c r="AG20" s="14"/>
      <c r="AH20" s="14"/>
      <c r="AI20" s="14"/>
      <c r="AJ20" s="14"/>
      <c r="AK20" s="14"/>
      <c r="AL20" s="34"/>
      <c r="AM20" s="14"/>
      <c r="AN20" s="14"/>
      <c r="AO20" s="14"/>
    </row>
    <row r="21">
      <c r="A21" s="11">
        <v>44701</v>
      </c>
      <c r="B21" s="69"/>
      <c r="C21" s="90">
        <v>102.95999999999999</v>
      </c>
      <c r="D21" s="5"/>
      <c r="E21" s="5">
        <v>680</v>
      </c>
      <c r="F21" s="5"/>
      <c r="G21" s="5"/>
      <c r="H21" s="5"/>
      <c r="I21" s="5"/>
      <c r="J21" s="5"/>
      <c r="K21" s="5"/>
      <c r="L21" s="5"/>
      <c r="M21" s="5"/>
      <c r="N21" s="5"/>
      <c r="O21" s="5"/>
      <c r="P21" s="5"/>
      <c r="Q21" s="5"/>
      <c r="R21" s="5"/>
      <c r="S21" s="5"/>
      <c r="T21" s="87"/>
      <c r="U21" s="31"/>
      <c r="V21" s="88"/>
      <c r="W21" s="11">
        <v>44701</v>
      </c>
      <c r="X21" s="69"/>
      <c r="Y21" s="5"/>
      <c r="Z21" s="5"/>
      <c r="AA21" s="5"/>
      <c r="AB21" s="5"/>
      <c r="AC21" s="5"/>
      <c r="AD21" s="5"/>
      <c r="AE21" s="5">
        <v>2519</v>
      </c>
      <c r="AF21" s="5">
        <v>89.900000000000006</v>
      </c>
      <c r="AG21" s="5"/>
      <c r="AH21" s="5"/>
      <c r="AI21" s="5"/>
      <c r="AJ21" s="5"/>
      <c r="AK21" s="5"/>
      <c r="AL21" s="5"/>
      <c r="AM21" s="5"/>
      <c r="AN21" s="5"/>
      <c r="AO21" s="5"/>
    </row>
    <row r="22">
      <c r="A22" s="11">
        <v>44702</v>
      </c>
      <c r="B22" s="22"/>
      <c r="C22" s="14"/>
      <c r="D22" s="14"/>
      <c r="E22" s="14"/>
      <c r="F22" s="14"/>
      <c r="G22" s="14"/>
      <c r="H22" s="14"/>
      <c r="I22" s="14"/>
      <c r="J22" s="14"/>
      <c r="K22" s="14"/>
      <c r="L22" s="14"/>
      <c r="M22" s="14"/>
      <c r="N22" s="14"/>
      <c r="O22" s="14"/>
      <c r="P22" s="14"/>
      <c r="Q22" s="14"/>
      <c r="R22" s="14"/>
      <c r="S22" s="14"/>
      <c r="T22" s="87"/>
      <c r="U22" s="31"/>
      <c r="V22" s="88"/>
      <c r="W22" s="11">
        <v>44702</v>
      </c>
      <c r="X22" s="22"/>
      <c r="Y22" s="14"/>
      <c r="Z22" s="14"/>
      <c r="AA22" s="14"/>
      <c r="AB22" s="14"/>
      <c r="AC22" s="14"/>
      <c r="AD22" s="14"/>
      <c r="AE22" s="14"/>
      <c r="AF22" s="14"/>
      <c r="AG22" s="14"/>
      <c r="AH22" s="14"/>
      <c r="AI22" s="14"/>
      <c r="AJ22" s="14"/>
      <c r="AK22" s="14"/>
      <c r="AL22" s="14"/>
      <c r="AM22" s="14"/>
      <c r="AN22" s="14"/>
      <c r="AO22" s="14"/>
    </row>
    <row r="23">
      <c r="A23" s="11">
        <v>44703</v>
      </c>
      <c r="B23" s="5">
        <v>1641.6400000000001</v>
      </c>
      <c r="C23" s="5">
        <v>733.49000000000001</v>
      </c>
      <c r="D23" s="5"/>
      <c r="E23" s="5"/>
      <c r="F23" s="5"/>
      <c r="G23" s="5"/>
      <c r="H23" s="5"/>
      <c r="I23" s="5"/>
      <c r="J23" s="5">
        <f>543+274</f>
        <v>817</v>
      </c>
      <c r="K23" s="5"/>
      <c r="L23" s="5"/>
      <c r="M23" s="5"/>
      <c r="N23" s="5"/>
      <c r="O23" s="5"/>
      <c r="P23" s="5"/>
      <c r="Q23" s="5"/>
      <c r="R23" s="5"/>
      <c r="S23" s="5"/>
      <c r="T23" s="87"/>
      <c r="U23" s="31"/>
      <c r="V23" s="88"/>
      <c r="W23" s="11">
        <v>44703</v>
      </c>
      <c r="X23" s="5"/>
      <c r="Y23" s="5"/>
      <c r="Z23" s="5"/>
      <c r="AA23" s="5"/>
      <c r="AB23" s="5"/>
      <c r="AC23" s="5"/>
      <c r="AD23" s="5"/>
      <c r="AE23" s="5"/>
      <c r="AF23" s="5"/>
      <c r="AG23" s="5"/>
      <c r="AH23" s="5"/>
      <c r="AI23" s="5"/>
      <c r="AJ23" s="5"/>
      <c r="AK23" s="5"/>
      <c r="AL23" s="5"/>
      <c r="AM23" s="5"/>
      <c r="AN23" s="5"/>
      <c r="AO23" s="5"/>
    </row>
    <row r="24">
      <c r="A24" s="11">
        <v>44704</v>
      </c>
      <c r="B24" s="14"/>
      <c r="C24" s="14">
        <v>129.99000000000001</v>
      </c>
      <c r="D24" s="14">
        <v>95</v>
      </c>
      <c r="E24" s="14"/>
      <c r="F24" s="14"/>
      <c r="G24" s="14"/>
      <c r="H24" s="14"/>
      <c r="I24" s="14"/>
      <c r="J24" s="14"/>
      <c r="K24" s="14"/>
      <c r="L24" s="14"/>
      <c r="M24" s="14"/>
      <c r="N24" s="14"/>
      <c r="O24" s="14"/>
      <c r="P24" s="14"/>
      <c r="Q24" s="14"/>
      <c r="R24" s="14"/>
      <c r="S24" s="14"/>
      <c r="T24" s="87"/>
      <c r="U24" s="31"/>
      <c r="V24" s="88"/>
      <c r="W24" s="11">
        <v>44704</v>
      </c>
      <c r="X24" s="14"/>
      <c r="Y24" s="14">
        <v>27</v>
      </c>
      <c r="Z24" s="14"/>
      <c r="AA24" s="14"/>
      <c r="AB24" s="14"/>
      <c r="AC24" s="14"/>
      <c r="AD24" s="14"/>
      <c r="AE24" s="14"/>
      <c r="AF24" s="14"/>
      <c r="AG24" s="14"/>
      <c r="AH24" s="14"/>
      <c r="AI24" s="14"/>
      <c r="AJ24" s="14"/>
      <c r="AK24" s="14"/>
      <c r="AL24" s="14"/>
      <c r="AM24" s="14"/>
      <c r="AN24" s="14"/>
      <c r="AO24" s="14"/>
    </row>
    <row r="25">
      <c r="A25" s="11">
        <v>44705</v>
      </c>
      <c r="B25" s="28"/>
      <c r="C25" s="5">
        <v>77.989999999999995</v>
      </c>
      <c r="D25" s="5"/>
      <c r="E25" s="5"/>
      <c r="F25" s="5"/>
      <c r="G25" s="5"/>
      <c r="H25" s="5"/>
      <c r="I25" s="5"/>
      <c r="J25" s="5"/>
      <c r="K25" s="5"/>
      <c r="L25" s="5"/>
      <c r="M25" s="5"/>
      <c r="N25" s="5"/>
      <c r="O25" s="5"/>
      <c r="P25" s="5"/>
      <c r="Q25" s="5"/>
      <c r="R25" s="5"/>
      <c r="S25" s="5"/>
      <c r="T25" s="87"/>
      <c r="U25" s="31"/>
      <c r="V25" s="88"/>
      <c r="W25" s="11">
        <v>44705</v>
      </c>
      <c r="X25" s="28"/>
      <c r="Y25" s="5"/>
      <c r="Z25" s="5"/>
      <c r="AA25" s="5"/>
      <c r="AB25" s="5"/>
      <c r="AC25" s="5"/>
      <c r="AD25" s="5"/>
      <c r="AE25" s="5"/>
      <c r="AF25" s="5"/>
      <c r="AG25" s="5"/>
      <c r="AH25" s="5"/>
      <c r="AI25" s="5"/>
      <c r="AJ25" s="5"/>
      <c r="AK25" s="5"/>
      <c r="AL25" s="5"/>
      <c r="AM25" s="5"/>
      <c r="AN25" s="5"/>
      <c r="AO25" s="5"/>
    </row>
    <row r="26">
      <c r="A26" s="11">
        <v>44706</v>
      </c>
      <c r="B26" s="14"/>
      <c r="C26" s="14"/>
      <c r="D26" s="14">
        <v>28</v>
      </c>
      <c r="E26" s="14"/>
      <c r="F26" s="14"/>
      <c r="G26" s="14"/>
      <c r="H26" s="14"/>
      <c r="I26" s="14"/>
      <c r="J26" s="14">
        <v>86.599999999999994</v>
      </c>
      <c r="K26" s="14"/>
      <c r="L26" s="14"/>
      <c r="M26" s="14"/>
      <c r="N26" s="14"/>
      <c r="O26" s="14"/>
      <c r="P26" s="14"/>
      <c r="Q26" s="14"/>
      <c r="R26" s="14"/>
      <c r="S26" s="14"/>
      <c r="T26" s="87"/>
      <c r="U26" s="31"/>
      <c r="V26" s="88"/>
      <c r="W26" s="11">
        <v>44706</v>
      </c>
      <c r="X26" s="14"/>
      <c r="Y26" s="14"/>
      <c r="Z26" s="14"/>
      <c r="AA26" s="14"/>
      <c r="AB26" s="14"/>
      <c r="AC26" s="14"/>
      <c r="AD26" s="14"/>
      <c r="AE26" s="14"/>
      <c r="AF26" s="14"/>
      <c r="AG26" s="14"/>
      <c r="AH26" s="14"/>
      <c r="AI26" s="14"/>
      <c r="AJ26" s="14"/>
      <c r="AK26" s="14"/>
      <c r="AL26" s="14"/>
      <c r="AM26" s="14"/>
      <c r="AN26" s="14"/>
      <c r="AO26" s="14"/>
    </row>
    <row r="27">
      <c r="A27" s="11">
        <v>44707</v>
      </c>
      <c r="B27" s="5"/>
      <c r="C27" s="5">
        <f>227.99+460.97</f>
        <v>688.96000000000004</v>
      </c>
      <c r="D27" s="5"/>
      <c r="E27" s="5"/>
      <c r="F27" s="5"/>
      <c r="G27" s="5"/>
      <c r="H27" s="5"/>
      <c r="I27" s="5"/>
      <c r="J27" s="5"/>
      <c r="K27" s="5"/>
      <c r="L27" s="5"/>
      <c r="M27" s="5"/>
      <c r="N27" s="5"/>
      <c r="O27" s="5"/>
      <c r="P27" s="5"/>
      <c r="Q27" s="5"/>
      <c r="R27" s="5"/>
      <c r="S27" s="5"/>
      <c r="T27" s="87"/>
      <c r="U27" s="31"/>
      <c r="V27" s="88"/>
      <c r="W27" s="11">
        <v>44707</v>
      </c>
      <c r="X27" s="5"/>
      <c r="Y27" s="5"/>
      <c r="Z27" s="5"/>
      <c r="AA27" s="5"/>
      <c r="AB27" s="5"/>
      <c r="AC27" s="5"/>
      <c r="AD27" s="5"/>
      <c r="AE27" s="5"/>
      <c r="AF27" s="5"/>
      <c r="AG27" s="5"/>
      <c r="AH27" s="5"/>
      <c r="AI27" s="5"/>
      <c r="AJ27" s="5"/>
      <c r="AK27" s="5"/>
      <c r="AL27" s="5"/>
      <c r="AM27" s="5"/>
      <c r="AN27" s="5"/>
      <c r="AO27" s="5"/>
    </row>
    <row r="28">
      <c r="A28" s="11">
        <v>44708</v>
      </c>
      <c r="B28" s="14"/>
      <c r="C28" s="14"/>
      <c r="D28" s="14">
        <f>23+66</f>
        <v>89</v>
      </c>
      <c r="E28" s="14"/>
      <c r="F28" s="14"/>
      <c r="G28" s="14"/>
      <c r="H28" s="14"/>
      <c r="I28" s="14"/>
      <c r="J28" s="14"/>
      <c r="K28" s="14"/>
      <c r="L28" s="14"/>
      <c r="M28" s="14"/>
      <c r="N28" s="14"/>
      <c r="O28" s="14"/>
      <c r="P28" s="14"/>
      <c r="Q28" s="14"/>
      <c r="R28" s="14"/>
      <c r="S28" s="14"/>
      <c r="T28" s="87"/>
      <c r="U28" s="31"/>
      <c r="V28" s="88"/>
      <c r="W28" s="11">
        <v>44708</v>
      </c>
      <c r="X28" s="14"/>
      <c r="Y28" s="14"/>
      <c r="Z28" s="14"/>
      <c r="AA28" s="14">
        <v>509</v>
      </c>
      <c r="AB28" s="14"/>
      <c r="AC28" s="14"/>
      <c r="AD28" s="14"/>
      <c r="AE28" s="14"/>
      <c r="AF28" s="14">
        <v>575</v>
      </c>
      <c r="AG28" s="14"/>
      <c r="AH28" s="14"/>
      <c r="AI28" s="14"/>
      <c r="AJ28" s="14"/>
      <c r="AK28" s="14"/>
      <c r="AL28" s="14"/>
      <c r="AM28" s="14"/>
      <c r="AN28" s="14"/>
      <c r="AO28" s="14"/>
    </row>
    <row r="29">
      <c r="A29" s="11">
        <v>44709</v>
      </c>
      <c r="B29" s="5"/>
      <c r="C29" s="5"/>
      <c r="D29" s="5"/>
      <c r="E29" s="5">
        <f>579+600</f>
        <v>1179</v>
      </c>
      <c r="F29" s="5"/>
      <c r="G29" s="5"/>
      <c r="H29" s="5"/>
      <c r="I29" s="5"/>
      <c r="J29" s="5"/>
      <c r="K29" s="5"/>
      <c r="L29" s="5"/>
      <c r="M29" s="5"/>
      <c r="N29" s="5"/>
      <c r="O29" s="5"/>
      <c r="P29" s="5"/>
      <c r="Q29" s="5"/>
      <c r="R29" s="5"/>
      <c r="S29" s="5"/>
      <c r="T29" s="87"/>
      <c r="U29" s="31"/>
      <c r="V29" s="88"/>
      <c r="W29" s="11">
        <v>44709</v>
      </c>
      <c r="X29" s="5"/>
      <c r="Y29" s="5"/>
      <c r="Z29" s="5"/>
      <c r="AA29" s="5"/>
      <c r="AB29" s="5"/>
      <c r="AC29" s="5"/>
      <c r="AD29" s="5"/>
      <c r="AE29" s="5"/>
      <c r="AF29" s="5"/>
      <c r="AG29" s="5"/>
      <c r="AH29" s="5"/>
      <c r="AI29" s="5"/>
      <c r="AJ29" s="5"/>
      <c r="AK29" s="5"/>
      <c r="AL29" s="5"/>
      <c r="AM29" s="5">
        <v>360.93000000000001</v>
      </c>
      <c r="AN29" s="5"/>
      <c r="AO29" s="5"/>
    </row>
    <row r="30">
      <c r="A30" s="11">
        <v>44710</v>
      </c>
      <c r="B30" s="22"/>
      <c r="C30" s="22"/>
      <c r="D30" s="22"/>
      <c r="E30" s="22"/>
      <c r="F30" s="22"/>
      <c r="G30" s="22"/>
      <c r="H30" s="22"/>
      <c r="I30" s="22"/>
      <c r="J30" s="22"/>
      <c r="K30" s="22"/>
      <c r="L30" s="22"/>
      <c r="M30" s="22"/>
      <c r="N30" s="22"/>
      <c r="O30" s="22"/>
      <c r="P30" s="22"/>
      <c r="Q30" s="22"/>
      <c r="R30" s="22"/>
      <c r="S30" s="22"/>
      <c r="T30" s="87"/>
      <c r="U30" s="31"/>
      <c r="V30" s="88"/>
      <c r="W30" s="11">
        <v>44710</v>
      </c>
      <c r="X30" s="22"/>
      <c r="Y30" s="22">
        <v>191.97</v>
      </c>
      <c r="Z30" s="22"/>
      <c r="AA30" s="22"/>
      <c r="AB30" s="22"/>
      <c r="AC30" s="22"/>
      <c r="AD30" s="22"/>
      <c r="AE30" s="22"/>
      <c r="AF30" s="22">
        <v>83</v>
      </c>
      <c r="AG30" s="22"/>
      <c r="AH30" s="22"/>
      <c r="AI30" s="22"/>
      <c r="AJ30" s="22"/>
      <c r="AK30" s="22"/>
      <c r="AL30" s="22"/>
      <c r="AM30" s="22"/>
      <c r="AN30" s="22"/>
      <c r="AO30" s="22"/>
    </row>
    <row r="31">
      <c r="A31" s="11">
        <v>44711</v>
      </c>
      <c r="B31" s="5"/>
      <c r="C31" s="5">
        <v>773.03999999999996</v>
      </c>
      <c r="D31" s="5"/>
      <c r="E31" s="5"/>
      <c r="F31" s="5"/>
      <c r="G31" s="5"/>
      <c r="H31" s="5"/>
      <c r="I31" s="5"/>
      <c r="J31" s="5">
        <f>322+(12200-12000)</f>
        <v>522</v>
      </c>
      <c r="K31" s="5"/>
      <c r="L31" s="5"/>
      <c r="M31" s="5"/>
      <c r="N31" s="5"/>
      <c r="O31" s="5"/>
      <c r="P31" s="5"/>
      <c r="Q31" s="5"/>
      <c r="R31" s="5"/>
      <c r="S31" s="5"/>
      <c r="T31" s="87"/>
      <c r="U31" s="31"/>
      <c r="V31" s="88"/>
      <c r="W31" s="11">
        <v>44711</v>
      </c>
      <c r="X31" s="5"/>
      <c r="Y31" s="5"/>
      <c r="Z31" s="5"/>
      <c r="AA31" s="5"/>
      <c r="AB31" s="5"/>
      <c r="AC31" s="5"/>
      <c r="AD31" s="5"/>
      <c r="AE31" s="5"/>
      <c r="AF31" s="5">
        <v>12000</v>
      </c>
      <c r="AG31" s="5"/>
      <c r="AH31" s="5"/>
      <c r="AI31" s="5"/>
      <c r="AJ31" s="5"/>
      <c r="AK31" s="5"/>
      <c r="AL31" s="5"/>
      <c r="AM31" s="5"/>
      <c r="AN31" s="5"/>
      <c r="AO31" s="5"/>
    </row>
    <row r="32">
      <c r="A32" s="11">
        <v>44712</v>
      </c>
      <c r="B32" s="22"/>
      <c r="C32" s="22">
        <f>186.97+277.01</f>
        <v>463.98000000000002</v>
      </c>
      <c r="D32" s="22">
        <v>43</v>
      </c>
      <c r="E32" s="22"/>
      <c r="F32" s="22"/>
      <c r="G32" s="22"/>
      <c r="H32" s="22"/>
      <c r="I32" s="22"/>
      <c r="J32" s="22"/>
      <c r="K32" s="22">
        <v>519.89999999999998</v>
      </c>
      <c r="L32" s="22">
        <v>2983.21</v>
      </c>
      <c r="M32" s="22"/>
      <c r="N32" s="22"/>
      <c r="O32" s="22"/>
      <c r="P32" s="22"/>
      <c r="Q32" s="22"/>
      <c r="R32" s="22"/>
      <c r="S32" s="22"/>
      <c r="T32" s="87"/>
      <c r="U32" s="31"/>
      <c r="V32" s="88"/>
      <c r="W32" s="11">
        <v>44712</v>
      </c>
      <c r="X32" s="22"/>
      <c r="Y32" s="22"/>
      <c r="Z32" s="22"/>
      <c r="AA32" s="22"/>
      <c r="AB32" s="22"/>
      <c r="AC32" s="22"/>
      <c r="AD32" s="22"/>
      <c r="AE32" s="22"/>
      <c r="AF32" s="22"/>
      <c r="AG32" s="22"/>
      <c r="AH32" s="22"/>
      <c r="AI32" s="22"/>
      <c r="AJ32" s="22"/>
      <c r="AK32" s="22"/>
      <c r="AL32" s="22"/>
      <c r="AM32" s="22"/>
      <c r="AN32" s="22"/>
      <c r="AO32" s="22"/>
    </row>
    <row r="33">
      <c r="A33" s="74"/>
      <c r="B33" s="75">
        <f t="shared" ref="B33:R33" si="114">SUM(B2:B32)</f>
        <v>2128.6400000000003</v>
      </c>
      <c r="C33" s="75">
        <f t="shared" si="114"/>
        <v>6202.3099999999995</v>
      </c>
      <c r="D33" s="75">
        <f t="shared" si="114"/>
        <v>528</v>
      </c>
      <c r="E33" s="75">
        <f t="shared" si="114"/>
        <v>3123</v>
      </c>
      <c r="F33" s="75">
        <f t="shared" si="114"/>
        <v>0</v>
      </c>
      <c r="G33" s="75">
        <f t="shared" si="114"/>
        <v>0</v>
      </c>
      <c r="H33" s="75">
        <f t="shared" si="114"/>
        <v>0</v>
      </c>
      <c r="I33" s="75">
        <f t="shared" si="114"/>
        <v>237</v>
      </c>
      <c r="J33" s="75">
        <f t="shared" si="114"/>
        <v>6538.3999999999996</v>
      </c>
      <c r="K33" s="75">
        <f t="shared" si="114"/>
        <v>628.69999999999993</v>
      </c>
      <c r="L33" s="75">
        <f t="shared" si="114"/>
        <v>2983.21</v>
      </c>
      <c r="M33" s="75">
        <f t="shared" si="114"/>
        <v>28519.75</v>
      </c>
      <c r="N33" s="75">
        <f t="shared" si="114"/>
        <v>625</v>
      </c>
      <c r="O33" s="75">
        <f t="shared" si="114"/>
        <v>0</v>
      </c>
      <c r="P33" s="75">
        <f t="shared" si="114"/>
        <v>0</v>
      </c>
      <c r="Q33" s="75">
        <f t="shared" si="114"/>
        <v>318</v>
      </c>
      <c r="R33" s="75">
        <f t="shared" si="114"/>
        <v>1565</v>
      </c>
      <c r="S33" s="75">
        <f>SUM(B33:R33)</f>
        <v>53397.009999999995</v>
      </c>
      <c r="T33" s="87"/>
      <c r="U33" s="31"/>
      <c r="V33" s="88"/>
      <c r="W33" s="74"/>
      <c r="X33" s="75">
        <f t="shared" ref="X33:AN33" si="115">SUM(X2:X32)</f>
        <v>0</v>
      </c>
      <c r="Y33" s="75">
        <f t="shared" si="115"/>
        <v>4023.1899999999996</v>
      </c>
      <c r="Z33" s="75">
        <f t="shared" si="115"/>
        <v>0</v>
      </c>
      <c r="AA33" s="75">
        <f t="shared" si="115"/>
        <v>957.95000000000005</v>
      </c>
      <c r="AB33" s="75">
        <f t="shared" si="115"/>
        <v>0</v>
      </c>
      <c r="AC33" s="75">
        <f t="shared" si="115"/>
        <v>129</v>
      </c>
      <c r="AD33" s="75">
        <f t="shared" si="115"/>
        <v>0</v>
      </c>
      <c r="AE33" s="75">
        <f t="shared" si="115"/>
        <v>2519</v>
      </c>
      <c r="AF33" s="75">
        <f t="shared" si="115"/>
        <v>21838.809999999998</v>
      </c>
      <c r="AG33" s="75">
        <f t="shared" si="115"/>
        <v>0</v>
      </c>
      <c r="AH33" s="75">
        <f t="shared" si="115"/>
        <v>0</v>
      </c>
      <c r="AI33" s="75">
        <f t="shared" si="115"/>
        <v>0</v>
      </c>
      <c r="AJ33" s="75">
        <f t="shared" si="115"/>
        <v>350</v>
      </c>
      <c r="AK33" s="75">
        <f t="shared" si="115"/>
        <v>0</v>
      </c>
      <c r="AL33" s="75">
        <f t="shared" si="115"/>
        <v>1200</v>
      </c>
      <c r="AM33" s="75">
        <f t="shared" si="115"/>
        <v>360.93000000000001</v>
      </c>
      <c r="AN33" s="75">
        <f t="shared" si="115"/>
        <v>0</v>
      </c>
      <c r="AO33" s="75">
        <f>SUM(X33:AN33)</f>
        <v>31378.879999999997</v>
      </c>
    </row>
    <row r="34">
      <c r="A34" s="84"/>
      <c r="B34" s="84"/>
      <c r="C34" s="84"/>
      <c r="D34" s="84"/>
      <c r="E34" s="84"/>
      <c r="F34" s="84"/>
      <c r="G34" s="84"/>
      <c r="H34" s="84"/>
      <c r="I34" s="84"/>
      <c r="J34" s="84"/>
      <c r="K34" s="84"/>
      <c r="L34" s="84"/>
      <c r="M34" s="84"/>
      <c r="N34" s="84"/>
      <c r="O34" s="84"/>
      <c r="P34" s="84"/>
      <c r="Q34" s="84"/>
      <c r="R34" s="84"/>
      <c r="S34" s="84"/>
      <c r="T34" s="31"/>
      <c r="U34" s="31"/>
      <c r="V34" s="31"/>
      <c r="W34" s="84"/>
      <c r="X34" s="84"/>
      <c r="Y34" s="84"/>
      <c r="Z34" s="84"/>
      <c r="AA34" s="84"/>
      <c r="AB34" s="84"/>
      <c r="AC34" s="84"/>
      <c r="AD34" s="84"/>
      <c r="AE34" s="84"/>
      <c r="AF34" s="84"/>
      <c r="AG34" s="84"/>
      <c r="AH34" s="84"/>
      <c r="AI34" s="84"/>
      <c r="AJ34" s="84"/>
      <c r="AK34" s="84"/>
      <c r="AL34" s="84"/>
      <c r="AM34" s="84"/>
      <c r="AN34" s="84"/>
      <c r="AO34" s="84"/>
    </row>
    <row r="35">
      <c r="A35" s="85" t="s">
        <v>0</v>
      </c>
      <c r="B35" s="85" t="s">
        <v>50</v>
      </c>
      <c r="C35" s="85" t="s">
        <v>13</v>
      </c>
      <c r="D35" s="85" t="s">
        <v>11</v>
      </c>
      <c r="E35" s="85" t="s">
        <v>51</v>
      </c>
      <c r="F35" s="85" t="s">
        <v>52</v>
      </c>
      <c r="G35" s="85" t="s">
        <v>53</v>
      </c>
      <c r="H35" s="85" t="s">
        <v>54</v>
      </c>
      <c r="I35" s="85" t="s">
        <v>55</v>
      </c>
      <c r="J35" s="85" t="s">
        <v>61</v>
      </c>
      <c r="K35" s="85" t="s">
        <v>74</v>
      </c>
      <c r="L35" s="86"/>
      <c r="M35" s="86"/>
      <c r="N35" s="86"/>
      <c r="O35" s="86"/>
      <c r="P35" s="86"/>
      <c r="Q35" s="86"/>
      <c r="R35" s="86"/>
      <c r="S35" s="86"/>
      <c r="T35" s="87"/>
      <c r="U35" s="31"/>
      <c r="V35" s="88"/>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44682</v>
      </c>
      <c r="B36" s="14"/>
      <c r="C36" s="14"/>
      <c r="D36" s="14"/>
      <c r="E36" s="14"/>
      <c r="F36" s="14"/>
      <c r="G36" s="14"/>
      <c r="H36" s="14"/>
      <c r="I36" s="14"/>
      <c r="J36" s="22"/>
      <c r="K36" s="22"/>
      <c r="L36" s="22"/>
      <c r="M36" s="22"/>
      <c r="N36" s="22"/>
      <c r="O36" s="22"/>
      <c r="P36" s="22"/>
      <c r="Q36" s="22"/>
      <c r="R36" s="22"/>
      <c r="S36" s="22"/>
      <c r="T36" s="87"/>
      <c r="U36" s="31"/>
      <c r="V36" s="88"/>
      <c r="W36" s="11">
        <v>44682</v>
      </c>
      <c r="X36" s="14"/>
      <c r="Y36" s="14"/>
      <c r="Z36" s="14"/>
      <c r="AA36" s="14"/>
      <c r="AB36" s="14"/>
      <c r="AC36" s="14"/>
      <c r="AD36" s="14"/>
      <c r="AE36" s="14"/>
      <c r="AF36" s="22"/>
      <c r="AG36" s="22"/>
      <c r="AH36" s="22"/>
      <c r="AI36" s="22"/>
      <c r="AJ36" s="22"/>
      <c r="AK36" s="22"/>
      <c r="AL36" s="22"/>
      <c r="AM36" s="22"/>
      <c r="AN36" s="22"/>
      <c r="AO36" s="22"/>
    </row>
    <row r="37">
      <c r="A37" s="11">
        <v>44683</v>
      </c>
      <c r="B37" s="5"/>
      <c r="C37" s="5"/>
      <c r="D37" s="5"/>
      <c r="E37" s="5"/>
      <c r="F37" s="5"/>
      <c r="G37" s="5"/>
      <c r="H37" s="5"/>
      <c r="I37" s="5"/>
      <c r="J37" s="5"/>
      <c r="K37" s="5"/>
      <c r="L37" s="5"/>
      <c r="M37" s="5"/>
      <c r="N37" s="5"/>
      <c r="O37" s="5"/>
      <c r="P37" s="5"/>
      <c r="Q37" s="5"/>
      <c r="R37" s="5"/>
      <c r="S37" s="5"/>
      <c r="T37" s="87"/>
      <c r="U37" s="31"/>
      <c r="V37" s="88"/>
      <c r="W37" s="11">
        <v>44683</v>
      </c>
      <c r="X37" s="5"/>
      <c r="Y37" s="5"/>
      <c r="Z37" s="5"/>
      <c r="AA37" s="5"/>
      <c r="AB37" s="5"/>
      <c r="AC37" s="5"/>
      <c r="AD37" s="5"/>
      <c r="AE37" s="5"/>
      <c r="AF37" s="5"/>
      <c r="AG37" s="5"/>
      <c r="AH37" s="5"/>
      <c r="AI37" s="5"/>
      <c r="AJ37" s="5"/>
      <c r="AK37" s="5"/>
      <c r="AL37" s="5"/>
      <c r="AM37" s="5"/>
      <c r="AN37" s="5"/>
      <c r="AO37" s="5"/>
    </row>
    <row r="38">
      <c r="A38" s="11">
        <v>44684</v>
      </c>
      <c r="B38" s="14"/>
      <c r="C38" s="14"/>
      <c r="D38" s="14"/>
      <c r="E38" s="14"/>
      <c r="F38" s="14"/>
      <c r="G38" s="14"/>
      <c r="H38" s="14"/>
      <c r="I38" s="14"/>
      <c r="J38" s="22"/>
      <c r="K38" s="22">
        <v>300</v>
      </c>
      <c r="L38" s="22"/>
      <c r="M38" s="22"/>
      <c r="N38" s="22"/>
      <c r="O38" s="22"/>
      <c r="P38" s="22"/>
      <c r="Q38" s="22"/>
      <c r="R38" s="22"/>
      <c r="S38" s="22"/>
      <c r="T38" s="87"/>
      <c r="U38" s="31"/>
      <c r="V38" s="88"/>
      <c r="W38" s="11">
        <v>44684</v>
      </c>
      <c r="X38" s="14"/>
      <c r="Y38" s="14"/>
      <c r="Z38" s="14"/>
      <c r="AA38" s="14"/>
      <c r="AB38" s="14"/>
      <c r="AC38" s="14"/>
      <c r="AD38" s="14"/>
      <c r="AE38" s="14"/>
      <c r="AF38" s="22"/>
      <c r="AG38" s="22"/>
      <c r="AH38" s="22"/>
      <c r="AI38" s="22"/>
      <c r="AJ38" s="22"/>
      <c r="AK38" s="22"/>
      <c r="AL38" s="22"/>
      <c r="AM38" s="22"/>
      <c r="AN38" s="22"/>
      <c r="AO38" s="22"/>
    </row>
    <row r="39">
      <c r="A39" s="11">
        <v>44685</v>
      </c>
      <c r="B39" s="5"/>
      <c r="C39" s="5"/>
      <c r="D39" s="5"/>
      <c r="E39" s="71"/>
      <c r="F39" s="5"/>
      <c r="G39" s="5"/>
      <c r="H39" s="5"/>
      <c r="I39" s="5">
        <v>21</v>
      </c>
      <c r="J39" s="5"/>
      <c r="K39" s="5">
        <v>1000</v>
      </c>
      <c r="L39" s="5"/>
      <c r="M39" s="5"/>
      <c r="N39" s="5"/>
      <c r="O39" s="5"/>
      <c r="P39" s="5"/>
      <c r="Q39" s="5"/>
      <c r="R39" s="5"/>
      <c r="S39" s="5"/>
      <c r="T39" s="87"/>
      <c r="U39" s="31"/>
      <c r="V39" s="88"/>
      <c r="W39" s="11">
        <v>44685</v>
      </c>
      <c r="X39" s="5"/>
      <c r="Y39" s="5"/>
      <c r="Z39" s="5"/>
      <c r="AA39" s="71"/>
      <c r="AB39" s="5"/>
      <c r="AC39" s="5"/>
      <c r="AD39" s="5"/>
      <c r="AE39" s="5"/>
      <c r="AF39" s="5"/>
      <c r="AG39" s="5"/>
      <c r="AH39" s="5"/>
      <c r="AI39" s="5"/>
      <c r="AJ39" s="5"/>
      <c r="AK39" s="5"/>
      <c r="AL39" s="5"/>
      <c r="AM39" s="5"/>
      <c r="AN39" s="5"/>
      <c r="AO39" s="5"/>
    </row>
    <row r="40">
      <c r="A40" s="11">
        <v>44686</v>
      </c>
      <c r="B40" s="14">
        <v>31766.099999999999</v>
      </c>
      <c r="C40" s="14"/>
      <c r="D40" s="14"/>
      <c r="E40" s="14"/>
      <c r="F40" s="14"/>
      <c r="G40" s="14"/>
      <c r="H40" s="14"/>
      <c r="I40" s="14"/>
      <c r="J40" s="14"/>
      <c r="K40" s="14"/>
      <c r="L40" s="14"/>
      <c r="M40" s="14"/>
      <c r="N40" s="14"/>
      <c r="O40" s="14"/>
      <c r="P40" s="14"/>
      <c r="Q40" s="14"/>
      <c r="R40" s="14"/>
      <c r="S40" s="14"/>
      <c r="T40" s="87"/>
      <c r="U40" s="31"/>
      <c r="V40" s="88"/>
      <c r="W40" s="11">
        <v>44686</v>
      </c>
      <c r="X40" s="14"/>
      <c r="Y40" s="14"/>
      <c r="Z40" s="14"/>
      <c r="AA40" s="14"/>
      <c r="AB40" s="14"/>
      <c r="AC40" s="14"/>
      <c r="AD40" s="14"/>
      <c r="AE40" s="14"/>
      <c r="AF40" s="14"/>
      <c r="AG40" s="14"/>
      <c r="AH40" s="14"/>
      <c r="AI40" s="14"/>
      <c r="AJ40" s="14"/>
      <c r="AK40" s="14"/>
      <c r="AL40" s="14"/>
      <c r="AM40" s="14"/>
      <c r="AN40" s="14"/>
      <c r="AO40" s="14"/>
    </row>
    <row r="41">
      <c r="A41" s="11">
        <v>44687</v>
      </c>
      <c r="B41" s="5"/>
      <c r="C41" s="5"/>
      <c r="D41" s="5"/>
      <c r="E41" s="5">
        <v>18.640000000000001</v>
      </c>
      <c r="F41" s="5"/>
      <c r="G41" s="5"/>
      <c r="H41" s="5"/>
      <c r="I41" s="5"/>
      <c r="J41" s="5"/>
      <c r="K41" s="5"/>
      <c r="L41" s="5"/>
      <c r="M41" s="5"/>
      <c r="N41" s="5"/>
      <c r="O41" s="5"/>
      <c r="P41" s="5"/>
      <c r="Q41" s="5"/>
      <c r="R41" s="5"/>
      <c r="S41" s="5"/>
      <c r="T41" s="87"/>
      <c r="U41" s="31"/>
      <c r="V41" s="88"/>
      <c r="W41" s="11">
        <v>44687</v>
      </c>
      <c r="X41" s="5"/>
      <c r="Y41" s="5"/>
      <c r="Z41" s="5"/>
      <c r="AA41" s="5"/>
      <c r="AB41" s="5"/>
      <c r="AC41" s="5"/>
      <c r="AD41" s="5"/>
      <c r="AE41" s="5"/>
      <c r="AF41" s="5"/>
      <c r="AG41" s="5"/>
      <c r="AH41" s="5"/>
      <c r="AI41" s="5"/>
      <c r="AJ41" s="5"/>
      <c r="AK41" s="5"/>
      <c r="AL41" s="5"/>
      <c r="AM41" s="5"/>
      <c r="AN41" s="5"/>
      <c r="AO41" s="5"/>
    </row>
    <row r="42">
      <c r="A42" s="11">
        <v>44688</v>
      </c>
      <c r="B42" s="14"/>
      <c r="C42" s="14"/>
      <c r="D42" s="14"/>
      <c r="E42" s="14"/>
      <c r="F42" s="14"/>
      <c r="G42" s="14"/>
      <c r="H42" s="14"/>
      <c r="I42" s="14"/>
      <c r="J42" s="14"/>
      <c r="K42" s="14"/>
      <c r="L42" s="14"/>
      <c r="M42" s="14"/>
      <c r="N42" s="14"/>
      <c r="O42" s="14"/>
      <c r="P42" s="14"/>
      <c r="Q42" s="14"/>
      <c r="R42" s="14"/>
      <c r="S42" s="14"/>
      <c r="T42" s="87"/>
      <c r="U42" s="31"/>
      <c r="V42" s="88"/>
      <c r="W42" s="11">
        <v>44688</v>
      </c>
      <c r="X42" s="14"/>
      <c r="Y42" s="14"/>
      <c r="Z42" s="14"/>
      <c r="AA42" s="14"/>
      <c r="AB42" s="14"/>
      <c r="AC42" s="14"/>
      <c r="AD42" s="14"/>
      <c r="AE42" s="14"/>
      <c r="AF42" s="14"/>
      <c r="AG42" s="14"/>
      <c r="AH42" s="14"/>
      <c r="AI42" s="14"/>
      <c r="AJ42" s="14"/>
      <c r="AK42" s="14"/>
      <c r="AL42" s="14"/>
      <c r="AM42" s="14"/>
      <c r="AN42" s="14"/>
      <c r="AO42" s="14"/>
    </row>
    <row r="43">
      <c r="A43" s="11">
        <v>44689</v>
      </c>
      <c r="B43" s="5"/>
      <c r="C43" s="5"/>
      <c r="D43" s="5"/>
      <c r="E43" s="5"/>
      <c r="F43" s="5"/>
      <c r="G43" s="5"/>
      <c r="H43" s="5"/>
      <c r="I43" s="5"/>
      <c r="J43" s="5"/>
      <c r="K43" s="5"/>
      <c r="L43" s="5"/>
      <c r="M43" s="5"/>
      <c r="N43" s="5"/>
      <c r="O43" s="5"/>
      <c r="P43" s="5"/>
      <c r="Q43" s="5"/>
      <c r="R43" s="5"/>
      <c r="S43" s="5"/>
      <c r="T43" s="87"/>
      <c r="U43" s="31"/>
      <c r="V43" s="88"/>
      <c r="W43" s="11">
        <v>44689</v>
      </c>
      <c r="X43" s="5"/>
      <c r="Y43" s="5"/>
      <c r="Z43" s="5"/>
      <c r="AA43" s="5"/>
      <c r="AB43" s="5"/>
      <c r="AC43" s="5"/>
      <c r="AD43" s="5"/>
      <c r="AE43" s="5"/>
      <c r="AF43" s="5"/>
      <c r="AG43" s="5"/>
      <c r="AH43" s="5"/>
      <c r="AI43" s="5"/>
      <c r="AJ43" s="5"/>
      <c r="AK43" s="5"/>
      <c r="AL43" s="5"/>
      <c r="AM43" s="5"/>
      <c r="AN43" s="5"/>
      <c r="AO43" s="5"/>
    </row>
    <row r="44">
      <c r="A44" s="11">
        <v>44690</v>
      </c>
      <c r="B44" s="79"/>
      <c r="C44" s="14"/>
      <c r="D44" s="14"/>
      <c r="E44" s="14"/>
      <c r="F44" s="14"/>
      <c r="G44" s="14"/>
      <c r="H44" s="14"/>
      <c r="I44" s="14"/>
      <c r="J44" s="14"/>
      <c r="K44" s="14"/>
      <c r="L44" s="14"/>
      <c r="M44" s="14"/>
      <c r="N44" s="14"/>
      <c r="O44" s="14"/>
      <c r="P44" s="14"/>
      <c r="Q44" s="14"/>
      <c r="R44" s="14"/>
      <c r="S44" s="14"/>
      <c r="T44" s="87"/>
      <c r="U44" s="31"/>
      <c r="V44" s="88"/>
      <c r="W44" s="11">
        <v>44690</v>
      </c>
      <c r="X44" s="79"/>
      <c r="Y44" s="14"/>
      <c r="Z44" s="14"/>
      <c r="AA44" s="14"/>
      <c r="AB44" s="14"/>
      <c r="AC44" s="14"/>
      <c r="AD44" s="14"/>
      <c r="AE44" s="14"/>
      <c r="AF44" s="14"/>
      <c r="AG44" s="14"/>
      <c r="AH44" s="14"/>
      <c r="AI44" s="14"/>
      <c r="AJ44" s="14"/>
      <c r="AK44" s="14"/>
      <c r="AL44" s="14"/>
      <c r="AM44" s="14"/>
      <c r="AN44" s="14"/>
      <c r="AO44" s="14"/>
    </row>
    <row r="45">
      <c r="A45" s="11">
        <v>44691</v>
      </c>
      <c r="B45" s="5"/>
      <c r="C45" s="5"/>
      <c r="D45" s="5"/>
      <c r="E45" s="5"/>
      <c r="F45" s="5"/>
      <c r="G45" s="5"/>
      <c r="H45" s="5"/>
      <c r="I45" s="5"/>
      <c r="J45" s="5"/>
      <c r="K45" s="5"/>
      <c r="L45" s="5"/>
      <c r="M45" s="5"/>
      <c r="N45" s="5"/>
      <c r="O45" s="5"/>
      <c r="P45" s="5"/>
      <c r="Q45" s="5"/>
      <c r="R45" s="5"/>
      <c r="S45" s="5"/>
      <c r="T45" s="87"/>
      <c r="U45" s="31"/>
      <c r="V45" s="88"/>
      <c r="W45" s="11">
        <v>44691</v>
      </c>
      <c r="X45" s="5"/>
      <c r="Y45" s="5"/>
      <c r="Z45" s="5"/>
      <c r="AA45" s="5"/>
      <c r="AB45" s="5"/>
      <c r="AC45" s="5"/>
      <c r="AD45" s="5"/>
      <c r="AE45" s="5"/>
      <c r="AF45" s="5"/>
      <c r="AG45" s="5"/>
      <c r="AH45" s="5"/>
      <c r="AI45" s="5"/>
      <c r="AJ45" s="5"/>
      <c r="AK45" s="5"/>
      <c r="AL45" s="5"/>
      <c r="AM45" s="5"/>
      <c r="AN45" s="5"/>
      <c r="AO45" s="5"/>
    </row>
    <row r="46">
      <c r="A46" s="11">
        <v>44692</v>
      </c>
      <c r="B46" s="14"/>
      <c r="C46" s="14"/>
      <c r="D46" s="14"/>
      <c r="E46" s="14"/>
      <c r="F46" s="14"/>
      <c r="G46" s="14"/>
      <c r="H46" s="14"/>
      <c r="I46" s="14"/>
      <c r="J46" s="14"/>
      <c r="K46" s="14"/>
      <c r="L46" s="14"/>
      <c r="M46" s="14"/>
      <c r="N46" s="14"/>
      <c r="O46" s="14"/>
      <c r="P46" s="14"/>
      <c r="Q46" s="14"/>
      <c r="R46" s="14"/>
      <c r="S46" s="14"/>
      <c r="T46" s="87"/>
      <c r="U46" s="31"/>
      <c r="V46" s="88"/>
      <c r="W46" s="11">
        <v>44692</v>
      </c>
      <c r="X46" s="14"/>
      <c r="Y46" s="14"/>
      <c r="Z46" s="14"/>
      <c r="AA46" s="14"/>
      <c r="AB46" s="14"/>
      <c r="AC46" s="14"/>
      <c r="AD46" s="14"/>
      <c r="AE46" s="14"/>
      <c r="AF46" s="14"/>
      <c r="AG46" s="14"/>
      <c r="AH46" s="14"/>
      <c r="AI46" s="14"/>
      <c r="AJ46" s="14"/>
      <c r="AK46" s="14"/>
      <c r="AL46" s="14"/>
      <c r="AM46" s="14"/>
      <c r="AN46" s="14"/>
      <c r="AO46" s="14"/>
    </row>
    <row r="47">
      <c r="A47" s="11">
        <v>44693</v>
      </c>
      <c r="B47" s="5"/>
      <c r="C47" s="5"/>
      <c r="D47" s="5"/>
      <c r="E47" s="5"/>
      <c r="F47" s="5"/>
      <c r="G47" s="5"/>
      <c r="H47" s="5"/>
      <c r="I47" s="5">
        <v>456</v>
      </c>
      <c r="J47" s="5"/>
      <c r="K47" s="5"/>
      <c r="L47" s="5"/>
      <c r="M47" s="5"/>
      <c r="N47" s="5"/>
      <c r="O47" s="5"/>
      <c r="P47" s="5"/>
      <c r="Q47" s="5"/>
      <c r="R47" s="5"/>
      <c r="S47" s="5"/>
      <c r="T47" s="87"/>
      <c r="U47" s="31"/>
      <c r="V47" s="88"/>
      <c r="W47" s="11">
        <v>44693</v>
      </c>
      <c r="X47" s="5"/>
      <c r="Y47" s="5"/>
      <c r="Z47" s="5"/>
      <c r="AA47" s="5"/>
      <c r="AB47" s="5"/>
      <c r="AC47" s="5"/>
      <c r="AD47" s="5"/>
      <c r="AE47" s="5"/>
      <c r="AF47" s="5"/>
      <c r="AG47" s="5"/>
      <c r="AH47" s="5"/>
      <c r="AI47" s="5"/>
      <c r="AJ47" s="5"/>
      <c r="AK47" s="5"/>
      <c r="AL47" s="5"/>
      <c r="AM47" s="5"/>
      <c r="AN47" s="5"/>
      <c r="AO47" s="5"/>
    </row>
    <row r="48">
      <c r="A48" s="11">
        <v>44694</v>
      </c>
      <c r="B48" s="14"/>
      <c r="C48" s="14"/>
      <c r="D48" s="14"/>
      <c r="E48" s="14"/>
      <c r="F48" s="14"/>
      <c r="G48" s="14"/>
      <c r="H48" s="14"/>
      <c r="I48" s="14"/>
      <c r="J48" s="14"/>
      <c r="K48" s="14"/>
      <c r="L48" s="14"/>
      <c r="M48" s="14"/>
      <c r="N48" s="14"/>
      <c r="O48" s="14"/>
      <c r="P48" s="14"/>
      <c r="Q48" s="14"/>
      <c r="R48" s="14"/>
      <c r="S48" s="14"/>
      <c r="T48" s="87"/>
      <c r="U48" s="31"/>
      <c r="V48" s="88"/>
      <c r="W48" s="11">
        <v>44694</v>
      </c>
      <c r="X48" s="14">
        <v>19706.650000000001</v>
      </c>
      <c r="Y48" s="14"/>
      <c r="Z48" s="14"/>
      <c r="AA48" s="14"/>
      <c r="AB48" s="14"/>
      <c r="AC48" s="14"/>
      <c r="AD48" s="14"/>
      <c r="AE48" s="14"/>
      <c r="AF48" s="14"/>
      <c r="AG48" s="14"/>
      <c r="AH48" s="14"/>
      <c r="AI48" s="14"/>
      <c r="AJ48" s="14"/>
      <c r="AK48" s="14"/>
      <c r="AL48" s="14"/>
      <c r="AM48" s="14"/>
      <c r="AN48" s="14"/>
      <c r="AO48" s="14"/>
    </row>
    <row r="49">
      <c r="A49" s="11">
        <v>44695</v>
      </c>
      <c r="B49" s="5"/>
      <c r="C49" s="5"/>
      <c r="D49" s="5"/>
      <c r="E49" s="5"/>
      <c r="F49" s="5"/>
      <c r="G49" s="5"/>
      <c r="H49" s="5"/>
      <c r="I49" s="5"/>
      <c r="J49" s="5"/>
      <c r="K49" s="5"/>
      <c r="L49" s="5"/>
      <c r="M49" s="5"/>
      <c r="N49" s="5"/>
      <c r="O49" s="5"/>
      <c r="P49" s="5"/>
      <c r="Q49" s="5"/>
      <c r="R49" s="5"/>
      <c r="S49" s="5"/>
      <c r="T49" s="87"/>
      <c r="U49" s="31"/>
      <c r="V49" s="88"/>
      <c r="W49" s="11">
        <v>44695</v>
      </c>
      <c r="X49" s="5"/>
      <c r="Y49" s="5"/>
      <c r="Z49" s="5"/>
      <c r="AA49" s="5"/>
      <c r="AB49" s="5"/>
      <c r="AC49" s="5"/>
      <c r="AD49" s="5"/>
      <c r="AE49" s="5"/>
      <c r="AF49" s="5"/>
      <c r="AG49" s="5"/>
      <c r="AH49" s="5"/>
      <c r="AI49" s="5"/>
      <c r="AJ49" s="5"/>
      <c r="AK49" s="5"/>
      <c r="AL49" s="5"/>
      <c r="AM49" s="5"/>
      <c r="AN49" s="5"/>
      <c r="AO49" s="5"/>
    </row>
    <row r="50">
      <c r="A50" s="11">
        <v>44696</v>
      </c>
      <c r="B50" s="14"/>
      <c r="C50" s="14"/>
      <c r="D50" s="14"/>
      <c r="E50" s="14"/>
      <c r="F50" s="14"/>
      <c r="G50" s="14"/>
      <c r="H50" s="14"/>
      <c r="I50" s="14"/>
      <c r="J50" s="14"/>
      <c r="K50" s="14"/>
      <c r="L50" s="14"/>
      <c r="M50" s="14"/>
      <c r="N50" s="14"/>
      <c r="O50" s="14"/>
      <c r="P50" s="14"/>
      <c r="Q50" s="14"/>
      <c r="R50" s="14"/>
      <c r="S50" s="14"/>
      <c r="T50" s="87"/>
      <c r="U50" s="31"/>
      <c r="V50" s="88"/>
      <c r="W50" s="11">
        <v>44696</v>
      </c>
      <c r="X50" s="14"/>
      <c r="Y50" s="14"/>
      <c r="Z50" s="14"/>
      <c r="AA50" s="14">
        <v>82.890000000000001</v>
      </c>
      <c r="AB50" s="14"/>
      <c r="AC50" s="14"/>
      <c r="AD50" s="14"/>
      <c r="AE50" s="14">
        <v>190</v>
      </c>
      <c r="AF50" s="14"/>
      <c r="AG50" s="14"/>
      <c r="AH50" s="14"/>
      <c r="AI50" s="14"/>
      <c r="AJ50" s="14"/>
      <c r="AK50" s="14"/>
      <c r="AL50" s="14"/>
      <c r="AM50" s="14"/>
      <c r="AN50" s="14"/>
      <c r="AO50" s="14"/>
    </row>
    <row r="51">
      <c r="A51" s="11">
        <v>44697</v>
      </c>
      <c r="B51" s="5"/>
      <c r="C51" s="5"/>
      <c r="D51" s="5"/>
      <c r="E51" s="5"/>
      <c r="F51" s="5"/>
      <c r="G51" s="5"/>
      <c r="H51" s="5"/>
      <c r="I51" s="5"/>
      <c r="J51" s="5"/>
      <c r="K51" s="5"/>
      <c r="L51" s="5"/>
      <c r="M51" s="5"/>
      <c r="N51" s="5"/>
      <c r="O51" s="5"/>
      <c r="P51" s="5"/>
      <c r="Q51" s="5"/>
      <c r="R51" s="5"/>
      <c r="S51" s="5"/>
      <c r="T51" s="87"/>
      <c r="U51" s="31"/>
      <c r="V51" s="88"/>
      <c r="W51" s="11">
        <v>44697</v>
      </c>
      <c r="X51" s="5"/>
      <c r="Y51" s="5"/>
      <c r="Z51" s="5"/>
      <c r="AA51" s="5"/>
      <c r="AB51" s="5"/>
      <c r="AC51" s="5"/>
      <c r="AD51" s="5"/>
      <c r="AE51" s="5"/>
      <c r="AF51" s="5"/>
      <c r="AG51" s="5"/>
      <c r="AH51" s="5"/>
      <c r="AI51" s="5"/>
      <c r="AJ51" s="5"/>
      <c r="AK51" s="5"/>
      <c r="AL51" s="5"/>
      <c r="AM51" s="5"/>
      <c r="AN51" s="5"/>
      <c r="AO51" s="5"/>
    </row>
    <row r="52">
      <c r="A52" s="11">
        <v>44698</v>
      </c>
      <c r="B52" s="14"/>
      <c r="C52" s="14"/>
      <c r="D52" s="14"/>
      <c r="E52" s="14"/>
      <c r="F52" s="14"/>
      <c r="G52" s="14"/>
      <c r="H52" s="14"/>
      <c r="I52" s="14"/>
      <c r="J52" s="14"/>
      <c r="K52" s="14"/>
      <c r="L52" s="14"/>
      <c r="M52" s="14"/>
      <c r="N52" s="14"/>
      <c r="O52" s="14"/>
      <c r="P52" s="14"/>
      <c r="Q52" s="14"/>
      <c r="R52" s="14"/>
      <c r="S52" s="14"/>
      <c r="T52" s="87"/>
      <c r="U52" s="31"/>
      <c r="V52" s="88"/>
      <c r="W52" s="11">
        <v>44698</v>
      </c>
      <c r="X52" s="14"/>
      <c r="Y52" s="14"/>
      <c r="Z52" s="14"/>
      <c r="AA52" s="14"/>
      <c r="AB52" s="14"/>
      <c r="AC52" s="14"/>
      <c r="AD52" s="14"/>
      <c r="AE52" s="14"/>
      <c r="AF52" s="14"/>
      <c r="AG52" s="14"/>
      <c r="AH52" s="14"/>
      <c r="AI52" s="14"/>
      <c r="AJ52" s="14"/>
      <c r="AK52" s="14"/>
      <c r="AL52" s="14"/>
      <c r="AM52" s="14"/>
      <c r="AN52" s="14"/>
      <c r="AO52" s="14"/>
    </row>
    <row r="53">
      <c r="A53" s="11">
        <v>44699</v>
      </c>
      <c r="B53" s="5"/>
      <c r="C53" s="5"/>
      <c r="D53" s="5"/>
      <c r="E53" s="5"/>
      <c r="F53" s="5"/>
      <c r="G53" s="5"/>
      <c r="H53" s="5"/>
      <c r="I53" s="5"/>
      <c r="J53" s="5"/>
      <c r="K53" s="5"/>
      <c r="L53" s="5"/>
      <c r="M53" s="5"/>
      <c r="N53" s="5"/>
      <c r="O53" s="5"/>
      <c r="P53" s="5"/>
      <c r="Q53" s="5"/>
      <c r="R53" s="5"/>
      <c r="S53" s="5"/>
      <c r="T53" s="87"/>
      <c r="U53" s="31"/>
      <c r="V53" s="88"/>
      <c r="W53" s="11">
        <v>44699</v>
      </c>
      <c r="X53" s="5"/>
      <c r="Y53" s="5"/>
      <c r="Z53" s="5"/>
      <c r="AA53" s="5"/>
      <c r="AB53" s="5"/>
      <c r="AC53" s="5"/>
      <c r="AD53" s="5"/>
      <c r="AE53" s="5"/>
      <c r="AF53" s="5"/>
      <c r="AG53" s="5"/>
      <c r="AH53" s="5"/>
      <c r="AI53" s="5"/>
      <c r="AJ53" s="5"/>
      <c r="AK53" s="5"/>
      <c r="AL53" s="5"/>
      <c r="AM53" s="5"/>
      <c r="AN53" s="5"/>
      <c r="AO53" s="5"/>
    </row>
    <row r="54">
      <c r="A54" s="11">
        <v>44700</v>
      </c>
      <c r="B54" s="14"/>
      <c r="C54" s="14"/>
      <c r="D54" s="14"/>
      <c r="E54" s="14"/>
      <c r="F54" s="14"/>
      <c r="G54" s="14"/>
      <c r="H54" s="14"/>
      <c r="I54" s="14"/>
      <c r="J54" s="14"/>
      <c r="K54" s="14"/>
      <c r="L54" s="14"/>
      <c r="M54" s="14"/>
      <c r="N54" s="14"/>
      <c r="O54" s="14"/>
      <c r="P54" s="14"/>
      <c r="Q54" s="14"/>
      <c r="R54" s="14"/>
      <c r="S54" s="14"/>
      <c r="T54" s="87"/>
      <c r="U54" s="31"/>
      <c r="V54" s="88"/>
      <c r="W54" s="11">
        <v>44700</v>
      </c>
      <c r="X54" s="14"/>
      <c r="Y54" s="14"/>
      <c r="Z54" s="14"/>
      <c r="AA54" s="14"/>
      <c r="AB54" s="14"/>
      <c r="AC54" s="14"/>
      <c r="AD54" s="14"/>
      <c r="AE54" s="14"/>
      <c r="AF54" s="14"/>
      <c r="AG54" s="14"/>
      <c r="AH54" s="14"/>
      <c r="AI54" s="14"/>
      <c r="AJ54" s="14"/>
      <c r="AK54" s="14"/>
      <c r="AL54" s="14"/>
      <c r="AM54" s="14"/>
      <c r="AN54" s="14"/>
      <c r="AO54" s="14"/>
    </row>
    <row r="55">
      <c r="A55" s="11">
        <v>44701</v>
      </c>
      <c r="B55" s="5">
        <v>7614</v>
      </c>
      <c r="C55" s="5"/>
      <c r="D55" s="5"/>
      <c r="E55" s="5"/>
      <c r="F55" s="5"/>
      <c r="G55" s="5"/>
      <c r="H55" s="5"/>
      <c r="I55" s="5"/>
      <c r="J55" s="5"/>
      <c r="K55" s="5"/>
      <c r="L55" s="5"/>
      <c r="M55" s="5"/>
      <c r="N55" s="5"/>
      <c r="O55" s="5"/>
      <c r="P55" s="5"/>
      <c r="Q55" s="5"/>
      <c r="R55" s="5"/>
      <c r="S55" s="5"/>
      <c r="T55" s="87"/>
      <c r="U55" s="31"/>
      <c r="V55" s="88"/>
      <c r="W55" s="11">
        <v>44701</v>
      </c>
      <c r="X55" s="5"/>
      <c r="Y55" s="5"/>
      <c r="Z55" s="5"/>
      <c r="AA55" s="5"/>
      <c r="AB55" s="5"/>
      <c r="AC55" s="5"/>
      <c r="AD55" s="5"/>
      <c r="AE55" s="5"/>
      <c r="AF55" s="5"/>
      <c r="AG55" s="5"/>
      <c r="AH55" s="5"/>
      <c r="AI55" s="5"/>
      <c r="AJ55" s="5"/>
      <c r="AK55" s="5"/>
      <c r="AL55" s="5"/>
      <c r="AM55" s="5"/>
      <c r="AN55" s="5"/>
      <c r="AO55" s="5"/>
    </row>
    <row r="56">
      <c r="A56" s="11">
        <v>44702</v>
      </c>
      <c r="B56" s="14"/>
      <c r="C56" s="14"/>
      <c r="D56" s="14"/>
      <c r="E56" s="14"/>
      <c r="F56" s="14"/>
      <c r="G56" s="14"/>
      <c r="H56" s="14"/>
      <c r="I56" s="14"/>
      <c r="J56" s="14"/>
      <c r="K56" s="14"/>
      <c r="L56" s="14"/>
      <c r="M56" s="14"/>
      <c r="N56" s="14"/>
      <c r="O56" s="14"/>
      <c r="P56" s="14"/>
      <c r="Q56" s="14"/>
      <c r="R56" s="14"/>
      <c r="S56" s="14"/>
      <c r="T56" s="87"/>
      <c r="U56" s="31"/>
      <c r="V56" s="88"/>
      <c r="W56" s="11">
        <v>44702</v>
      </c>
      <c r="X56" s="14"/>
      <c r="Y56" s="14"/>
      <c r="Z56" s="14"/>
      <c r="AA56" s="14"/>
      <c r="AB56" s="14"/>
      <c r="AC56" s="14"/>
      <c r="AD56" s="14"/>
      <c r="AE56" s="14"/>
      <c r="AF56" s="14"/>
      <c r="AG56" s="14"/>
      <c r="AH56" s="14"/>
      <c r="AI56" s="14"/>
      <c r="AJ56" s="14"/>
      <c r="AK56" s="14"/>
      <c r="AL56" s="14"/>
      <c r="AM56" s="14"/>
      <c r="AN56" s="14"/>
      <c r="AO56" s="14"/>
    </row>
    <row r="57">
      <c r="A57" s="11">
        <v>44703</v>
      </c>
      <c r="B57" s="5"/>
      <c r="C57" s="5"/>
      <c r="D57" s="5"/>
      <c r="E57" s="5"/>
      <c r="F57" s="5"/>
      <c r="G57" s="5"/>
      <c r="H57" s="5"/>
      <c r="I57" s="5"/>
      <c r="J57" s="5"/>
      <c r="K57" s="5"/>
      <c r="L57" s="5"/>
      <c r="M57" s="5"/>
      <c r="N57" s="5"/>
      <c r="O57" s="5"/>
      <c r="P57" s="5"/>
      <c r="Q57" s="5"/>
      <c r="R57" s="5"/>
      <c r="S57" s="5"/>
      <c r="T57" s="87"/>
      <c r="U57" s="31"/>
      <c r="V57" s="88"/>
      <c r="W57" s="11">
        <v>44703</v>
      </c>
      <c r="X57" s="5"/>
      <c r="Y57" s="5"/>
      <c r="Z57" s="5"/>
      <c r="AA57" s="5"/>
      <c r="AB57" s="5"/>
      <c r="AC57" s="5"/>
      <c r="AD57" s="5"/>
      <c r="AE57" s="5"/>
      <c r="AF57" s="5"/>
      <c r="AG57" s="5"/>
      <c r="AH57" s="5"/>
      <c r="AI57" s="5"/>
      <c r="AJ57" s="5"/>
      <c r="AK57" s="5"/>
      <c r="AL57" s="5"/>
      <c r="AM57" s="5"/>
      <c r="AN57" s="5"/>
      <c r="AO57" s="5"/>
    </row>
    <row r="58">
      <c r="A58" s="11">
        <v>44704</v>
      </c>
      <c r="B58" s="14"/>
      <c r="C58" s="14"/>
      <c r="D58" s="14"/>
      <c r="E58" s="14"/>
      <c r="F58" s="14"/>
      <c r="G58" s="14"/>
      <c r="H58" s="14"/>
      <c r="I58" s="14"/>
      <c r="J58" s="14"/>
      <c r="K58" s="14"/>
      <c r="L58" s="14"/>
      <c r="M58" s="14"/>
      <c r="N58" s="14"/>
      <c r="O58" s="14"/>
      <c r="P58" s="14"/>
      <c r="Q58" s="14"/>
      <c r="R58" s="14"/>
      <c r="S58" s="14"/>
      <c r="T58" s="87"/>
      <c r="U58" s="31"/>
      <c r="V58" s="88"/>
      <c r="W58" s="11">
        <v>44704</v>
      </c>
      <c r="X58" s="14"/>
      <c r="Y58" s="14"/>
      <c r="Z58" s="14"/>
      <c r="AA58" s="14"/>
      <c r="AB58" s="14"/>
      <c r="AC58" s="14"/>
      <c r="AD58" s="14"/>
      <c r="AE58" s="14"/>
      <c r="AF58" s="14"/>
      <c r="AG58" s="14"/>
      <c r="AH58" s="14"/>
      <c r="AI58" s="14"/>
      <c r="AJ58" s="14"/>
      <c r="AK58" s="14"/>
      <c r="AL58" s="14"/>
      <c r="AM58" s="14"/>
      <c r="AN58" s="14"/>
      <c r="AO58" s="14"/>
    </row>
    <row r="59">
      <c r="A59" s="11">
        <v>44705</v>
      </c>
      <c r="B59" s="5"/>
      <c r="C59" s="5"/>
      <c r="D59" s="5"/>
      <c r="E59" s="5"/>
      <c r="F59" s="5"/>
      <c r="G59" s="5"/>
      <c r="H59" s="5"/>
      <c r="I59" s="5"/>
      <c r="J59" s="5"/>
      <c r="K59" s="5"/>
      <c r="L59" s="5"/>
      <c r="M59" s="5"/>
      <c r="N59" s="5"/>
      <c r="O59" s="5"/>
      <c r="P59" s="5"/>
      <c r="Q59" s="5"/>
      <c r="R59" s="5"/>
      <c r="S59" s="5"/>
      <c r="T59" s="87"/>
      <c r="U59" s="31"/>
      <c r="V59" s="88"/>
      <c r="W59" s="11">
        <v>44705</v>
      </c>
      <c r="X59" s="5"/>
      <c r="Y59" s="5"/>
      <c r="Z59" s="5"/>
      <c r="AA59" s="5"/>
      <c r="AB59" s="5"/>
      <c r="AC59" s="5"/>
      <c r="AD59" s="5"/>
      <c r="AE59" s="5"/>
      <c r="AF59" s="5"/>
      <c r="AG59" s="5"/>
      <c r="AH59" s="5"/>
      <c r="AI59" s="5"/>
      <c r="AJ59" s="5"/>
      <c r="AK59" s="5"/>
      <c r="AL59" s="5"/>
      <c r="AM59" s="5"/>
      <c r="AN59" s="5"/>
      <c r="AO59" s="5"/>
    </row>
    <row r="60">
      <c r="A60" s="11">
        <v>44706</v>
      </c>
      <c r="B60" s="14"/>
      <c r="C60" s="14"/>
      <c r="D60" s="14"/>
      <c r="E60" s="14"/>
      <c r="F60" s="14"/>
      <c r="G60" s="14"/>
      <c r="H60" s="14"/>
      <c r="I60" s="14"/>
      <c r="J60" s="14"/>
      <c r="K60" s="14"/>
      <c r="L60" s="14"/>
      <c r="M60" s="14"/>
      <c r="N60" s="14"/>
      <c r="O60" s="14"/>
      <c r="P60" s="14"/>
      <c r="Q60" s="14"/>
      <c r="R60" s="14"/>
      <c r="S60" s="14"/>
      <c r="T60" s="87"/>
      <c r="U60" s="31"/>
      <c r="V60" s="88"/>
      <c r="W60" s="11">
        <v>44706</v>
      </c>
      <c r="X60" s="14"/>
      <c r="Y60" s="14"/>
      <c r="Z60" s="14"/>
      <c r="AA60" s="14"/>
      <c r="AB60" s="14"/>
      <c r="AC60" s="14"/>
      <c r="AD60" s="14"/>
      <c r="AE60" s="14"/>
      <c r="AF60" s="14"/>
      <c r="AG60" s="14"/>
      <c r="AH60" s="14"/>
      <c r="AI60" s="14"/>
      <c r="AJ60" s="14"/>
      <c r="AK60" s="14"/>
      <c r="AL60" s="14"/>
      <c r="AM60" s="14"/>
      <c r="AN60" s="14"/>
      <c r="AO60" s="14"/>
    </row>
    <row r="61">
      <c r="A61" s="11">
        <v>44707</v>
      </c>
      <c r="B61" s="5"/>
      <c r="C61" s="5"/>
      <c r="D61" s="5"/>
      <c r="E61" s="5"/>
      <c r="F61" s="5"/>
      <c r="G61" s="5"/>
      <c r="H61" s="5"/>
      <c r="I61" s="5"/>
      <c r="J61" s="5"/>
      <c r="K61" s="5"/>
      <c r="L61" s="5"/>
      <c r="M61" s="5"/>
      <c r="N61" s="5"/>
      <c r="O61" s="5"/>
      <c r="P61" s="5"/>
      <c r="Q61" s="5"/>
      <c r="R61" s="5"/>
      <c r="S61" s="5"/>
      <c r="T61" s="87"/>
      <c r="U61" s="31"/>
      <c r="V61" s="88"/>
      <c r="W61" s="11">
        <v>44707</v>
      </c>
      <c r="X61" s="5"/>
      <c r="Y61" s="5"/>
      <c r="Z61" s="5"/>
      <c r="AA61" s="5"/>
      <c r="AB61" s="5"/>
      <c r="AC61" s="5"/>
      <c r="AD61" s="5"/>
      <c r="AE61" s="5"/>
      <c r="AF61" s="5"/>
      <c r="AG61" s="5"/>
      <c r="AH61" s="5"/>
      <c r="AI61" s="5"/>
      <c r="AJ61" s="5"/>
      <c r="AK61" s="5"/>
      <c r="AL61" s="5"/>
      <c r="AM61" s="5"/>
      <c r="AN61" s="5"/>
      <c r="AO61" s="5"/>
    </row>
    <row r="62">
      <c r="A62" s="11">
        <v>44708</v>
      </c>
      <c r="B62" s="14"/>
      <c r="C62" s="14"/>
      <c r="D62" s="14"/>
      <c r="E62" s="14"/>
      <c r="F62" s="14"/>
      <c r="G62" s="14"/>
      <c r="H62" s="14"/>
      <c r="I62" s="14"/>
      <c r="J62" s="14"/>
      <c r="K62" s="14"/>
      <c r="L62" s="14"/>
      <c r="M62" s="14"/>
      <c r="N62" s="14"/>
      <c r="O62" s="14"/>
      <c r="P62" s="14"/>
      <c r="Q62" s="14"/>
      <c r="R62" s="14"/>
      <c r="S62" s="14"/>
      <c r="T62" s="87"/>
      <c r="U62" s="31"/>
      <c r="V62" s="88"/>
      <c r="W62" s="11">
        <v>44708</v>
      </c>
      <c r="X62" s="14">
        <v>6112.0299999999997</v>
      </c>
      <c r="Y62" s="14"/>
      <c r="Z62" s="14"/>
      <c r="AA62" s="14"/>
      <c r="AB62" s="14"/>
      <c r="AC62" s="14"/>
      <c r="AD62" s="14"/>
      <c r="AE62" s="14"/>
      <c r="AF62" s="14"/>
      <c r="AG62" s="14"/>
      <c r="AH62" s="14"/>
      <c r="AI62" s="14"/>
      <c r="AJ62" s="14"/>
      <c r="AK62" s="14"/>
      <c r="AL62" s="14"/>
      <c r="AM62" s="14"/>
      <c r="AN62" s="14"/>
      <c r="AO62" s="14"/>
    </row>
    <row r="63">
      <c r="A63" s="11">
        <v>44709</v>
      </c>
      <c r="B63" s="5"/>
      <c r="C63" s="5"/>
      <c r="D63" s="5"/>
      <c r="E63" s="5"/>
      <c r="F63" s="5"/>
      <c r="G63" s="5"/>
      <c r="H63" s="5"/>
      <c r="I63" s="5"/>
      <c r="J63" s="5"/>
      <c r="K63" s="5"/>
      <c r="L63" s="5"/>
      <c r="M63" s="5"/>
      <c r="N63" s="5"/>
      <c r="O63" s="5"/>
      <c r="P63" s="5"/>
      <c r="Q63" s="5"/>
      <c r="R63" s="48"/>
      <c r="S63" s="5"/>
      <c r="T63" s="87"/>
      <c r="U63" s="31"/>
      <c r="V63" s="88"/>
      <c r="W63" s="11">
        <v>44709</v>
      </c>
      <c r="X63" s="5"/>
      <c r="Y63" s="5"/>
      <c r="Z63" s="5"/>
      <c r="AA63" s="5"/>
      <c r="AB63" s="5"/>
      <c r="AC63" s="5"/>
      <c r="AD63" s="5"/>
      <c r="AE63" s="5"/>
      <c r="AF63" s="5"/>
      <c r="AG63" s="5"/>
      <c r="AH63" s="5"/>
      <c r="AI63" s="5"/>
      <c r="AJ63" s="5"/>
      <c r="AK63" s="5"/>
      <c r="AL63" s="5"/>
      <c r="AM63" s="5"/>
      <c r="AN63" s="48"/>
      <c r="AO63" s="5"/>
    </row>
    <row r="64">
      <c r="A64" s="11">
        <v>44710</v>
      </c>
      <c r="B64" s="22"/>
      <c r="C64" s="22"/>
      <c r="D64" s="22"/>
      <c r="E64" s="22"/>
      <c r="F64" s="22"/>
      <c r="G64" s="22"/>
      <c r="H64" s="22"/>
      <c r="I64" s="22"/>
      <c r="J64" s="14"/>
      <c r="K64" s="14"/>
      <c r="L64" s="14"/>
      <c r="M64" s="14"/>
      <c r="N64" s="14"/>
      <c r="O64" s="14"/>
      <c r="P64" s="14"/>
      <c r="Q64" s="14"/>
      <c r="R64" s="80"/>
      <c r="S64" s="14"/>
      <c r="T64" s="87"/>
      <c r="U64" s="31"/>
      <c r="V64" s="88"/>
      <c r="W64" s="11">
        <v>44710</v>
      </c>
      <c r="X64" s="22"/>
      <c r="Y64" s="22"/>
      <c r="Z64" s="22"/>
      <c r="AA64" s="22"/>
      <c r="AB64" s="22"/>
      <c r="AC64" s="22"/>
      <c r="AD64" s="22"/>
      <c r="AE64" s="22"/>
      <c r="AF64" s="14"/>
      <c r="AG64" s="14"/>
      <c r="AH64" s="14"/>
      <c r="AI64" s="14"/>
      <c r="AJ64" s="14"/>
      <c r="AK64" s="14"/>
      <c r="AL64" s="14"/>
      <c r="AM64" s="14"/>
      <c r="AN64" s="80"/>
      <c r="AO64" s="14"/>
    </row>
    <row r="65">
      <c r="A65" s="11">
        <v>44711</v>
      </c>
      <c r="B65" s="5"/>
      <c r="C65" s="5"/>
      <c r="D65" s="5"/>
      <c r="E65" s="5"/>
      <c r="F65" s="5"/>
      <c r="G65" s="5"/>
      <c r="H65" s="5"/>
      <c r="I65" s="5"/>
      <c r="J65" s="5"/>
      <c r="K65" s="5"/>
      <c r="L65" s="5"/>
      <c r="M65" s="5"/>
      <c r="N65" s="5"/>
      <c r="O65" s="5"/>
      <c r="P65" s="5"/>
      <c r="Q65" s="5"/>
      <c r="R65" s="48"/>
      <c r="S65" s="5"/>
      <c r="T65" s="87"/>
      <c r="U65" s="31"/>
      <c r="V65" s="88"/>
      <c r="W65" s="11">
        <v>44711</v>
      </c>
      <c r="X65" s="5"/>
      <c r="Y65" s="5"/>
      <c r="Z65" s="5"/>
      <c r="AA65" s="5"/>
      <c r="AB65" s="5"/>
      <c r="AC65" s="5"/>
      <c r="AD65" s="5"/>
      <c r="AE65" s="5"/>
      <c r="AF65" s="5"/>
      <c r="AG65" s="5"/>
      <c r="AH65" s="5"/>
      <c r="AI65" s="5"/>
      <c r="AJ65" s="5"/>
      <c r="AK65" s="5"/>
      <c r="AL65" s="5"/>
      <c r="AM65" s="5"/>
      <c r="AN65" s="48"/>
      <c r="AO65" s="5"/>
    </row>
    <row r="66">
      <c r="A66" s="11">
        <v>44712</v>
      </c>
      <c r="B66" s="22"/>
      <c r="C66" s="22"/>
      <c r="D66" s="22"/>
      <c r="E66" s="22">
        <f>85.12+170.23</f>
        <v>255.34999999999999</v>
      </c>
      <c r="F66" s="22"/>
      <c r="G66" s="22"/>
      <c r="H66" s="22"/>
      <c r="I66" s="22"/>
      <c r="J66" s="14"/>
      <c r="K66" s="14"/>
      <c r="L66" s="14"/>
      <c r="M66" s="14"/>
      <c r="N66" s="14"/>
      <c r="O66" s="14"/>
      <c r="P66" s="14"/>
      <c r="Q66" s="14"/>
      <c r="R66" s="80"/>
      <c r="S66" s="14"/>
      <c r="T66" s="87"/>
      <c r="U66" s="31"/>
      <c r="V66" s="88"/>
      <c r="W66" s="11">
        <v>44712</v>
      </c>
      <c r="X66" s="22"/>
      <c r="Y66" s="22"/>
      <c r="Z66" s="22"/>
      <c r="AA66" s="22"/>
      <c r="AB66" s="22"/>
      <c r="AC66" s="22"/>
      <c r="AD66" s="22"/>
      <c r="AE66" s="22"/>
      <c r="AF66" s="14"/>
      <c r="AG66" s="14"/>
      <c r="AH66" s="14"/>
      <c r="AI66" s="14"/>
      <c r="AJ66" s="14"/>
      <c r="AK66" s="14"/>
      <c r="AL66" s="14"/>
      <c r="AM66" s="14"/>
      <c r="AN66" s="80"/>
      <c r="AO66" s="14"/>
    </row>
    <row r="67">
      <c r="A67" s="74"/>
      <c r="B67" s="75">
        <f t="shared" ref="B67:R67" si="116">SUM(B36:B66)</f>
        <v>39380.099999999999</v>
      </c>
      <c r="C67" s="75">
        <f t="shared" si="116"/>
        <v>0</v>
      </c>
      <c r="D67" s="75">
        <f t="shared" si="116"/>
        <v>0</v>
      </c>
      <c r="E67" s="75">
        <f t="shared" si="116"/>
        <v>273.99000000000001</v>
      </c>
      <c r="F67" s="75">
        <f t="shared" si="116"/>
        <v>0</v>
      </c>
      <c r="G67" s="75">
        <f t="shared" si="116"/>
        <v>0</v>
      </c>
      <c r="H67" s="75">
        <f t="shared" si="116"/>
        <v>0</v>
      </c>
      <c r="I67" s="75">
        <f t="shared" si="116"/>
        <v>477</v>
      </c>
      <c r="J67" s="75">
        <f t="shared" si="116"/>
        <v>0</v>
      </c>
      <c r="K67" s="75">
        <f t="shared" si="116"/>
        <v>1300</v>
      </c>
      <c r="L67" s="75">
        <f t="shared" si="116"/>
        <v>0</v>
      </c>
      <c r="M67" s="75">
        <f t="shared" si="116"/>
        <v>0</v>
      </c>
      <c r="N67" s="75">
        <f t="shared" si="116"/>
        <v>0</v>
      </c>
      <c r="O67" s="75">
        <f t="shared" si="116"/>
        <v>0</v>
      </c>
      <c r="P67" s="75">
        <f t="shared" si="116"/>
        <v>0</v>
      </c>
      <c r="Q67" s="75">
        <f t="shared" si="116"/>
        <v>0</v>
      </c>
      <c r="R67" s="75">
        <f t="shared" si="116"/>
        <v>0</v>
      </c>
      <c r="S67" s="75">
        <f>SUM(B67:R67)</f>
        <v>41431.089999999997</v>
      </c>
      <c r="T67" s="87"/>
      <c r="U67" s="31"/>
      <c r="V67" s="88"/>
      <c r="W67" s="74"/>
      <c r="X67" s="75">
        <f t="shared" ref="X67:AN67" si="117">SUM(X36:X66)</f>
        <v>25818.68</v>
      </c>
      <c r="Y67" s="75">
        <f t="shared" si="117"/>
        <v>0</v>
      </c>
      <c r="Z67" s="75">
        <f t="shared" si="117"/>
        <v>0</v>
      </c>
      <c r="AA67" s="75">
        <f t="shared" si="117"/>
        <v>82.890000000000001</v>
      </c>
      <c r="AB67" s="75">
        <f t="shared" si="117"/>
        <v>0</v>
      </c>
      <c r="AC67" s="75">
        <f t="shared" si="117"/>
        <v>0</v>
      </c>
      <c r="AD67" s="75">
        <f t="shared" si="117"/>
        <v>0</v>
      </c>
      <c r="AE67" s="75">
        <f t="shared" si="117"/>
        <v>190</v>
      </c>
      <c r="AF67" s="75">
        <f t="shared" si="117"/>
        <v>0</v>
      </c>
      <c r="AG67" s="75">
        <f t="shared" si="117"/>
        <v>0</v>
      </c>
      <c r="AH67" s="75">
        <f t="shared" si="117"/>
        <v>0</v>
      </c>
      <c r="AI67" s="75">
        <f t="shared" si="117"/>
        <v>0</v>
      </c>
      <c r="AJ67" s="75">
        <f t="shared" si="117"/>
        <v>0</v>
      </c>
      <c r="AK67" s="75">
        <f t="shared" si="117"/>
        <v>0</v>
      </c>
      <c r="AL67" s="75">
        <f t="shared" si="117"/>
        <v>0</v>
      </c>
      <c r="AM67" s="75">
        <f t="shared" si="117"/>
        <v>0</v>
      </c>
      <c r="AN67" s="75">
        <f t="shared" si="117"/>
        <v>0</v>
      </c>
      <c r="AO67" s="75">
        <f>SUM(X67:AN67)</f>
        <v>26091.57</v>
      </c>
    </row>
    <row r="68">
      <c r="A68" s="84"/>
      <c r="B68" s="84"/>
      <c r="C68" s="84"/>
      <c r="D68" s="84"/>
      <c r="E68" s="84"/>
      <c r="F68" s="84"/>
      <c r="G68" s="84"/>
      <c r="H68" s="84"/>
      <c r="I68" s="84"/>
      <c r="J68" s="84"/>
      <c r="K68" s="84"/>
      <c r="L68" s="84"/>
      <c r="M68" s="84"/>
      <c r="N68" s="84"/>
      <c r="O68" s="84"/>
      <c r="P68" s="84"/>
      <c r="Q68" s="84"/>
      <c r="R68" s="84"/>
      <c r="S68" s="84"/>
      <c r="T68" s="31"/>
      <c r="U68" s="31"/>
      <c r="V68" s="31"/>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row>
    <row r="70">
      <c r="A70" s="5" t="s">
        <v>68</v>
      </c>
      <c r="B70" s="71">
        <f>21000-344+2039+(23000-23000)-344-344+8164.1-4600-3300+(3000-3000)+80000+2000+(5500-5500)+(5650-5100)+1000+300</f>
        <v>106121.10000000001</v>
      </c>
      <c r="C70" s="5"/>
      <c r="D70" s="5"/>
      <c r="E70" s="5"/>
      <c r="F70" s="5"/>
      <c r="G70" s="5"/>
      <c r="H70" s="5"/>
      <c r="I70" s="5"/>
      <c r="J70" s="5"/>
      <c r="K70" s="5"/>
      <c r="L70" s="5"/>
      <c r="M70" s="5"/>
      <c r="N70" s="5"/>
      <c r="O70" s="5"/>
      <c r="P70" s="5"/>
      <c r="Q70" s="5"/>
      <c r="R70" s="5"/>
      <c r="S70" s="5"/>
    </row>
    <row r="71">
      <c r="A71" s="5" t="s">
        <v>76</v>
      </c>
      <c r="B71" s="5"/>
      <c r="C71" s="5"/>
      <c r="D71" s="5"/>
      <c r="E71" s="5"/>
      <c r="F71" s="5"/>
      <c r="G71" s="5"/>
      <c r="H71" s="5"/>
      <c r="I71" s="5"/>
      <c r="J71" s="5"/>
      <c r="K71" s="5"/>
      <c r="L71" s="5"/>
      <c r="M71" s="5"/>
      <c r="N71" s="5"/>
      <c r="O71" s="5"/>
      <c r="P71" s="5"/>
      <c r="Q71" s="5"/>
      <c r="R71" s="5"/>
      <c r="S71" s="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K29" zoomScale="100" workbookViewId="0">
      <selection activeCell="AN23" activeCellId="0" sqref="AN23"/>
    </sheetView>
  </sheetViews>
  <sheetFormatPr defaultRowHeight="14.25"/>
  <cols>
    <col customWidth="1" min="1" max="1" width="11.85546875"/>
    <col customWidth="1" min="23" max="23" width="12.5703125"/>
    <col customWidth="1" min="40" max="40" width="11.42578125"/>
    <col customWidth="1" min="41" max="41" width="10.85546875"/>
  </cols>
  <sheetData>
    <row r="1">
      <c r="A1" s="82" t="s">
        <v>0</v>
      </c>
      <c r="B1" s="83" t="s">
        <v>70</v>
      </c>
      <c r="C1" s="83" t="s">
        <v>71</v>
      </c>
      <c r="D1" s="83" t="s">
        <v>72</v>
      </c>
      <c r="E1" s="83" t="s">
        <v>3</v>
      </c>
      <c r="F1" s="83" t="s">
        <v>4</v>
      </c>
      <c r="G1" s="83" t="s">
        <v>5</v>
      </c>
      <c r="H1" s="83" t="s">
        <v>6</v>
      </c>
      <c r="I1" s="83" t="s">
        <v>7</v>
      </c>
      <c r="J1" s="83" t="s">
        <v>8</v>
      </c>
      <c r="K1" s="83" t="s">
        <v>9</v>
      </c>
      <c r="L1" s="83" t="s">
        <v>10</v>
      </c>
      <c r="M1" s="83" t="s">
        <v>11</v>
      </c>
      <c r="N1" s="83" t="s">
        <v>12</v>
      </c>
      <c r="O1" s="83" t="s">
        <v>13</v>
      </c>
      <c r="P1" s="83" t="s">
        <v>19</v>
      </c>
      <c r="Q1" s="83" t="s">
        <v>20</v>
      </c>
      <c r="R1" s="83" t="s">
        <v>73</v>
      </c>
      <c r="S1" s="83" t="s">
        <v>62</v>
      </c>
      <c r="T1" s="87"/>
      <c r="U1" s="31"/>
      <c r="V1" s="88"/>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77</v>
      </c>
      <c r="AM1" s="83" t="s">
        <v>20</v>
      </c>
      <c r="AN1" s="83" t="s">
        <v>73</v>
      </c>
      <c r="AO1" s="83" t="s">
        <v>78</v>
      </c>
    </row>
    <row r="2">
      <c r="A2" s="11">
        <v>44713</v>
      </c>
      <c r="B2" s="14"/>
      <c r="C2" s="14"/>
      <c r="D2" s="14"/>
      <c r="E2" s="14"/>
      <c r="F2" s="14"/>
      <c r="G2" s="14"/>
      <c r="H2" s="14"/>
      <c r="I2" s="14"/>
      <c r="J2" s="14"/>
      <c r="K2" s="14"/>
      <c r="L2" s="14"/>
      <c r="M2" s="14"/>
      <c r="N2" s="14"/>
      <c r="O2" s="14"/>
      <c r="P2" s="14"/>
      <c r="Q2" s="14"/>
      <c r="R2" s="14"/>
      <c r="S2" s="14"/>
      <c r="T2" s="87"/>
      <c r="U2" s="31"/>
      <c r="V2" s="88"/>
      <c r="W2" s="11">
        <v>44713</v>
      </c>
      <c r="X2" s="14"/>
      <c r="Y2" s="14"/>
      <c r="Z2" s="14"/>
      <c r="AA2" s="14"/>
      <c r="AB2" s="14"/>
      <c r="AC2" s="14"/>
      <c r="AD2" s="14"/>
      <c r="AE2" s="14"/>
      <c r="AF2" s="14"/>
      <c r="AG2" s="14"/>
      <c r="AH2" s="14"/>
      <c r="AI2" s="14"/>
      <c r="AJ2" s="14"/>
      <c r="AK2" s="14"/>
      <c r="AL2" s="14"/>
      <c r="AM2" s="14"/>
      <c r="AN2" s="14"/>
      <c r="AO2" s="14"/>
    </row>
    <row r="3">
      <c r="A3" s="11">
        <v>44714</v>
      </c>
      <c r="B3" s="5"/>
      <c r="C3" s="5">
        <v>505.13</v>
      </c>
      <c r="D3" s="5"/>
      <c r="E3" s="5">
        <f>20+27</f>
        <v>47</v>
      </c>
      <c r="F3" s="5"/>
      <c r="G3" s="5"/>
      <c r="H3" s="5"/>
      <c r="I3" s="5"/>
      <c r="J3" s="5">
        <v>594</v>
      </c>
      <c r="K3" s="5"/>
      <c r="L3" s="5"/>
      <c r="M3" s="5"/>
      <c r="N3" s="5">
        <v>625</v>
      </c>
      <c r="O3" s="5"/>
      <c r="P3" s="5"/>
      <c r="Q3" s="5"/>
      <c r="R3" s="5"/>
      <c r="S3" s="5"/>
      <c r="T3" s="87"/>
      <c r="U3" s="31"/>
      <c r="V3" s="88"/>
      <c r="W3" s="11">
        <v>44714</v>
      </c>
      <c r="X3" s="5"/>
      <c r="Y3" s="5"/>
      <c r="Z3" s="5"/>
      <c r="AA3" s="5"/>
      <c r="AB3" s="5">
        <v>37.5</v>
      </c>
      <c r="AC3" s="5"/>
      <c r="AD3" s="5"/>
      <c r="AE3" s="5"/>
      <c r="AF3" s="5"/>
      <c r="AG3" s="5"/>
      <c r="AH3" s="5"/>
      <c r="AI3" s="5"/>
      <c r="AJ3" s="5"/>
      <c r="AK3" s="5"/>
      <c r="AL3" s="5">
        <v>15000</v>
      </c>
      <c r="AM3" s="5"/>
      <c r="AN3" s="5"/>
      <c r="AO3" s="5">
        <v>2500</v>
      </c>
    </row>
    <row r="4">
      <c r="A4" s="11">
        <v>44715</v>
      </c>
      <c r="B4" s="14"/>
      <c r="C4" s="14"/>
      <c r="D4" s="14"/>
      <c r="E4" s="14"/>
      <c r="F4" s="14"/>
      <c r="G4" s="14"/>
      <c r="H4" s="14"/>
      <c r="I4" s="14"/>
      <c r="J4" s="14"/>
      <c r="K4" s="14"/>
      <c r="L4" s="14"/>
      <c r="M4" s="14"/>
      <c r="N4" s="14"/>
      <c r="O4" s="14"/>
      <c r="P4" s="14"/>
      <c r="Q4" s="14"/>
      <c r="R4" s="14"/>
      <c r="S4" s="14"/>
      <c r="T4" s="87"/>
      <c r="U4" s="31"/>
      <c r="V4" s="88"/>
      <c r="W4" s="11">
        <v>44715</v>
      </c>
      <c r="X4" s="14"/>
      <c r="Y4" s="14"/>
      <c r="Z4" s="14"/>
      <c r="AA4" s="14"/>
      <c r="AB4" s="14"/>
      <c r="AC4" s="14"/>
      <c r="AD4" s="14"/>
      <c r="AE4" s="14"/>
      <c r="AF4" s="14"/>
      <c r="AG4" s="14"/>
      <c r="AH4" s="14"/>
      <c r="AI4" s="14"/>
      <c r="AJ4" s="14"/>
      <c r="AK4" s="14"/>
      <c r="AL4" s="14"/>
      <c r="AM4" s="14"/>
      <c r="AN4" s="14"/>
      <c r="AO4" s="14"/>
    </row>
    <row r="5">
      <c r="A5" s="11">
        <v>44716</v>
      </c>
      <c r="B5" s="5"/>
      <c r="C5" s="5">
        <f>110.48+748.03</f>
        <v>858.50999999999999</v>
      </c>
      <c r="D5" s="5"/>
      <c r="E5" s="5"/>
      <c r="F5" s="5"/>
      <c r="G5" s="5"/>
      <c r="H5" s="5"/>
      <c r="I5" s="5"/>
      <c r="J5" s="5">
        <v>502</v>
      </c>
      <c r="K5" s="5"/>
      <c r="L5" s="5"/>
      <c r="M5" s="5"/>
      <c r="N5" s="5"/>
      <c r="O5" s="5"/>
      <c r="P5" s="5">
        <v>700</v>
      </c>
      <c r="Q5" s="5"/>
      <c r="R5" s="5"/>
      <c r="S5" s="5"/>
      <c r="T5" s="87"/>
      <c r="U5" s="31"/>
      <c r="V5" s="88"/>
      <c r="W5" s="11">
        <v>44716</v>
      </c>
      <c r="X5" s="5"/>
      <c r="Y5" s="5"/>
      <c r="Z5" s="5"/>
      <c r="AA5" s="5"/>
      <c r="AB5" s="5"/>
      <c r="AC5" s="5"/>
      <c r="AD5" s="5"/>
      <c r="AE5" s="5"/>
      <c r="AF5" s="5"/>
      <c r="AG5" s="5"/>
      <c r="AH5" s="5"/>
      <c r="AI5" s="5"/>
      <c r="AJ5" s="5"/>
      <c r="AK5" s="5"/>
      <c r="AL5" s="5"/>
      <c r="AM5" s="5"/>
      <c r="AN5" s="5"/>
      <c r="AO5" s="5"/>
    </row>
    <row r="6">
      <c r="A6" s="11">
        <v>44717</v>
      </c>
      <c r="B6" s="14"/>
      <c r="C6" s="14">
        <v>89.989999999999995</v>
      </c>
      <c r="D6" s="14"/>
      <c r="E6" s="14"/>
      <c r="F6" s="14"/>
      <c r="G6" s="14"/>
      <c r="H6" s="14"/>
      <c r="I6" s="14"/>
      <c r="J6" s="14">
        <v>256</v>
      </c>
      <c r="K6" s="14"/>
      <c r="L6" s="14"/>
      <c r="M6" s="14"/>
      <c r="N6" s="14"/>
      <c r="O6" s="14"/>
      <c r="P6" s="14"/>
      <c r="Q6" s="14"/>
      <c r="R6" s="14"/>
      <c r="S6" s="14">
        <v>100</v>
      </c>
      <c r="T6" s="87"/>
      <c r="U6" s="31"/>
      <c r="V6" s="88"/>
      <c r="W6" s="11">
        <v>44717</v>
      </c>
      <c r="X6" s="14"/>
      <c r="Y6" s="14"/>
      <c r="Z6" s="14"/>
      <c r="AA6" s="14"/>
      <c r="AB6" s="14"/>
      <c r="AC6" s="14"/>
      <c r="AD6" s="14"/>
      <c r="AE6" s="14"/>
      <c r="AF6" s="14">
        <v>1168</v>
      </c>
      <c r="AG6" s="14"/>
      <c r="AH6" s="14"/>
      <c r="AI6" s="14"/>
      <c r="AJ6" s="14"/>
      <c r="AK6" s="14"/>
      <c r="AL6" s="14"/>
      <c r="AM6" s="14"/>
      <c r="AN6" s="14"/>
      <c r="AO6" s="14"/>
    </row>
    <row r="7">
      <c r="A7" s="11">
        <v>44718</v>
      </c>
      <c r="B7" s="5"/>
      <c r="C7" s="5">
        <v>210.5</v>
      </c>
      <c r="D7" s="5">
        <v>103</v>
      </c>
      <c r="E7" s="5"/>
      <c r="F7" s="5"/>
      <c r="G7" s="5"/>
      <c r="H7" s="5"/>
      <c r="I7" s="5"/>
      <c r="J7" s="5">
        <v>1704</v>
      </c>
      <c r="K7" s="5"/>
      <c r="L7" s="5"/>
      <c r="M7" s="5"/>
      <c r="N7" s="5"/>
      <c r="O7" s="5"/>
      <c r="P7" s="5"/>
      <c r="Q7" s="5"/>
      <c r="R7" s="5"/>
      <c r="S7" s="5"/>
      <c r="T7" s="87"/>
      <c r="U7" s="31"/>
      <c r="V7" s="88"/>
      <c r="W7" s="11">
        <v>44718</v>
      </c>
      <c r="X7" s="5"/>
      <c r="Y7" s="5"/>
      <c r="Z7" s="5"/>
      <c r="AA7" s="5"/>
      <c r="AB7" s="5"/>
      <c r="AC7" s="5"/>
      <c r="AD7" s="5"/>
      <c r="AE7" s="5"/>
      <c r="AF7" s="5"/>
      <c r="AG7" s="5"/>
      <c r="AH7" s="5"/>
      <c r="AI7" s="5"/>
      <c r="AJ7" s="5"/>
      <c r="AK7" s="5"/>
      <c r="AL7" s="5"/>
      <c r="AM7" s="5"/>
      <c r="AN7" s="5"/>
      <c r="AO7" s="5"/>
    </row>
    <row r="8">
      <c r="A8" s="11">
        <v>44719</v>
      </c>
      <c r="B8" s="14"/>
      <c r="C8" s="14">
        <v>109.98</v>
      </c>
      <c r="D8" s="14"/>
      <c r="E8" s="14"/>
      <c r="F8" s="14"/>
      <c r="G8" s="14"/>
      <c r="H8" s="14"/>
      <c r="I8" s="14"/>
      <c r="J8" s="14">
        <v>4400</v>
      </c>
      <c r="K8" s="14"/>
      <c r="L8" s="14"/>
      <c r="M8" s="14"/>
      <c r="N8" s="14"/>
      <c r="O8" s="14"/>
      <c r="P8" s="14"/>
      <c r="Q8" s="14"/>
      <c r="R8" s="14"/>
      <c r="S8" s="14"/>
      <c r="T8" s="87"/>
      <c r="U8" s="31"/>
      <c r="V8" s="88"/>
      <c r="W8" s="11">
        <v>44719</v>
      </c>
      <c r="X8" s="14"/>
      <c r="Y8" s="14"/>
      <c r="Z8" s="14"/>
      <c r="AA8" s="14"/>
      <c r="AB8" s="14"/>
      <c r="AC8" s="14"/>
      <c r="AD8" s="14"/>
      <c r="AE8" s="14"/>
      <c r="AF8" s="14"/>
      <c r="AG8" s="14"/>
      <c r="AH8" s="14"/>
      <c r="AI8" s="14"/>
      <c r="AJ8" s="14"/>
      <c r="AK8" s="14"/>
      <c r="AL8" s="14"/>
      <c r="AM8" s="14"/>
      <c r="AN8" s="14"/>
      <c r="AO8" s="14"/>
    </row>
    <row r="9">
      <c r="A9" s="11">
        <v>44720</v>
      </c>
      <c r="B9" s="5"/>
      <c r="C9" s="5">
        <f>478.31+50</f>
        <v>528.30999999999995</v>
      </c>
      <c r="D9" s="5">
        <f>3+67</f>
        <v>70</v>
      </c>
      <c r="E9" s="5"/>
      <c r="F9" s="5"/>
      <c r="G9" s="5"/>
      <c r="H9" s="5"/>
      <c r="I9" s="5"/>
      <c r="J9" s="5">
        <v>337.08999999999997</v>
      </c>
      <c r="K9" s="5"/>
      <c r="L9" s="5"/>
      <c r="M9" s="5"/>
      <c r="N9" s="5"/>
      <c r="O9" s="5"/>
      <c r="P9" s="5"/>
      <c r="Q9" s="5"/>
      <c r="R9" s="5"/>
      <c r="S9" s="5"/>
      <c r="T9" s="87"/>
      <c r="U9" s="31"/>
      <c r="V9" s="88"/>
      <c r="W9" s="11">
        <v>44720</v>
      </c>
      <c r="X9" s="5"/>
      <c r="Y9" s="5"/>
      <c r="Z9" s="5"/>
      <c r="AA9" s="5"/>
      <c r="AB9" s="5"/>
      <c r="AC9" s="5"/>
      <c r="AD9" s="5"/>
      <c r="AE9" s="5"/>
      <c r="AF9" s="5">
        <v>1129</v>
      </c>
      <c r="AG9" s="5"/>
      <c r="AH9" s="5"/>
      <c r="AI9" s="5">
        <f>547-274</f>
        <v>273</v>
      </c>
      <c r="AJ9" s="5"/>
      <c r="AK9" s="5"/>
      <c r="AL9" s="5"/>
      <c r="AM9" s="5"/>
      <c r="AN9" s="5"/>
      <c r="AO9" s="5"/>
    </row>
    <row r="10">
      <c r="A10" s="11">
        <v>44721</v>
      </c>
      <c r="B10" s="14"/>
      <c r="C10" s="14"/>
      <c r="D10" s="14"/>
      <c r="E10" s="14"/>
      <c r="F10" s="14"/>
      <c r="G10" s="14">
        <v>384</v>
      </c>
      <c r="H10" s="14"/>
      <c r="I10" s="14"/>
      <c r="J10" s="14"/>
      <c r="K10" s="14"/>
      <c r="L10" s="14"/>
      <c r="M10" s="14"/>
      <c r="N10" s="14"/>
      <c r="O10" s="14"/>
      <c r="P10" s="14"/>
      <c r="Q10" s="14"/>
      <c r="R10" s="14"/>
      <c r="S10" s="14"/>
      <c r="T10" s="87"/>
      <c r="U10" s="31"/>
      <c r="V10" s="88"/>
      <c r="W10" s="11">
        <v>44721</v>
      </c>
      <c r="X10" s="14"/>
      <c r="Y10" s="14"/>
      <c r="Z10" s="14"/>
      <c r="AA10" s="14"/>
      <c r="AB10" s="14"/>
      <c r="AC10" s="14"/>
      <c r="AD10" s="14"/>
      <c r="AE10" s="14"/>
      <c r="AF10" s="14"/>
      <c r="AG10" s="14"/>
      <c r="AH10" s="14"/>
      <c r="AI10" s="14"/>
      <c r="AJ10" s="14"/>
      <c r="AK10" s="14"/>
      <c r="AL10" s="14">
        <v>690</v>
      </c>
      <c r="AM10" s="14"/>
      <c r="AN10" s="14"/>
      <c r="AO10" s="14"/>
    </row>
    <row r="11">
      <c r="A11" s="11">
        <v>44722</v>
      </c>
      <c r="B11" s="5"/>
      <c r="C11" s="5"/>
      <c r="D11" s="5">
        <f>105+4</f>
        <v>109</v>
      </c>
      <c r="E11" s="5">
        <v>380</v>
      </c>
      <c r="F11" s="5"/>
      <c r="G11" s="5"/>
      <c r="H11" s="5"/>
      <c r="I11" s="5"/>
      <c r="J11" s="5"/>
      <c r="K11" s="5"/>
      <c r="L11" s="5"/>
      <c r="M11" s="5"/>
      <c r="N11" s="5"/>
      <c r="O11" s="5"/>
      <c r="P11" s="5"/>
      <c r="Q11" s="5"/>
      <c r="R11" s="5"/>
      <c r="S11" s="5"/>
      <c r="T11" s="87"/>
      <c r="U11" s="31"/>
      <c r="V11" s="88"/>
      <c r="W11" s="11">
        <v>44722</v>
      </c>
      <c r="X11" s="5"/>
      <c r="Y11" s="5"/>
      <c r="Z11" s="5"/>
      <c r="AA11" s="5"/>
      <c r="AB11" s="5"/>
      <c r="AC11" s="5"/>
      <c r="AD11" s="5"/>
      <c r="AE11" s="5"/>
      <c r="AF11" s="5"/>
      <c r="AG11" s="5"/>
      <c r="AH11" s="5"/>
      <c r="AI11" s="5"/>
      <c r="AJ11" s="5"/>
      <c r="AK11" s="5"/>
      <c r="AL11" s="5"/>
      <c r="AM11" s="5"/>
      <c r="AN11" s="5"/>
      <c r="AO11" s="5">
        <v>13500</v>
      </c>
    </row>
    <row r="12">
      <c r="A12" s="11">
        <v>44723</v>
      </c>
      <c r="B12" s="14"/>
      <c r="C12" s="14"/>
      <c r="D12" s="14"/>
      <c r="E12" s="14"/>
      <c r="F12" s="14"/>
      <c r="G12" s="14"/>
      <c r="H12" s="14"/>
      <c r="I12" s="14"/>
      <c r="J12" s="14">
        <v>29</v>
      </c>
      <c r="K12" s="14"/>
      <c r="L12" s="14"/>
      <c r="M12" s="14"/>
      <c r="N12" s="14"/>
      <c r="O12" s="14"/>
      <c r="P12" s="14"/>
      <c r="Q12" s="14"/>
      <c r="R12" s="14"/>
      <c r="S12" s="14"/>
      <c r="T12" s="87"/>
      <c r="U12" s="31"/>
      <c r="V12" s="88"/>
      <c r="W12" s="11">
        <v>44723</v>
      </c>
      <c r="X12" s="14"/>
      <c r="Y12" s="14">
        <f>49.99+34.99+59</f>
        <v>143.98000000000002</v>
      </c>
      <c r="Z12" s="14"/>
      <c r="AA12" s="14"/>
      <c r="AB12" s="14"/>
      <c r="AC12" s="14"/>
      <c r="AD12" s="14"/>
      <c r="AE12" s="14"/>
      <c r="AF12" s="14">
        <v>549</v>
      </c>
      <c r="AG12" s="14"/>
      <c r="AH12" s="14"/>
      <c r="AI12" s="14"/>
      <c r="AJ12" s="14"/>
      <c r="AK12" s="14"/>
      <c r="AL12" s="14"/>
      <c r="AM12" s="14"/>
      <c r="AN12" s="14"/>
      <c r="AO12" s="14"/>
    </row>
    <row r="13">
      <c r="A13" s="11">
        <v>44724</v>
      </c>
      <c r="B13" s="5"/>
      <c r="C13" s="5">
        <f>387.37+480.51+47.99</f>
        <v>915.87</v>
      </c>
      <c r="D13" s="5"/>
      <c r="E13" s="5">
        <v>865</v>
      </c>
      <c r="F13" s="5"/>
      <c r="G13" s="5"/>
      <c r="H13" s="5"/>
      <c r="I13" s="5"/>
      <c r="J13" s="5">
        <v>283.10000000000002</v>
      </c>
      <c r="K13" s="5"/>
      <c r="L13" s="5"/>
      <c r="M13" s="5"/>
      <c r="N13" s="5"/>
      <c r="O13" s="5"/>
      <c r="P13" s="5"/>
      <c r="Q13" s="5"/>
      <c r="R13" s="5"/>
      <c r="S13" s="5">
        <v>1998</v>
      </c>
      <c r="T13" s="87"/>
      <c r="U13" s="31"/>
      <c r="V13" s="88"/>
      <c r="W13" s="11">
        <v>44724</v>
      </c>
      <c r="X13" s="5"/>
      <c r="Y13" s="5"/>
      <c r="Z13" s="5"/>
      <c r="AA13" s="5"/>
      <c r="AB13" s="5"/>
      <c r="AC13" s="5"/>
      <c r="AD13" s="5"/>
      <c r="AE13" s="5"/>
      <c r="AF13" s="5"/>
      <c r="AG13" s="5"/>
      <c r="AH13" s="5"/>
      <c r="AI13" s="5"/>
      <c r="AJ13" s="5"/>
      <c r="AK13" s="5"/>
      <c r="AL13" s="5">
        <v>420</v>
      </c>
      <c r="AM13" s="5"/>
      <c r="AN13" s="5"/>
      <c r="AO13" s="5"/>
    </row>
    <row r="14">
      <c r="A14" s="11">
        <v>44725</v>
      </c>
      <c r="B14" s="14"/>
      <c r="C14" s="14"/>
      <c r="D14" s="14"/>
      <c r="E14" s="14"/>
      <c r="F14" s="14"/>
      <c r="G14" s="14"/>
      <c r="H14" s="14"/>
      <c r="I14" s="14"/>
      <c r="J14" s="14"/>
      <c r="K14" s="14"/>
      <c r="L14" s="14"/>
      <c r="M14" s="14"/>
      <c r="N14" s="14"/>
      <c r="O14" s="14"/>
      <c r="P14" s="14"/>
      <c r="Q14" s="14"/>
      <c r="R14" s="14"/>
      <c r="S14" s="14"/>
      <c r="T14" s="87"/>
      <c r="U14" s="31"/>
      <c r="V14" s="88"/>
      <c r="W14" s="11">
        <v>44725</v>
      </c>
      <c r="X14" s="14"/>
      <c r="Y14" s="14"/>
      <c r="Z14" s="14"/>
      <c r="AA14" s="14"/>
      <c r="AB14" s="14"/>
      <c r="AC14" s="14"/>
      <c r="AD14" s="14"/>
      <c r="AE14" s="14"/>
      <c r="AF14" s="14"/>
      <c r="AG14" s="14"/>
      <c r="AH14" s="14"/>
      <c r="AI14" s="14"/>
      <c r="AJ14" s="14"/>
      <c r="AK14" s="14"/>
      <c r="AL14" s="14"/>
      <c r="AM14" s="14"/>
      <c r="AN14" s="14"/>
      <c r="AO14" s="14"/>
    </row>
    <row r="15">
      <c r="A15" s="11">
        <v>44726</v>
      </c>
      <c r="B15" s="5">
        <v>60</v>
      </c>
      <c r="C15" s="5"/>
      <c r="D15" s="5">
        <v>51</v>
      </c>
      <c r="E15" s="5"/>
      <c r="F15" s="5"/>
      <c r="G15" s="5"/>
      <c r="H15" s="5"/>
      <c r="I15" s="5"/>
      <c r="J15" s="5"/>
      <c r="K15" s="5"/>
      <c r="L15" s="5"/>
      <c r="M15" s="5"/>
      <c r="N15" s="5"/>
      <c r="O15" s="5"/>
      <c r="P15" s="5"/>
      <c r="Q15" s="5"/>
      <c r="R15" s="5"/>
      <c r="S15" s="5"/>
      <c r="T15" s="87"/>
      <c r="U15" s="31"/>
      <c r="V15" s="88"/>
      <c r="W15" s="11">
        <v>44726</v>
      </c>
      <c r="X15" s="5"/>
      <c r="Y15" s="5">
        <v>56.990000000000002</v>
      </c>
      <c r="Z15" s="5"/>
      <c r="AA15" s="5">
        <v>490</v>
      </c>
      <c r="AB15" s="5"/>
      <c r="AC15" s="5"/>
      <c r="AD15" s="5"/>
      <c r="AE15" s="5"/>
      <c r="AF15" s="5">
        <v>263</v>
      </c>
      <c r="AG15" s="5"/>
      <c r="AH15" s="5"/>
      <c r="AI15" s="5"/>
      <c r="AJ15" s="5"/>
      <c r="AK15" s="5"/>
      <c r="AL15" s="5"/>
      <c r="AM15" s="5"/>
      <c r="AN15" s="5"/>
      <c r="AO15" s="5"/>
    </row>
    <row r="16">
      <c r="A16" s="11">
        <v>44727</v>
      </c>
      <c r="B16" s="14">
        <f>25+25</f>
        <v>50</v>
      </c>
      <c r="C16" s="91">
        <f>25.99+159.98</f>
        <v>185.97</v>
      </c>
      <c r="D16" s="14"/>
      <c r="E16" s="14"/>
      <c r="F16" s="14"/>
      <c r="G16" s="14">
        <v>1353</v>
      </c>
      <c r="H16" s="14"/>
      <c r="I16" s="14"/>
      <c r="J16" s="14"/>
      <c r="K16" s="14"/>
      <c r="L16" s="14"/>
      <c r="M16" s="14"/>
      <c r="N16" s="14"/>
      <c r="O16" s="14"/>
      <c r="P16" s="14"/>
      <c r="Q16" s="14"/>
      <c r="R16" s="14"/>
      <c r="S16" s="14"/>
      <c r="T16" s="87"/>
      <c r="U16" s="31"/>
      <c r="V16" s="88"/>
      <c r="W16" s="11">
        <v>44727</v>
      </c>
      <c r="X16" s="14"/>
      <c r="Y16" s="14">
        <v>522.91999999999996</v>
      </c>
      <c r="Z16" s="14"/>
      <c r="AA16" s="14"/>
      <c r="AB16" s="14"/>
      <c r="AC16" s="14">
        <v>99</v>
      </c>
      <c r="AD16" s="14"/>
      <c r="AE16" s="14"/>
      <c r="AF16" s="14"/>
      <c r="AG16" s="14"/>
      <c r="AH16" s="14"/>
      <c r="AI16" s="14"/>
      <c r="AJ16" s="14"/>
      <c r="AK16" s="14"/>
      <c r="AL16" s="14"/>
      <c r="AM16" s="14"/>
      <c r="AN16" s="14"/>
      <c r="AO16" s="14"/>
    </row>
    <row r="17">
      <c r="A17" s="11">
        <v>44728</v>
      </c>
      <c r="B17" s="5">
        <v>60</v>
      </c>
      <c r="C17" s="92">
        <v>79.989999999999995</v>
      </c>
      <c r="D17" s="5">
        <v>104</v>
      </c>
      <c r="E17" s="5">
        <v>634</v>
      </c>
      <c r="F17" s="5"/>
      <c r="G17" s="5"/>
      <c r="H17" s="5"/>
      <c r="I17" s="5">
        <v>999</v>
      </c>
      <c r="J17" s="5"/>
      <c r="K17" s="5"/>
      <c r="L17" s="5"/>
      <c r="M17" s="5"/>
      <c r="N17" s="5"/>
      <c r="O17" s="5"/>
      <c r="P17" s="5"/>
      <c r="Q17" s="5"/>
      <c r="R17" s="5"/>
      <c r="S17" s="5"/>
      <c r="T17" s="87"/>
      <c r="U17" s="31"/>
      <c r="V17" s="88"/>
      <c r="W17" s="11">
        <v>44728</v>
      </c>
      <c r="X17" s="5"/>
      <c r="Y17" s="5"/>
      <c r="Z17" s="5"/>
      <c r="AA17" s="5"/>
      <c r="AB17" s="5"/>
      <c r="AC17" s="5"/>
      <c r="AD17" s="5"/>
      <c r="AE17" s="5"/>
      <c r="AF17" s="5"/>
      <c r="AG17" s="5"/>
      <c r="AH17" s="5"/>
      <c r="AI17" s="5"/>
      <c r="AJ17" s="5"/>
      <c r="AK17" s="5"/>
      <c r="AL17" s="5">
        <v>486</v>
      </c>
      <c r="AM17" s="5"/>
      <c r="AN17" s="5"/>
      <c r="AO17" s="5"/>
    </row>
    <row r="18">
      <c r="A18" s="11">
        <v>44729</v>
      </c>
      <c r="B18" s="14"/>
      <c r="C18" s="14"/>
      <c r="D18" s="14"/>
      <c r="E18" s="14">
        <f>4935-3000</f>
        <v>1935</v>
      </c>
      <c r="F18" s="14"/>
      <c r="G18" s="14"/>
      <c r="H18" s="14"/>
      <c r="I18" s="14"/>
      <c r="J18" s="14">
        <v>15000</v>
      </c>
      <c r="K18" s="14"/>
      <c r="L18" s="14"/>
      <c r="M18" s="14"/>
      <c r="N18" s="14"/>
      <c r="O18" s="14"/>
      <c r="P18" s="14"/>
      <c r="Q18" s="14"/>
      <c r="R18" s="14"/>
      <c r="S18" s="14"/>
      <c r="T18" s="87"/>
      <c r="U18" s="31"/>
      <c r="V18" s="88"/>
      <c r="W18" s="11">
        <v>44729</v>
      </c>
      <c r="X18" s="14"/>
      <c r="Y18" s="14"/>
      <c r="Z18" s="14"/>
      <c r="AA18" s="14"/>
      <c r="AB18" s="14"/>
      <c r="AC18" s="14"/>
      <c r="AD18" s="14"/>
      <c r="AE18" s="14"/>
      <c r="AF18" s="14"/>
      <c r="AG18" s="14"/>
      <c r="AH18" s="14"/>
      <c r="AI18" s="14"/>
      <c r="AJ18" s="14"/>
      <c r="AK18" s="14"/>
      <c r="AL18" s="14"/>
      <c r="AM18" s="14"/>
      <c r="AN18" s="14"/>
      <c r="AO18" s="14"/>
    </row>
    <row r="19">
      <c r="A19" s="11">
        <v>44730</v>
      </c>
      <c r="B19" s="5"/>
      <c r="C19" s="5"/>
      <c r="D19" s="5"/>
      <c r="E19" s="5"/>
      <c r="F19" s="5"/>
      <c r="G19" s="5"/>
      <c r="H19" s="5"/>
      <c r="I19" s="5"/>
      <c r="J19" s="5"/>
      <c r="K19" s="5"/>
      <c r="L19" s="5"/>
      <c r="M19" s="5"/>
      <c r="N19" s="5"/>
      <c r="O19" s="5"/>
      <c r="P19" s="5"/>
      <c r="Q19" s="5"/>
      <c r="R19" s="92"/>
      <c r="S19" s="5"/>
      <c r="T19" s="87"/>
      <c r="U19" s="31"/>
      <c r="V19" s="88"/>
      <c r="W19" s="11">
        <v>44730</v>
      </c>
      <c r="X19" s="5">
        <v>1000</v>
      </c>
      <c r="Y19" s="5">
        <v>564.88</v>
      </c>
      <c r="Z19" s="5"/>
      <c r="AA19" s="5"/>
      <c r="AB19" s="5"/>
      <c r="AC19" s="5"/>
      <c r="AD19" s="5"/>
      <c r="AE19" s="5"/>
      <c r="AF19" s="5"/>
      <c r="AG19" s="5"/>
      <c r="AH19" s="5"/>
      <c r="AI19" s="5"/>
      <c r="AJ19" s="5"/>
      <c r="AK19" s="5"/>
      <c r="AL19" s="5"/>
      <c r="AM19" s="5"/>
      <c r="AN19" s="5">
        <v>1670</v>
      </c>
      <c r="AO19" s="5"/>
    </row>
    <row r="20">
      <c r="A20" s="11">
        <v>44731</v>
      </c>
      <c r="B20" s="14"/>
      <c r="C20" s="14">
        <f>45+40+123.1+54.99</f>
        <v>263.08999999999997</v>
      </c>
      <c r="D20" s="14"/>
      <c r="E20" s="14"/>
      <c r="F20" s="14"/>
      <c r="G20" s="14"/>
      <c r="H20" s="14"/>
      <c r="I20" s="14"/>
      <c r="J20" s="14">
        <f>21.6+867</f>
        <v>888.60000000000002</v>
      </c>
      <c r="K20" s="14"/>
      <c r="L20" s="14"/>
      <c r="M20" s="14"/>
      <c r="N20" s="14"/>
      <c r="O20" s="14"/>
      <c r="P20" s="34"/>
      <c r="Q20" s="14"/>
      <c r="R20" s="14"/>
      <c r="S20" s="14"/>
      <c r="T20" s="87"/>
      <c r="U20" s="31"/>
      <c r="V20" s="88"/>
      <c r="W20" s="11">
        <v>44731</v>
      </c>
      <c r="X20" s="14"/>
      <c r="Y20" s="14">
        <f>208.25+374.86</f>
        <v>583.11000000000001</v>
      </c>
      <c r="Z20" s="14"/>
      <c r="AA20" s="14"/>
      <c r="AB20" s="14"/>
      <c r="AC20" s="14"/>
      <c r="AD20" s="14"/>
      <c r="AE20" s="14"/>
      <c r="AF20" s="14">
        <v>3875</v>
      </c>
      <c r="AG20" s="14"/>
      <c r="AH20" s="14"/>
      <c r="AI20" s="14"/>
      <c r="AJ20" s="14"/>
      <c r="AK20" s="14"/>
      <c r="AL20" s="34"/>
      <c r="AM20" s="14"/>
      <c r="AN20" s="14"/>
      <c r="AO20" s="14"/>
    </row>
    <row r="21">
      <c r="A21" s="11">
        <v>44732</v>
      </c>
      <c r="B21" s="69">
        <v>60</v>
      </c>
      <c r="C21" s="92">
        <v>75</v>
      </c>
      <c r="D21" s="5">
        <v>123</v>
      </c>
      <c r="E21" s="5"/>
      <c r="F21" s="5"/>
      <c r="G21" s="5"/>
      <c r="H21" s="5"/>
      <c r="I21" s="5"/>
      <c r="J21" s="5">
        <v>336.01999999999998</v>
      </c>
      <c r="K21" s="5"/>
      <c r="L21" s="5"/>
      <c r="M21" s="5"/>
      <c r="N21" s="5"/>
      <c r="O21" s="5"/>
      <c r="P21" s="5"/>
      <c r="Q21" s="5"/>
      <c r="R21" s="5"/>
      <c r="S21" s="5"/>
      <c r="T21" s="87"/>
      <c r="U21" s="31"/>
      <c r="V21" s="88"/>
      <c r="W21" s="11">
        <v>44732</v>
      </c>
      <c r="X21" s="69"/>
      <c r="Y21" s="5"/>
      <c r="Z21" s="5"/>
      <c r="AA21" s="5"/>
      <c r="AB21" s="5"/>
      <c r="AC21" s="5"/>
      <c r="AD21" s="5"/>
      <c r="AE21" s="5"/>
      <c r="AF21" s="5"/>
      <c r="AG21" s="5"/>
      <c r="AH21" s="5"/>
      <c r="AI21" s="5"/>
      <c r="AJ21" s="5"/>
      <c r="AK21" s="5"/>
      <c r="AL21" s="5"/>
      <c r="AM21" s="5"/>
      <c r="AN21" s="5"/>
      <c r="AO21" s="5"/>
    </row>
    <row r="22">
      <c r="A22" s="11">
        <v>44733</v>
      </c>
      <c r="B22" s="22"/>
      <c r="C22" s="14"/>
      <c r="D22" s="14"/>
      <c r="E22" s="14">
        <v>601</v>
      </c>
      <c r="F22" s="14"/>
      <c r="G22" s="14"/>
      <c r="H22" s="14"/>
      <c r="I22" s="14"/>
      <c r="J22" s="14"/>
      <c r="K22" s="14"/>
      <c r="L22" s="14"/>
      <c r="M22" s="14"/>
      <c r="N22" s="14"/>
      <c r="O22" s="14"/>
      <c r="P22" s="14"/>
      <c r="Q22" s="14"/>
      <c r="R22" s="14"/>
      <c r="S22" s="14"/>
      <c r="T22" s="87"/>
      <c r="U22" s="31"/>
      <c r="V22" s="88"/>
      <c r="W22" s="11">
        <v>44733</v>
      </c>
      <c r="X22" s="22"/>
      <c r="Y22" s="14">
        <v>91.980000000000004</v>
      </c>
      <c r="Z22" s="14"/>
      <c r="AA22" s="14"/>
      <c r="AB22" s="14"/>
      <c r="AC22" s="14"/>
      <c r="AD22" s="14"/>
      <c r="AE22" s="14"/>
      <c r="AF22" s="14"/>
      <c r="AG22" s="14"/>
      <c r="AH22" s="14"/>
      <c r="AI22" s="14"/>
      <c r="AJ22" s="14"/>
      <c r="AK22" s="14"/>
      <c r="AL22" s="14"/>
      <c r="AM22" s="14"/>
      <c r="AN22" s="14"/>
      <c r="AO22" s="14"/>
    </row>
    <row r="23">
      <c r="A23" s="11">
        <v>44734</v>
      </c>
      <c r="B23" s="5">
        <v>60</v>
      </c>
      <c r="C23" s="5">
        <f>25+336.8</f>
        <v>361.80000000000001</v>
      </c>
      <c r="D23" s="5">
        <v>32</v>
      </c>
      <c r="E23" s="5"/>
      <c r="F23" s="5"/>
      <c r="G23" s="5"/>
      <c r="H23" s="5"/>
      <c r="I23" s="5"/>
      <c r="J23" s="5"/>
      <c r="K23" s="5"/>
      <c r="L23" s="5"/>
      <c r="M23" s="5"/>
      <c r="N23" s="5"/>
      <c r="O23" s="5"/>
      <c r="P23" s="5"/>
      <c r="Q23" s="5"/>
      <c r="R23" s="5"/>
      <c r="S23" s="5"/>
      <c r="T23" s="87"/>
      <c r="U23" s="31"/>
      <c r="V23" s="88"/>
      <c r="W23" s="11">
        <v>44734</v>
      </c>
      <c r="X23" s="5"/>
      <c r="Y23" s="5"/>
      <c r="Z23" s="5"/>
      <c r="AA23" s="5"/>
      <c r="AB23" s="5"/>
      <c r="AC23" s="5"/>
      <c r="AD23" s="5"/>
      <c r="AE23" s="5"/>
      <c r="AF23" s="5"/>
      <c r="AG23" s="5"/>
      <c r="AH23" s="5"/>
      <c r="AI23" s="5"/>
      <c r="AJ23" s="5"/>
      <c r="AK23" s="5"/>
      <c r="AL23" s="5"/>
      <c r="AM23" s="5"/>
      <c r="AN23" s="5"/>
      <c r="AO23" s="5"/>
    </row>
    <row r="24">
      <c r="A24" s="11">
        <v>44735</v>
      </c>
      <c r="B24" s="14"/>
      <c r="C24" s="14"/>
      <c r="D24" s="14"/>
      <c r="E24" s="14"/>
      <c r="F24" s="14"/>
      <c r="G24" s="14"/>
      <c r="H24" s="14"/>
      <c r="I24" s="14"/>
      <c r="J24" s="14">
        <v>200.53999999999999</v>
      </c>
      <c r="K24" s="14"/>
      <c r="L24" s="14"/>
      <c r="M24" s="14"/>
      <c r="N24" s="14"/>
      <c r="O24" s="14"/>
      <c r="P24" s="14"/>
      <c r="Q24" s="14"/>
      <c r="R24" s="14"/>
      <c r="S24" s="14"/>
      <c r="T24" s="87"/>
      <c r="U24" s="31"/>
      <c r="V24" s="88"/>
      <c r="W24" s="11">
        <v>44735</v>
      </c>
      <c r="X24" s="14"/>
      <c r="Y24" s="14">
        <v>129.97</v>
      </c>
      <c r="Z24" s="14"/>
      <c r="AA24" s="14"/>
      <c r="AB24" s="14"/>
      <c r="AC24" s="14"/>
      <c r="AD24" s="14"/>
      <c r="AE24" s="14"/>
      <c r="AF24" s="14"/>
      <c r="AG24" s="14"/>
      <c r="AH24" s="14"/>
      <c r="AI24" s="14"/>
      <c r="AJ24" s="14"/>
      <c r="AK24" s="14"/>
      <c r="AL24" s="14"/>
      <c r="AM24" s="14"/>
      <c r="AN24" s="14"/>
      <c r="AO24" s="14"/>
    </row>
    <row r="25">
      <c r="A25" s="11">
        <v>44736</v>
      </c>
      <c r="B25" s="28">
        <v>60</v>
      </c>
      <c r="C25" s="5"/>
      <c r="D25" s="5">
        <v>132</v>
      </c>
      <c r="E25" s="5"/>
      <c r="F25" s="5"/>
      <c r="G25" s="5"/>
      <c r="H25" s="5"/>
      <c r="I25" s="5"/>
      <c r="J25" s="5">
        <f>31+47</f>
        <v>78</v>
      </c>
      <c r="K25" s="5"/>
      <c r="L25" s="5"/>
      <c r="M25" s="5"/>
      <c r="N25" s="5"/>
      <c r="O25" s="5"/>
      <c r="P25" s="5"/>
      <c r="Q25" s="5"/>
      <c r="R25" s="5"/>
      <c r="S25" s="5"/>
      <c r="T25" s="87"/>
      <c r="U25" s="31"/>
      <c r="V25" s="88"/>
      <c r="W25" s="11">
        <v>44736</v>
      </c>
      <c r="X25" s="28"/>
      <c r="Y25" s="5">
        <f>511+180</f>
        <v>691</v>
      </c>
      <c r="Z25" s="5"/>
      <c r="AA25" s="5"/>
      <c r="AB25" s="5"/>
      <c r="AC25" s="5"/>
      <c r="AD25" s="5"/>
      <c r="AE25" s="5"/>
      <c r="AF25" s="5"/>
      <c r="AG25" s="5"/>
      <c r="AH25" s="5"/>
      <c r="AI25" s="5"/>
      <c r="AJ25" s="5"/>
      <c r="AK25" s="5"/>
      <c r="AL25" s="5"/>
      <c r="AM25" s="5"/>
      <c r="AN25" s="5"/>
      <c r="AO25" s="5"/>
    </row>
    <row r="26">
      <c r="A26" s="11">
        <v>44737</v>
      </c>
      <c r="B26" s="14"/>
      <c r="C26" s="14"/>
      <c r="D26" s="14"/>
      <c r="E26" s="14"/>
      <c r="F26" s="14"/>
      <c r="G26" s="14"/>
      <c r="H26" s="14"/>
      <c r="I26" s="14"/>
      <c r="J26" s="14"/>
      <c r="K26" s="14"/>
      <c r="L26" s="14"/>
      <c r="M26" s="14"/>
      <c r="N26" s="14"/>
      <c r="O26" s="14"/>
      <c r="P26" s="14"/>
      <c r="Q26" s="14"/>
      <c r="R26" s="14"/>
      <c r="S26" s="14"/>
      <c r="T26" s="87"/>
      <c r="U26" s="31"/>
      <c r="V26" s="88"/>
      <c r="W26" s="11">
        <v>44737</v>
      </c>
      <c r="X26" s="14"/>
      <c r="Y26" s="14">
        <v>224.91</v>
      </c>
      <c r="Z26" s="14"/>
      <c r="AA26" s="14"/>
      <c r="AB26" s="14"/>
      <c r="AC26" s="14"/>
      <c r="AD26" s="14">
        <v>449.98000000000002</v>
      </c>
      <c r="AE26" s="14"/>
      <c r="AF26" s="14"/>
      <c r="AG26" s="14"/>
      <c r="AH26" s="14"/>
      <c r="AI26" s="14"/>
      <c r="AJ26" s="14"/>
      <c r="AK26" s="14"/>
      <c r="AL26" s="14"/>
      <c r="AM26" s="14"/>
      <c r="AN26" s="14"/>
      <c r="AO26" s="14"/>
    </row>
    <row r="27">
      <c r="A27" s="11">
        <v>44738</v>
      </c>
      <c r="B27" s="5">
        <v>1914.47</v>
      </c>
      <c r="C27" s="5">
        <v>69.989999999999995</v>
      </c>
      <c r="D27" s="5"/>
      <c r="E27" s="5"/>
      <c r="F27" s="5"/>
      <c r="G27" s="5"/>
      <c r="H27" s="5"/>
      <c r="I27" s="5"/>
      <c r="J27" s="5"/>
      <c r="K27" s="5"/>
      <c r="L27" s="5"/>
      <c r="M27" s="5"/>
      <c r="N27" s="5"/>
      <c r="O27" s="5"/>
      <c r="P27" s="5"/>
      <c r="Q27" s="5"/>
      <c r="R27" s="5"/>
      <c r="S27" s="5"/>
      <c r="T27" s="87"/>
      <c r="U27" s="31"/>
      <c r="V27" s="88"/>
      <c r="W27" s="11">
        <v>44738</v>
      </c>
      <c r="X27" s="5"/>
      <c r="Y27" s="5">
        <f>401.94+82.99</f>
        <v>484.93000000000001</v>
      </c>
      <c r="Z27" s="5"/>
      <c r="AA27" s="5"/>
      <c r="AB27" s="5"/>
      <c r="AC27" s="5"/>
      <c r="AD27" s="5"/>
      <c r="AE27" s="5"/>
      <c r="AF27" s="5">
        <v>554</v>
      </c>
      <c r="AG27" s="5"/>
      <c r="AH27" s="5"/>
      <c r="AI27" s="5"/>
      <c r="AJ27" s="5"/>
      <c r="AK27" s="5"/>
      <c r="AL27" s="5"/>
      <c r="AM27" s="5"/>
      <c r="AN27" s="5"/>
      <c r="AO27" s="5"/>
    </row>
    <row r="28">
      <c r="A28" s="11">
        <v>44739</v>
      </c>
      <c r="B28" s="14"/>
      <c r="C28" s="14"/>
      <c r="D28" s="14"/>
      <c r="E28" s="14">
        <v>882</v>
      </c>
      <c r="F28" s="14"/>
      <c r="G28" s="14"/>
      <c r="H28" s="14"/>
      <c r="I28" s="14"/>
      <c r="J28" s="14">
        <v>127.05</v>
      </c>
      <c r="K28" s="14"/>
      <c r="L28" s="14">
        <v>2187.6700000000001</v>
      </c>
      <c r="M28" s="14"/>
      <c r="N28" s="14"/>
      <c r="O28" s="14"/>
      <c r="P28" s="14"/>
      <c r="Q28" s="14"/>
      <c r="R28" s="14"/>
      <c r="S28" s="14"/>
      <c r="T28" s="87"/>
      <c r="U28" s="31"/>
      <c r="V28" s="88"/>
      <c r="W28" s="11">
        <v>44739</v>
      </c>
      <c r="X28" s="14"/>
      <c r="Y28" s="14"/>
      <c r="Z28" s="14"/>
      <c r="AA28" s="14"/>
      <c r="AB28" s="14"/>
      <c r="AC28" s="14"/>
      <c r="AD28" s="14"/>
      <c r="AE28" s="14"/>
      <c r="AF28" s="14"/>
      <c r="AG28" s="14"/>
      <c r="AH28" s="14"/>
      <c r="AI28" s="14"/>
      <c r="AJ28" s="14"/>
      <c r="AK28" s="14"/>
      <c r="AL28" s="14"/>
      <c r="AM28" s="14"/>
      <c r="AN28" s="14"/>
      <c r="AO28" s="14"/>
    </row>
    <row r="29">
      <c r="A29" s="11">
        <v>44740</v>
      </c>
      <c r="B29" s="5">
        <v>60</v>
      </c>
      <c r="C29" s="5"/>
      <c r="D29" s="5">
        <f>90+5+95</f>
        <v>190</v>
      </c>
      <c r="E29" s="5">
        <v>346</v>
      </c>
      <c r="F29" s="5"/>
      <c r="G29" s="5"/>
      <c r="H29" s="5"/>
      <c r="I29" s="5"/>
      <c r="J29" s="5">
        <f>76.23+179.02</f>
        <v>255.25</v>
      </c>
      <c r="K29" s="5"/>
      <c r="L29" s="5"/>
      <c r="M29" s="5"/>
      <c r="N29" s="5"/>
      <c r="O29" s="5"/>
      <c r="P29" s="5"/>
      <c r="Q29" s="5"/>
      <c r="R29" s="5"/>
      <c r="S29" s="5"/>
      <c r="T29" s="87"/>
      <c r="U29" s="31"/>
      <c r="V29" s="88"/>
      <c r="W29" s="11">
        <v>44740</v>
      </c>
      <c r="X29" s="5"/>
      <c r="Y29" s="5">
        <v>308.44</v>
      </c>
      <c r="Z29" s="5"/>
      <c r="AA29" s="5"/>
      <c r="AB29" s="5"/>
      <c r="AC29" s="5"/>
      <c r="AD29" s="5"/>
      <c r="AE29" s="5"/>
      <c r="AF29" s="5"/>
      <c r="AG29" s="5"/>
      <c r="AH29" s="5"/>
      <c r="AI29" s="5"/>
      <c r="AJ29" s="5"/>
      <c r="AK29" s="5"/>
      <c r="AL29" s="5"/>
      <c r="AM29" s="5"/>
      <c r="AN29" s="5"/>
      <c r="AO29" s="5"/>
    </row>
    <row r="30">
      <c r="A30" s="11">
        <v>44741</v>
      </c>
      <c r="B30" s="22"/>
      <c r="C30" s="22"/>
      <c r="D30" s="22"/>
      <c r="E30" s="22"/>
      <c r="F30" s="22"/>
      <c r="G30" s="22"/>
      <c r="H30" s="22"/>
      <c r="I30" s="22"/>
      <c r="J30" s="22"/>
      <c r="K30" s="22"/>
      <c r="L30" s="22"/>
      <c r="M30" s="22"/>
      <c r="N30" s="22"/>
      <c r="O30" s="22"/>
      <c r="P30" s="22"/>
      <c r="Q30" s="22"/>
      <c r="R30" s="22"/>
      <c r="S30" s="22"/>
      <c r="T30" s="87"/>
      <c r="U30" s="31"/>
      <c r="V30" s="88"/>
      <c r="W30" s="11">
        <v>44741</v>
      </c>
      <c r="X30" s="22"/>
      <c r="Y30" s="22"/>
      <c r="Z30" s="22"/>
      <c r="AA30" s="22"/>
      <c r="AB30" s="22"/>
      <c r="AC30" s="22"/>
      <c r="AD30" s="22"/>
      <c r="AE30" s="22"/>
      <c r="AF30" s="22"/>
      <c r="AG30" s="22"/>
      <c r="AH30" s="22"/>
      <c r="AI30" s="22"/>
      <c r="AJ30" s="22"/>
      <c r="AK30" s="22"/>
      <c r="AL30" s="22"/>
      <c r="AM30" s="22"/>
      <c r="AN30" s="22"/>
      <c r="AO30" s="22"/>
    </row>
    <row r="31">
      <c r="A31" s="11">
        <v>44742</v>
      </c>
      <c r="B31" s="5">
        <v>60</v>
      </c>
      <c r="C31" s="5">
        <v>560.97000000000003</v>
      </c>
      <c r="D31" s="5">
        <v>132</v>
      </c>
      <c r="E31" s="5"/>
      <c r="F31" s="5"/>
      <c r="G31" s="5"/>
      <c r="H31" s="5"/>
      <c r="I31" s="5"/>
      <c r="J31" s="5"/>
      <c r="K31" s="5"/>
      <c r="L31" s="5"/>
      <c r="M31" s="5"/>
      <c r="N31" s="5"/>
      <c r="O31" s="5"/>
      <c r="P31" s="5"/>
      <c r="Q31" s="5"/>
      <c r="R31" s="5"/>
      <c r="S31" s="5"/>
      <c r="T31" s="87"/>
      <c r="U31" s="31"/>
      <c r="V31" s="88"/>
      <c r="W31" s="11">
        <v>44742</v>
      </c>
      <c r="X31" s="5"/>
      <c r="Y31" s="5"/>
      <c r="Z31" s="5"/>
      <c r="AA31" s="5"/>
      <c r="AB31" s="5"/>
      <c r="AC31" s="5"/>
      <c r="AD31" s="5"/>
      <c r="AE31" s="5"/>
      <c r="AF31" s="5"/>
      <c r="AG31" s="5"/>
      <c r="AH31" s="5"/>
      <c r="AI31" s="5"/>
      <c r="AJ31" s="5"/>
      <c r="AK31" s="5"/>
      <c r="AL31" s="5"/>
      <c r="AM31" s="5"/>
      <c r="AN31" s="5"/>
      <c r="AO31" s="5"/>
    </row>
    <row r="32">
      <c r="A32" s="11"/>
      <c r="B32" s="22"/>
      <c r="C32" s="22"/>
      <c r="D32" s="22"/>
      <c r="E32" s="22"/>
      <c r="F32" s="22"/>
      <c r="G32" s="22"/>
      <c r="H32" s="22"/>
      <c r="I32" s="22"/>
      <c r="J32" s="22"/>
      <c r="K32" s="22"/>
      <c r="L32" s="22"/>
      <c r="M32" s="22"/>
      <c r="N32" s="22"/>
      <c r="O32" s="22"/>
      <c r="P32" s="22"/>
      <c r="Q32" s="22"/>
      <c r="R32" s="22"/>
      <c r="S32" s="22"/>
      <c r="T32" s="87"/>
      <c r="U32" s="31"/>
      <c r="V32" s="88"/>
      <c r="W32" s="11"/>
      <c r="X32" s="22"/>
      <c r="Y32" s="22"/>
      <c r="Z32" s="22"/>
      <c r="AA32" s="22"/>
      <c r="AB32" s="22"/>
      <c r="AC32" s="22"/>
      <c r="AD32" s="22"/>
      <c r="AE32" s="22"/>
      <c r="AF32" s="22"/>
      <c r="AG32" s="22"/>
      <c r="AH32" s="22"/>
      <c r="AI32" s="22"/>
      <c r="AJ32" s="22"/>
      <c r="AK32" s="22"/>
      <c r="AL32" s="22"/>
      <c r="AM32" s="22"/>
      <c r="AN32" s="22"/>
      <c r="AO32" s="22"/>
    </row>
    <row r="33">
      <c r="A33" s="74"/>
      <c r="B33" s="75">
        <f t="shared" ref="B33:R33" si="118">SUM(B2:B32)</f>
        <v>2384.4700000000003</v>
      </c>
      <c r="C33" s="75">
        <f t="shared" si="118"/>
        <v>4815.0999999999995</v>
      </c>
      <c r="D33" s="75">
        <f t="shared" si="118"/>
        <v>1046</v>
      </c>
      <c r="E33" s="75">
        <f t="shared" si="118"/>
        <v>5690</v>
      </c>
      <c r="F33" s="75">
        <f t="shared" si="118"/>
        <v>0</v>
      </c>
      <c r="G33" s="75">
        <f t="shared" si="118"/>
        <v>1737</v>
      </c>
      <c r="H33" s="75">
        <f t="shared" si="118"/>
        <v>0</v>
      </c>
      <c r="I33" s="75">
        <f t="shared" si="118"/>
        <v>999</v>
      </c>
      <c r="J33" s="75">
        <f t="shared" si="118"/>
        <v>24990.650000000001</v>
      </c>
      <c r="K33" s="75">
        <f t="shared" si="118"/>
        <v>0</v>
      </c>
      <c r="L33" s="75">
        <f t="shared" si="118"/>
        <v>2187.6700000000001</v>
      </c>
      <c r="M33" s="75">
        <f t="shared" si="118"/>
        <v>0</v>
      </c>
      <c r="N33" s="75">
        <f t="shared" si="118"/>
        <v>625</v>
      </c>
      <c r="O33" s="75">
        <f t="shared" si="118"/>
        <v>0</v>
      </c>
      <c r="P33" s="75">
        <f t="shared" si="118"/>
        <v>700</v>
      </c>
      <c r="Q33" s="75">
        <f t="shared" si="118"/>
        <v>0</v>
      </c>
      <c r="R33" s="75">
        <f t="shared" si="118"/>
        <v>0</v>
      </c>
      <c r="S33" s="75">
        <f>SUM(B33:R33)</f>
        <v>45174.889999999999</v>
      </c>
      <c r="T33" s="87"/>
      <c r="U33" s="31"/>
      <c r="V33" s="88"/>
      <c r="W33" s="74"/>
      <c r="X33" s="75">
        <f t="shared" ref="X33:AN33" si="119">SUM(X2:X32)</f>
        <v>1000</v>
      </c>
      <c r="Y33" s="75">
        <f t="shared" si="119"/>
        <v>3803.1099999999997</v>
      </c>
      <c r="Z33" s="75">
        <f t="shared" si="119"/>
        <v>0</v>
      </c>
      <c r="AA33" s="75">
        <f t="shared" si="119"/>
        <v>490</v>
      </c>
      <c r="AB33" s="75">
        <f t="shared" si="119"/>
        <v>37.5</v>
      </c>
      <c r="AC33" s="75">
        <f t="shared" si="119"/>
        <v>99</v>
      </c>
      <c r="AD33" s="75">
        <f t="shared" si="119"/>
        <v>449.98000000000002</v>
      </c>
      <c r="AE33" s="75">
        <f t="shared" si="119"/>
        <v>0</v>
      </c>
      <c r="AF33" s="75">
        <f t="shared" si="119"/>
        <v>7538</v>
      </c>
      <c r="AG33" s="75">
        <f t="shared" si="119"/>
        <v>0</v>
      </c>
      <c r="AH33" s="75">
        <f t="shared" si="119"/>
        <v>0</v>
      </c>
      <c r="AI33" s="75">
        <f t="shared" si="119"/>
        <v>273</v>
      </c>
      <c r="AJ33" s="75">
        <f t="shared" si="119"/>
        <v>0</v>
      </c>
      <c r="AK33" s="75">
        <f t="shared" si="119"/>
        <v>0</v>
      </c>
      <c r="AL33" s="75">
        <f t="shared" si="119"/>
        <v>16596</v>
      </c>
      <c r="AM33" s="75">
        <f t="shared" si="119"/>
        <v>0</v>
      </c>
      <c r="AN33" s="75">
        <f t="shared" si="119"/>
        <v>1670</v>
      </c>
      <c r="AO33" s="75">
        <f>SUM(X33:AN33)+AO11</f>
        <v>45456.589999999997</v>
      </c>
    </row>
    <row r="34">
      <c r="A34" s="84"/>
      <c r="B34" s="84"/>
      <c r="C34" s="84"/>
      <c r="D34" s="84"/>
      <c r="E34" s="84"/>
      <c r="F34" s="84"/>
      <c r="G34" s="84"/>
      <c r="H34" s="84"/>
      <c r="I34" s="84"/>
      <c r="J34" s="84"/>
      <c r="K34" s="84"/>
      <c r="L34" s="84"/>
      <c r="M34" s="84"/>
      <c r="N34" s="84"/>
      <c r="O34" s="84"/>
      <c r="P34" s="84"/>
      <c r="Q34" s="84"/>
      <c r="R34" s="84"/>
      <c r="S34" s="84"/>
      <c r="T34" s="31"/>
      <c r="U34" s="31"/>
      <c r="V34" s="31"/>
      <c r="W34" s="84"/>
      <c r="X34" s="84"/>
      <c r="Y34" s="84"/>
      <c r="Z34" s="84"/>
      <c r="AA34" s="84"/>
      <c r="AB34" s="84"/>
      <c r="AC34" s="84"/>
      <c r="AD34" s="84"/>
      <c r="AE34" s="84"/>
      <c r="AF34" s="84"/>
      <c r="AG34" s="84"/>
      <c r="AH34" s="84"/>
      <c r="AI34" s="84"/>
      <c r="AJ34" s="84"/>
      <c r="AK34" s="84"/>
      <c r="AL34" s="84"/>
      <c r="AM34" s="84"/>
      <c r="AN34" s="84"/>
      <c r="AO34" s="84"/>
    </row>
    <row r="35">
      <c r="A35" s="85" t="s">
        <v>0</v>
      </c>
      <c r="B35" s="85" t="s">
        <v>50</v>
      </c>
      <c r="C35" s="85" t="s">
        <v>13</v>
      </c>
      <c r="D35" s="85" t="s">
        <v>11</v>
      </c>
      <c r="E35" s="85" t="s">
        <v>51</v>
      </c>
      <c r="F35" s="85" t="s">
        <v>52</v>
      </c>
      <c r="G35" s="85" t="s">
        <v>53</v>
      </c>
      <c r="H35" s="85" t="s">
        <v>54</v>
      </c>
      <c r="I35" s="85" t="s">
        <v>55</v>
      </c>
      <c r="J35" s="85" t="s">
        <v>61</v>
      </c>
      <c r="K35" s="85" t="s">
        <v>74</v>
      </c>
      <c r="L35" s="86"/>
      <c r="M35" s="86"/>
      <c r="N35" s="86"/>
      <c r="O35" s="86"/>
      <c r="P35" s="86"/>
      <c r="Q35" s="86"/>
      <c r="R35" s="86"/>
      <c r="S35" s="86"/>
      <c r="T35" s="87"/>
      <c r="U35" s="31"/>
      <c r="V35" s="88"/>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44713</v>
      </c>
      <c r="B36" s="14"/>
      <c r="C36" s="14"/>
      <c r="D36" s="14"/>
      <c r="E36" s="14"/>
      <c r="F36" s="14"/>
      <c r="G36" s="14"/>
      <c r="H36" s="14"/>
      <c r="I36" s="14"/>
      <c r="J36" s="22"/>
      <c r="K36" s="22"/>
      <c r="L36" s="22"/>
      <c r="M36" s="22"/>
      <c r="N36" s="22"/>
      <c r="O36" s="22"/>
      <c r="P36" s="22"/>
      <c r="Q36" s="22"/>
      <c r="R36" s="22"/>
      <c r="S36" s="22"/>
      <c r="T36" s="87"/>
      <c r="U36" s="31"/>
      <c r="V36" s="88"/>
      <c r="W36" s="11">
        <v>44713</v>
      </c>
      <c r="X36" s="14"/>
      <c r="Y36" s="14"/>
      <c r="Z36" s="14"/>
      <c r="AA36" s="14"/>
      <c r="AB36" s="14"/>
      <c r="AC36" s="14"/>
      <c r="AD36" s="14"/>
      <c r="AE36" s="14"/>
      <c r="AF36" s="22"/>
      <c r="AG36" s="22"/>
      <c r="AH36" s="22"/>
      <c r="AI36" s="22"/>
      <c r="AJ36" s="22"/>
      <c r="AK36" s="22"/>
      <c r="AL36" s="22"/>
      <c r="AM36" s="22"/>
      <c r="AN36" s="22"/>
      <c r="AO36" s="22"/>
    </row>
    <row r="37">
      <c r="A37" s="11">
        <v>44714</v>
      </c>
      <c r="B37" s="5"/>
      <c r="C37" s="5"/>
      <c r="D37" s="5"/>
      <c r="E37" s="5"/>
      <c r="F37" s="5"/>
      <c r="G37" s="5"/>
      <c r="H37" s="5"/>
      <c r="I37" s="5"/>
      <c r="J37" s="5"/>
      <c r="K37" s="5"/>
      <c r="L37" s="5"/>
      <c r="M37" s="5"/>
      <c r="N37" s="5"/>
      <c r="O37" s="5"/>
      <c r="P37" s="5"/>
      <c r="Q37" s="5"/>
      <c r="R37" s="5"/>
      <c r="S37" s="5"/>
      <c r="T37" s="87"/>
      <c r="U37" s="31"/>
      <c r="V37" s="88"/>
      <c r="W37" s="11">
        <v>44714</v>
      </c>
      <c r="X37" s="5"/>
      <c r="Y37" s="5"/>
      <c r="Z37" s="5"/>
      <c r="AA37" s="5"/>
      <c r="AB37" s="5"/>
      <c r="AC37" s="5"/>
      <c r="AD37" s="5"/>
      <c r="AE37" s="5"/>
      <c r="AF37" s="5"/>
      <c r="AG37" s="5"/>
      <c r="AH37" s="5"/>
      <c r="AI37" s="5"/>
      <c r="AJ37" s="5"/>
      <c r="AK37" s="5"/>
      <c r="AL37" s="5"/>
      <c r="AM37" s="5"/>
      <c r="AN37" s="5"/>
      <c r="AO37" s="5"/>
    </row>
    <row r="38">
      <c r="A38" s="11">
        <v>44715</v>
      </c>
      <c r="B38" s="14">
        <v>32872</v>
      </c>
      <c r="C38" s="14"/>
      <c r="D38" s="14">
        <v>500</v>
      </c>
      <c r="E38" s="14"/>
      <c r="F38" s="14"/>
      <c r="G38" s="14"/>
      <c r="H38" s="14"/>
      <c r="I38" s="14"/>
      <c r="J38" s="22"/>
      <c r="K38" s="22"/>
      <c r="L38" s="22"/>
      <c r="M38" s="22"/>
      <c r="N38" s="22"/>
      <c r="O38" s="22"/>
      <c r="P38" s="22"/>
      <c r="Q38" s="22"/>
      <c r="R38" s="22"/>
      <c r="S38" s="22"/>
      <c r="T38" s="87"/>
      <c r="U38" s="31"/>
      <c r="V38" s="88"/>
      <c r="W38" s="11">
        <v>44715</v>
      </c>
      <c r="X38" s="14"/>
      <c r="Y38" s="14"/>
      <c r="Z38" s="14"/>
      <c r="AA38" s="14"/>
      <c r="AB38" s="14"/>
      <c r="AC38" s="14"/>
      <c r="AD38" s="14"/>
      <c r="AE38" s="14"/>
      <c r="AF38" s="22"/>
      <c r="AG38" s="22"/>
      <c r="AH38" s="22"/>
      <c r="AI38" s="22"/>
      <c r="AJ38" s="22"/>
      <c r="AK38" s="22"/>
      <c r="AL38" s="22"/>
      <c r="AM38" s="22"/>
      <c r="AN38" s="22"/>
      <c r="AO38" s="22"/>
    </row>
    <row r="39">
      <c r="A39" s="11">
        <v>44716</v>
      </c>
      <c r="B39" s="5"/>
      <c r="C39" s="5"/>
      <c r="D39" s="5"/>
      <c r="E39" s="71">
        <v>6.0999999999999996</v>
      </c>
      <c r="F39" s="5"/>
      <c r="G39" s="5"/>
      <c r="H39" s="5"/>
      <c r="I39" s="5">
        <v>17</v>
      </c>
      <c r="J39" s="5"/>
      <c r="K39" s="5"/>
      <c r="L39" s="5"/>
      <c r="M39" s="5"/>
      <c r="N39" s="5"/>
      <c r="O39" s="5"/>
      <c r="P39" s="5"/>
      <c r="Q39" s="5"/>
      <c r="R39" s="5"/>
      <c r="S39" s="5"/>
      <c r="T39" s="87"/>
      <c r="U39" s="31"/>
      <c r="V39" s="88"/>
      <c r="W39" s="11">
        <v>44716</v>
      </c>
      <c r="X39" s="5"/>
      <c r="Y39" s="5"/>
      <c r="Z39" s="5"/>
      <c r="AA39" s="71"/>
      <c r="AB39" s="5"/>
      <c r="AC39" s="5"/>
      <c r="AD39" s="5"/>
      <c r="AE39" s="5"/>
      <c r="AF39" s="5"/>
      <c r="AG39" s="5"/>
      <c r="AH39" s="5"/>
      <c r="AI39" s="5"/>
      <c r="AJ39" s="5"/>
      <c r="AK39" s="5"/>
      <c r="AL39" s="5"/>
      <c r="AM39" s="5"/>
      <c r="AN39" s="5"/>
      <c r="AO39" s="5"/>
    </row>
    <row r="40">
      <c r="A40" s="11">
        <v>44717</v>
      </c>
      <c r="B40" s="14"/>
      <c r="C40" s="14"/>
      <c r="D40" s="14"/>
      <c r="E40" s="14"/>
      <c r="F40" s="14"/>
      <c r="G40" s="14"/>
      <c r="H40" s="14"/>
      <c r="I40" s="14"/>
      <c r="J40" s="14"/>
      <c r="K40" s="14"/>
      <c r="L40" s="14"/>
      <c r="M40" s="14"/>
      <c r="N40" s="14"/>
      <c r="O40" s="14"/>
      <c r="P40" s="14"/>
      <c r="Q40" s="14"/>
      <c r="R40" s="14"/>
      <c r="S40" s="14"/>
      <c r="T40" s="87"/>
      <c r="U40" s="31"/>
      <c r="V40" s="88"/>
      <c r="W40" s="11">
        <v>44717</v>
      </c>
      <c r="X40" s="14"/>
      <c r="Y40" s="14"/>
      <c r="Z40" s="14"/>
      <c r="AA40" s="14"/>
      <c r="AB40" s="14"/>
      <c r="AC40" s="14"/>
      <c r="AD40" s="14"/>
      <c r="AE40" s="14"/>
      <c r="AF40" s="14"/>
      <c r="AG40" s="14"/>
      <c r="AH40" s="14"/>
      <c r="AI40" s="14"/>
      <c r="AJ40" s="14"/>
      <c r="AK40" s="14"/>
      <c r="AL40" s="14"/>
      <c r="AM40" s="14"/>
      <c r="AN40" s="14"/>
      <c r="AO40" s="14"/>
    </row>
    <row r="41">
      <c r="A41" s="11">
        <v>44718</v>
      </c>
      <c r="B41" s="5"/>
      <c r="C41" s="5"/>
      <c r="D41" s="5"/>
      <c r="E41" s="5">
        <v>11.130000000000001</v>
      </c>
      <c r="F41" s="5"/>
      <c r="G41" s="5"/>
      <c r="H41" s="5"/>
      <c r="I41" s="5"/>
      <c r="J41" s="5"/>
      <c r="K41" s="5"/>
      <c r="L41" s="5"/>
      <c r="M41" s="5"/>
      <c r="N41" s="5"/>
      <c r="O41" s="5"/>
      <c r="P41" s="5"/>
      <c r="Q41" s="5"/>
      <c r="R41" s="5"/>
      <c r="S41" s="5"/>
      <c r="T41" s="87"/>
      <c r="U41" s="31"/>
      <c r="V41" s="88"/>
      <c r="W41" s="11">
        <v>44718</v>
      </c>
      <c r="X41" s="5"/>
      <c r="Y41" s="5"/>
      <c r="Z41" s="5"/>
      <c r="AA41" s="5"/>
      <c r="AB41" s="5"/>
      <c r="AC41" s="5"/>
      <c r="AD41" s="5"/>
      <c r="AE41" s="5"/>
      <c r="AF41" s="5"/>
      <c r="AG41" s="5"/>
      <c r="AH41" s="5"/>
      <c r="AI41" s="5"/>
      <c r="AJ41" s="5"/>
      <c r="AK41" s="5"/>
      <c r="AL41" s="5"/>
      <c r="AM41" s="5"/>
      <c r="AN41" s="5"/>
      <c r="AO41" s="5"/>
    </row>
    <row r="42">
      <c r="A42" s="11">
        <v>44719</v>
      </c>
      <c r="B42" s="14"/>
      <c r="C42" s="14"/>
      <c r="D42" s="14"/>
      <c r="E42" s="14"/>
      <c r="F42" s="14"/>
      <c r="G42" s="14"/>
      <c r="H42" s="14"/>
      <c r="I42" s="14"/>
      <c r="J42" s="14"/>
      <c r="K42" s="14"/>
      <c r="L42" s="14"/>
      <c r="M42" s="14"/>
      <c r="N42" s="14"/>
      <c r="O42" s="14"/>
      <c r="P42" s="14"/>
      <c r="Q42" s="14"/>
      <c r="R42" s="14"/>
      <c r="S42" s="14"/>
      <c r="T42" s="87"/>
      <c r="U42" s="31"/>
      <c r="V42" s="88"/>
      <c r="W42" s="11">
        <v>44719</v>
      </c>
      <c r="X42" s="14"/>
      <c r="Y42" s="14"/>
      <c r="Z42" s="14"/>
      <c r="AA42" s="14"/>
      <c r="AB42" s="14"/>
      <c r="AC42" s="14"/>
      <c r="AD42" s="14"/>
      <c r="AE42" s="14"/>
      <c r="AF42" s="14"/>
      <c r="AG42" s="14"/>
      <c r="AH42" s="14"/>
      <c r="AI42" s="14"/>
      <c r="AJ42" s="14"/>
      <c r="AK42" s="14"/>
      <c r="AL42" s="14"/>
      <c r="AM42" s="14"/>
      <c r="AN42" s="14"/>
      <c r="AO42" s="14"/>
    </row>
    <row r="43">
      <c r="A43" s="11">
        <v>44720</v>
      </c>
      <c r="B43" s="5"/>
      <c r="C43" s="5"/>
      <c r="D43" s="5"/>
      <c r="E43" s="5"/>
      <c r="F43" s="5"/>
      <c r="G43" s="5"/>
      <c r="H43" s="5"/>
      <c r="I43" s="5"/>
      <c r="J43" s="5"/>
      <c r="K43" s="5"/>
      <c r="L43" s="5"/>
      <c r="M43" s="5"/>
      <c r="N43" s="5"/>
      <c r="O43" s="5"/>
      <c r="P43" s="5"/>
      <c r="Q43" s="5"/>
      <c r="R43" s="5"/>
      <c r="S43" s="5"/>
      <c r="T43" s="87"/>
      <c r="U43" s="31"/>
      <c r="V43" s="88"/>
      <c r="W43" s="11">
        <v>44720</v>
      </c>
      <c r="X43" s="5"/>
      <c r="Y43" s="5"/>
      <c r="Z43" s="5"/>
      <c r="AA43" s="5"/>
      <c r="AB43" s="5"/>
      <c r="AC43" s="5"/>
      <c r="AD43" s="5"/>
      <c r="AE43" s="5"/>
      <c r="AF43" s="5"/>
      <c r="AG43" s="5"/>
      <c r="AH43" s="5"/>
      <c r="AI43" s="5"/>
      <c r="AJ43" s="5"/>
      <c r="AK43" s="5"/>
      <c r="AL43" s="5"/>
      <c r="AM43" s="5"/>
      <c r="AN43" s="5"/>
      <c r="AO43" s="5"/>
    </row>
    <row r="44">
      <c r="A44" s="11">
        <v>44721</v>
      </c>
      <c r="B44" s="79"/>
      <c r="C44" s="14"/>
      <c r="D44" s="14"/>
      <c r="E44" s="14"/>
      <c r="F44" s="14"/>
      <c r="G44" s="14"/>
      <c r="H44" s="14"/>
      <c r="I44" s="14"/>
      <c r="J44" s="14"/>
      <c r="K44" s="14">
        <v>1000</v>
      </c>
      <c r="L44" s="14"/>
      <c r="M44" s="14"/>
      <c r="N44" s="14"/>
      <c r="O44" s="14"/>
      <c r="P44" s="14"/>
      <c r="Q44" s="14"/>
      <c r="R44" s="14"/>
      <c r="S44" s="14"/>
      <c r="T44" s="87"/>
      <c r="U44" s="31"/>
      <c r="V44" s="88"/>
      <c r="W44" s="11">
        <v>44721</v>
      </c>
      <c r="X44" s="79"/>
      <c r="Y44" s="14"/>
      <c r="Z44" s="14"/>
      <c r="AA44" s="14"/>
      <c r="AB44" s="14"/>
      <c r="AC44" s="14"/>
      <c r="AD44" s="14"/>
      <c r="AE44" s="14"/>
      <c r="AF44" s="14"/>
      <c r="AG44" s="14"/>
      <c r="AH44" s="14"/>
      <c r="AI44" s="14"/>
      <c r="AJ44" s="14"/>
      <c r="AK44" s="14"/>
      <c r="AL44" s="14"/>
      <c r="AM44" s="14"/>
      <c r="AN44" s="14"/>
      <c r="AO44" s="14"/>
    </row>
    <row r="45">
      <c r="A45" s="11">
        <v>44722</v>
      </c>
      <c r="B45" s="5"/>
      <c r="C45" s="5"/>
      <c r="D45" s="5"/>
      <c r="E45" s="5"/>
      <c r="F45" s="5"/>
      <c r="G45" s="5"/>
      <c r="H45" s="5"/>
      <c r="I45" s="5"/>
      <c r="J45" s="5"/>
      <c r="K45" s="5"/>
      <c r="L45" s="5"/>
      <c r="M45" s="5"/>
      <c r="N45" s="5"/>
      <c r="O45" s="5"/>
      <c r="P45" s="5"/>
      <c r="Q45" s="5"/>
      <c r="R45" s="5"/>
      <c r="S45" s="5"/>
      <c r="T45" s="87"/>
      <c r="U45" s="31"/>
      <c r="V45" s="88"/>
      <c r="W45" s="11">
        <v>44722</v>
      </c>
      <c r="X45" s="5"/>
      <c r="Y45" s="5"/>
      <c r="Z45" s="5"/>
      <c r="AA45" s="5"/>
      <c r="AB45" s="5"/>
      <c r="AC45" s="5"/>
      <c r="AD45" s="5"/>
      <c r="AE45" s="5"/>
      <c r="AF45" s="5"/>
      <c r="AG45" s="5"/>
      <c r="AH45" s="5"/>
      <c r="AI45" s="5"/>
      <c r="AJ45" s="5"/>
      <c r="AK45" s="5"/>
      <c r="AL45" s="5"/>
      <c r="AM45" s="5"/>
      <c r="AN45" s="5"/>
      <c r="AO45" s="5"/>
    </row>
    <row r="46">
      <c r="A46" s="11">
        <v>44723</v>
      </c>
      <c r="B46" s="14"/>
      <c r="C46" s="14"/>
      <c r="D46" s="14"/>
      <c r="E46" s="14"/>
      <c r="F46" s="14"/>
      <c r="G46" s="14"/>
      <c r="H46" s="14"/>
      <c r="I46" s="14">
        <v>1071</v>
      </c>
      <c r="J46" s="14"/>
      <c r="K46" s="14"/>
      <c r="L46" s="14"/>
      <c r="M46" s="14"/>
      <c r="N46" s="14"/>
      <c r="O46" s="14"/>
      <c r="P46" s="14"/>
      <c r="Q46" s="14"/>
      <c r="R46" s="14"/>
      <c r="S46" s="14"/>
      <c r="T46" s="87"/>
      <c r="U46" s="31"/>
      <c r="V46" s="88"/>
      <c r="W46" s="11">
        <v>44723</v>
      </c>
      <c r="X46" s="14"/>
      <c r="Y46" s="14"/>
      <c r="Z46" s="14"/>
      <c r="AA46" s="14"/>
      <c r="AB46" s="14"/>
      <c r="AC46" s="14"/>
      <c r="AD46" s="14"/>
      <c r="AE46" s="14"/>
      <c r="AF46" s="14"/>
      <c r="AG46" s="14"/>
      <c r="AH46" s="14"/>
      <c r="AI46" s="14"/>
      <c r="AJ46" s="14"/>
      <c r="AK46" s="14"/>
      <c r="AL46" s="14"/>
      <c r="AM46" s="14"/>
      <c r="AN46" s="14"/>
      <c r="AO46" s="14"/>
    </row>
    <row r="47">
      <c r="A47" s="11">
        <v>44724</v>
      </c>
      <c r="B47" s="5"/>
      <c r="C47" s="5"/>
      <c r="D47" s="5"/>
      <c r="E47" s="5"/>
      <c r="F47" s="5"/>
      <c r="G47" s="5"/>
      <c r="H47" s="5"/>
      <c r="I47" s="5"/>
      <c r="J47" s="5"/>
      <c r="K47" s="5"/>
      <c r="L47" s="5"/>
      <c r="M47" s="5"/>
      <c r="N47" s="5"/>
      <c r="O47" s="5"/>
      <c r="P47" s="5"/>
      <c r="Q47" s="5"/>
      <c r="R47" s="5"/>
      <c r="S47" s="5"/>
      <c r="T47" s="87"/>
      <c r="U47" s="31"/>
      <c r="V47" s="88"/>
      <c r="W47" s="11">
        <v>44724</v>
      </c>
      <c r="X47" s="5"/>
      <c r="Y47" s="5"/>
      <c r="Z47" s="5"/>
      <c r="AA47" s="5"/>
      <c r="AB47" s="5"/>
      <c r="AC47" s="5"/>
      <c r="AD47" s="5"/>
      <c r="AE47" s="5"/>
      <c r="AF47" s="5"/>
      <c r="AG47" s="5"/>
      <c r="AH47" s="5"/>
      <c r="AI47" s="5"/>
      <c r="AJ47" s="5"/>
      <c r="AK47" s="5"/>
      <c r="AL47" s="5"/>
      <c r="AM47" s="5"/>
      <c r="AN47" s="5"/>
      <c r="AO47" s="5"/>
    </row>
    <row r="48">
      <c r="A48" s="11">
        <v>44725</v>
      </c>
      <c r="B48" s="14"/>
      <c r="C48" s="14"/>
      <c r="D48" s="14"/>
      <c r="E48" s="14"/>
      <c r="F48" s="14"/>
      <c r="G48" s="14"/>
      <c r="H48" s="14"/>
      <c r="I48" s="14"/>
      <c r="J48" s="14"/>
      <c r="K48" s="14"/>
      <c r="L48" s="14"/>
      <c r="M48" s="14"/>
      <c r="N48" s="14"/>
      <c r="O48" s="14"/>
      <c r="P48" s="14"/>
      <c r="Q48" s="14"/>
      <c r="R48" s="14"/>
      <c r="S48" s="14"/>
      <c r="T48" s="87"/>
      <c r="U48" s="31"/>
      <c r="V48" s="88"/>
      <c r="W48" s="11">
        <v>44725</v>
      </c>
      <c r="X48" s="14"/>
      <c r="Y48" s="14"/>
      <c r="Z48" s="14"/>
      <c r="AA48" s="14"/>
      <c r="AB48" s="14"/>
      <c r="AC48" s="14"/>
      <c r="AD48" s="14"/>
      <c r="AE48" s="14"/>
      <c r="AF48" s="14"/>
      <c r="AG48" s="14"/>
      <c r="AH48" s="14"/>
      <c r="AI48" s="14"/>
      <c r="AJ48" s="14"/>
      <c r="AK48" s="14"/>
      <c r="AL48" s="14"/>
      <c r="AM48" s="14"/>
      <c r="AN48" s="14"/>
      <c r="AO48" s="14"/>
    </row>
    <row r="49">
      <c r="A49" s="11">
        <v>44726</v>
      </c>
      <c r="B49" s="5"/>
      <c r="C49" s="5"/>
      <c r="D49" s="5"/>
      <c r="E49" s="5"/>
      <c r="F49" s="5"/>
      <c r="G49" s="5"/>
      <c r="H49" s="5"/>
      <c r="I49" s="5"/>
      <c r="J49" s="5"/>
      <c r="K49" s="5"/>
      <c r="L49" s="5"/>
      <c r="M49" s="5"/>
      <c r="N49" s="5"/>
      <c r="O49" s="5"/>
      <c r="P49" s="5"/>
      <c r="Q49" s="5"/>
      <c r="R49" s="5"/>
      <c r="S49" s="5"/>
      <c r="T49" s="87"/>
      <c r="U49" s="31"/>
      <c r="V49" s="88"/>
      <c r="W49" s="11">
        <v>44726</v>
      </c>
      <c r="X49" s="5">
        <v>22013.040000000001</v>
      </c>
      <c r="Y49" s="5"/>
      <c r="Z49" s="5"/>
      <c r="AA49" s="5"/>
      <c r="AB49" s="5"/>
      <c r="AC49" s="5"/>
      <c r="AD49" s="5"/>
      <c r="AE49" s="5"/>
      <c r="AF49" s="5"/>
      <c r="AG49" s="5"/>
      <c r="AH49" s="5"/>
      <c r="AI49" s="5"/>
      <c r="AJ49" s="5"/>
      <c r="AK49" s="5"/>
      <c r="AL49" s="5"/>
      <c r="AM49" s="5"/>
      <c r="AN49" s="5"/>
      <c r="AO49" s="5"/>
    </row>
    <row r="50">
      <c r="A50" s="11">
        <v>44727</v>
      </c>
      <c r="B50" s="14"/>
      <c r="C50" s="14"/>
      <c r="D50" s="14"/>
      <c r="E50" s="14"/>
      <c r="F50" s="14"/>
      <c r="G50" s="14"/>
      <c r="H50" s="14"/>
      <c r="I50" s="14"/>
      <c r="J50" s="14"/>
      <c r="K50" s="14"/>
      <c r="L50" s="14"/>
      <c r="M50" s="14"/>
      <c r="N50" s="14"/>
      <c r="O50" s="14"/>
      <c r="P50" s="14"/>
      <c r="Q50" s="14"/>
      <c r="R50" s="14"/>
      <c r="S50" s="14"/>
      <c r="T50" s="87"/>
      <c r="U50" s="31"/>
      <c r="V50" s="88"/>
      <c r="W50" s="11">
        <v>44727</v>
      </c>
      <c r="X50" s="14"/>
      <c r="Y50" s="14"/>
      <c r="Z50" s="14"/>
      <c r="AA50" s="14">
        <v>51.560000000000002</v>
      </c>
      <c r="AB50" s="14"/>
      <c r="AC50" s="14"/>
      <c r="AD50" s="14"/>
      <c r="AE50" s="14">
        <v>116</v>
      </c>
      <c r="AF50" s="14"/>
      <c r="AG50" s="14"/>
      <c r="AH50" s="14"/>
      <c r="AI50" s="14"/>
      <c r="AJ50" s="14"/>
      <c r="AK50" s="14"/>
      <c r="AL50" s="14"/>
      <c r="AM50" s="14"/>
      <c r="AN50" s="14"/>
      <c r="AO50" s="14"/>
    </row>
    <row r="51">
      <c r="A51" s="11">
        <v>44728</v>
      </c>
      <c r="B51" s="5"/>
      <c r="C51" s="5"/>
      <c r="D51" s="5"/>
      <c r="E51" s="5"/>
      <c r="F51" s="5"/>
      <c r="G51" s="5"/>
      <c r="H51" s="5"/>
      <c r="I51" s="5"/>
      <c r="J51" s="5"/>
      <c r="K51" s="5"/>
      <c r="L51" s="5"/>
      <c r="M51" s="5"/>
      <c r="N51" s="5"/>
      <c r="O51" s="5"/>
      <c r="P51" s="5"/>
      <c r="Q51" s="5"/>
      <c r="R51" s="5"/>
      <c r="S51" s="5"/>
      <c r="T51" s="87"/>
      <c r="U51" s="31"/>
      <c r="V51" s="88"/>
      <c r="W51" s="11">
        <v>44728</v>
      </c>
      <c r="X51" s="5"/>
      <c r="Y51" s="5"/>
      <c r="Z51" s="5"/>
      <c r="AA51" s="5"/>
      <c r="AB51" s="5"/>
      <c r="AC51" s="5"/>
      <c r="AD51" s="5"/>
      <c r="AE51" s="5"/>
      <c r="AF51" s="5"/>
      <c r="AG51" s="5"/>
      <c r="AH51" s="5"/>
      <c r="AI51" s="5"/>
      <c r="AJ51" s="5"/>
      <c r="AK51" s="5"/>
      <c r="AL51" s="5"/>
      <c r="AM51" s="5"/>
      <c r="AN51" s="5"/>
      <c r="AO51" s="5"/>
    </row>
    <row r="52">
      <c r="A52" s="11">
        <v>44729</v>
      </c>
      <c r="B52" s="14"/>
      <c r="C52" s="14"/>
      <c r="D52" s="14"/>
      <c r="E52" s="14"/>
      <c r="F52" s="14"/>
      <c r="G52" s="14"/>
      <c r="H52" s="14"/>
      <c r="I52" s="14"/>
      <c r="J52" s="14"/>
      <c r="K52" s="14"/>
      <c r="L52" s="14"/>
      <c r="M52" s="14"/>
      <c r="N52" s="14"/>
      <c r="O52" s="14"/>
      <c r="P52" s="14"/>
      <c r="Q52" s="14"/>
      <c r="R52" s="14"/>
      <c r="S52" s="14"/>
      <c r="T52" s="87"/>
      <c r="U52" s="31"/>
      <c r="V52" s="88"/>
      <c r="W52" s="11">
        <v>44729</v>
      </c>
      <c r="X52" s="14">
        <v>1435</v>
      </c>
      <c r="Y52" s="14"/>
      <c r="Z52" s="14"/>
      <c r="AA52" s="14"/>
      <c r="AB52" s="14"/>
      <c r="AC52" s="14"/>
      <c r="AD52" s="14"/>
      <c r="AE52" s="14"/>
      <c r="AF52" s="14"/>
      <c r="AG52" s="14"/>
      <c r="AH52" s="14"/>
      <c r="AI52" s="14"/>
      <c r="AJ52" s="14"/>
      <c r="AK52" s="14"/>
      <c r="AL52" s="14"/>
      <c r="AM52" s="14"/>
      <c r="AN52" s="14"/>
      <c r="AO52" s="14"/>
    </row>
    <row r="53">
      <c r="A53" s="11">
        <v>44730</v>
      </c>
      <c r="B53" s="5"/>
      <c r="C53" s="5"/>
      <c r="D53" s="5"/>
      <c r="E53" s="5"/>
      <c r="F53" s="5"/>
      <c r="G53" s="5"/>
      <c r="H53" s="5"/>
      <c r="I53" s="5"/>
      <c r="J53" s="5"/>
      <c r="K53" s="5"/>
      <c r="L53" s="5"/>
      <c r="M53" s="5"/>
      <c r="N53" s="5"/>
      <c r="O53" s="5"/>
      <c r="P53" s="5"/>
      <c r="Q53" s="5"/>
      <c r="R53" s="5"/>
      <c r="S53" s="5"/>
      <c r="T53" s="87"/>
      <c r="U53" s="31"/>
      <c r="V53" s="88"/>
      <c r="W53" s="11">
        <v>44730</v>
      </c>
      <c r="X53" s="5"/>
      <c r="Y53" s="5"/>
      <c r="Z53" s="5"/>
      <c r="AA53" s="5"/>
      <c r="AB53" s="5"/>
      <c r="AC53" s="5"/>
      <c r="AD53" s="5"/>
      <c r="AE53" s="5"/>
      <c r="AF53" s="5"/>
      <c r="AG53" s="5"/>
      <c r="AH53" s="5"/>
      <c r="AI53" s="5"/>
      <c r="AJ53" s="5"/>
      <c r="AK53" s="5"/>
      <c r="AL53" s="5"/>
      <c r="AM53" s="5"/>
      <c r="AN53" s="5"/>
      <c r="AO53" s="5"/>
    </row>
    <row r="54">
      <c r="A54" s="11">
        <v>44731</v>
      </c>
      <c r="B54" s="14"/>
      <c r="C54" s="14"/>
      <c r="D54" s="14"/>
      <c r="E54" s="14"/>
      <c r="F54" s="14"/>
      <c r="G54" s="14"/>
      <c r="H54" s="14"/>
      <c r="I54" s="14"/>
      <c r="J54" s="14"/>
      <c r="K54" s="14"/>
      <c r="L54" s="14"/>
      <c r="M54" s="14"/>
      <c r="N54" s="14"/>
      <c r="O54" s="14"/>
      <c r="P54" s="14"/>
      <c r="Q54" s="14"/>
      <c r="R54" s="14"/>
      <c r="S54" s="14"/>
      <c r="T54" s="87"/>
      <c r="U54" s="31"/>
      <c r="V54" s="88"/>
      <c r="W54" s="11">
        <v>44731</v>
      </c>
      <c r="X54" s="14"/>
      <c r="Y54" s="14"/>
      <c r="Z54" s="14"/>
      <c r="AA54" s="14"/>
      <c r="AB54" s="14"/>
      <c r="AC54" s="14"/>
      <c r="AD54" s="14"/>
      <c r="AE54" s="14"/>
      <c r="AF54" s="14"/>
      <c r="AG54" s="14"/>
      <c r="AH54" s="14"/>
      <c r="AI54" s="14"/>
      <c r="AJ54" s="14"/>
      <c r="AK54" s="14"/>
      <c r="AL54" s="14"/>
      <c r="AM54" s="14"/>
      <c r="AN54" s="14"/>
      <c r="AO54" s="14"/>
    </row>
    <row r="55">
      <c r="A55" s="11">
        <v>44732</v>
      </c>
      <c r="B55" s="5">
        <v>10877.860000000001</v>
      </c>
      <c r="C55" s="5"/>
      <c r="D55" s="5"/>
      <c r="E55" s="5"/>
      <c r="F55" s="5"/>
      <c r="G55" s="5"/>
      <c r="H55" s="5"/>
      <c r="I55" s="5"/>
      <c r="J55" s="5"/>
      <c r="K55" s="5"/>
      <c r="L55" s="5"/>
      <c r="M55" s="5"/>
      <c r="N55" s="5"/>
      <c r="O55" s="5"/>
      <c r="P55" s="5"/>
      <c r="Q55" s="5"/>
      <c r="R55" s="5"/>
      <c r="S55" s="5"/>
      <c r="T55" s="87"/>
      <c r="U55" s="31"/>
      <c r="V55" s="88"/>
      <c r="W55" s="11">
        <v>44732</v>
      </c>
      <c r="X55" s="5"/>
      <c r="Y55" s="5"/>
      <c r="Z55" s="5"/>
      <c r="AA55" s="5"/>
      <c r="AB55" s="5"/>
      <c r="AC55" s="5"/>
      <c r="AD55" s="5"/>
      <c r="AE55" s="5"/>
      <c r="AF55" s="5"/>
      <c r="AG55" s="5"/>
      <c r="AH55" s="5"/>
      <c r="AI55" s="5"/>
      <c r="AJ55" s="5"/>
      <c r="AK55" s="5"/>
      <c r="AL55" s="5"/>
      <c r="AM55" s="5"/>
      <c r="AN55" s="5"/>
      <c r="AO55" s="5"/>
    </row>
    <row r="56">
      <c r="A56" s="11">
        <v>44733</v>
      </c>
      <c r="B56" s="14"/>
      <c r="C56" s="14"/>
      <c r="D56" s="14"/>
      <c r="E56" s="14"/>
      <c r="F56" s="14"/>
      <c r="G56" s="14"/>
      <c r="H56" s="14"/>
      <c r="I56" s="14"/>
      <c r="J56" s="14"/>
      <c r="K56" s="14"/>
      <c r="L56" s="14"/>
      <c r="M56" s="14"/>
      <c r="N56" s="14"/>
      <c r="O56" s="14"/>
      <c r="P56" s="14"/>
      <c r="Q56" s="14"/>
      <c r="R56" s="14"/>
      <c r="S56" s="14"/>
      <c r="T56" s="87"/>
      <c r="U56" s="31"/>
      <c r="V56" s="88"/>
      <c r="W56" s="11">
        <v>44733</v>
      </c>
      <c r="X56" s="14"/>
      <c r="Y56" s="14"/>
      <c r="Z56" s="14"/>
      <c r="AA56" s="14"/>
      <c r="AB56" s="14"/>
      <c r="AC56" s="14"/>
      <c r="AD56" s="14"/>
      <c r="AE56" s="14"/>
      <c r="AF56" s="14"/>
      <c r="AG56" s="14"/>
      <c r="AH56" s="14"/>
      <c r="AI56" s="14"/>
      <c r="AJ56" s="14"/>
      <c r="AK56" s="14"/>
      <c r="AL56" s="14"/>
      <c r="AM56" s="14"/>
      <c r="AN56" s="14"/>
      <c r="AO56" s="14"/>
    </row>
    <row r="57">
      <c r="A57" s="11">
        <v>44734</v>
      </c>
      <c r="B57" s="5"/>
      <c r="C57" s="5"/>
      <c r="D57" s="5"/>
      <c r="E57" s="5"/>
      <c r="F57" s="5"/>
      <c r="G57" s="5"/>
      <c r="H57" s="5"/>
      <c r="I57" s="5"/>
      <c r="J57" s="5"/>
      <c r="K57" s="5"/>
      <c r="L57" s="5"/>
      <c r="M57" s="5"/>
      <c r="N57" s="5"/>
      <c r="O57" s="5"/>
      <c r="P57" s="5"/>
      <c r="Q57" s="5"/>
      <c r="R57" s="5"/>
      <c r="S57" s="5"/>
      <c r="T57" s="87"/>
      <c r="U57" s="31"/>
      <c r="V57" s="88"/>
      <c r="W57" s="11">
        <v>44734</v>
      </c>
      <c r="X57" s="5"/>
      <c r="Y57" s="5"/>
      <c r="Z57" s="5"/>
      <c r="AA57" s="5"/>
      <c r="AB57" s="5"/>
      <c r="AC57" s="5"/>
      <c r="AD57" s="5"/>
      <c r="AE57" s="5"/>
      <c r="AF57" s="5"/>
      <c r="AG57" s="5"/>
      <c r="AH57" s="5"/>
      <c r="AI57" s="5"/>
      <c r="AJ57" s="5"/>
      <c r="AK57" s="5"/>
      <c r="AL57" s="5"/>
      <c r="AM57" s="5"/>
      <c r="AN57" s="5"/>
      <c r="AO57" s="5"/>
    </row>
    <row r="58">
      <c r="A58" s="11">
        <v>44735</v>
      </c>
      <c r="B58" s="14"/>
      <c r="C58" s="14"/>
      <c r="D58" s="14"/>
      <c r="E58" s="14"/>
      <c r="F58" s="14"/>
      <c r="G58" s="14"/>
      <c r="H58" s="14"/>
      <c r="I58" s="14"/>
      <c r="J58" s="14"/>
      <c r="K58" s="14"/>
      <c r="L58" s="14"/>
      <c r="M58" s="14"/>
      <c r="N58" s="14"/>
      <c r="O58" s="14"/>
      <c r="P58" s="14"/>
      <c r="Q58" s="14"/>
      <c r="R58" s="14"/>
      <c r="S58" s="14"/>
      <c r="T58" s="87"/>
      <c r="U58" s="31"/>
      <c r="V58" s="88"/>
      <c r="W58" s="11">
        <v>44735</v>
      </c>
      <c r="X58" s="14"/>
      <c r="Y58" s="14"/>
      <c r="Z58" s="14"/>
      <c r="AA58" s="14"/>
      <c r="AB58" s="14"/>
      <c r="AC58" s="14"/>
      <c r="AD58" s="14"/>
      <c r="AE58" s="14"/>
      <c r="AF58" s="14"/>
      <c r="AG58" s="14"/>
      <c r="AH58" s="14"/>
      <c r="AI58" s="14"/>
      <c r="AJ58" s="14"/>
      <c r="AK58" s="14"/>
      <c r="AL58" s="14"/>
      <c r="AM58" s="14"/>
      <c r="AN58" s="14"/>
      <c r="AO58" s="14"/>
    </row>
    <row r="59">
      <c r="A59" s="11">
        <v>44736</v>
      </c>
      <c r="B59" s="5"/>
      <c r="C59" s="5"/>
      <c r="D59" s="5"/>
      <c r="E59" s="5"/>
      <c r="F59" s="5"/>
      <c r="G59" s="5"/>
      <c r="H59" s="5"/>
      <c r="I59" s="5"/>
      <c r="J59" s="5"/>
      <c r="K59" s="5"/>
      <c r="L59" s="5"/>
      <c r="M59" s="5"/>
      <c r="N59" s="5"/>
      <c r="O59" s="5"/>
      <c r="P59" s="5"/>
      <c r="Q59" s="5"/>
      <c r="R59" s="5"/>
      <c r="S59" s="5"/>
      <c r="T59" s="87"/>
      <c r="U59" s="31"/>
      <c r="V59" s="88"/>
      <c r="W59" s="11">
        <v>44736</v>
      </c>
      <c r="X59" s="5"/>
      <c r="Y59" s="5"/>
      <c r="Z59" s="5"/>
      <c r="AA59" s="5"/>
      <c r="AB59" s="5"/>
      <c r="AC59" s="5"/>
      <c r="AD59" s="5"/>
      <c r="AE59" s="5"/>
      <c r="AF59" s="5"/>
      <c r="AG59" s="5"/>
      <c r="AH59" s="5"/>
      <c r="AI59" s="5"/>
      <c r="AJ59" s="5"/>
      <c r="AK59" s="5"/>
      <c r="AL59" s="5"/>
      <c r="AM59" s="5"/>
      <c r="AN59" s="5"/>
      <c r="AO59" s="5"/>
    </row>
    <row r="60">
      <c r="A60" s="11">
        <v>44737</v>
      </c>
      <c r="B60" s="14"/>
      <c r="C60" s="14"/>
      <c r="D60" s="14"/>
      <c r="E60" s="14"/>
      <c r="F60" s="14"/>
      <c r="G60" s="14"/>
      <c r="H60" s="14"/>
      <c r="I60" s="14"/>
      <c r="J60" s="14"/>
      <c r="K60" s="14"/>
      <c r="L60" s="14"/>
      <c r="M60" s="14"/>
      <c r="N60" s="14"/>
      <c r="O60" s="14"/>
      <c r="P60" s="14"/>
      <c r="Q60" s="14"/>
      <c r="R60" s="14"/>
      <c r="S60" s="14"/>
      <c r="T60" s="87"/>
      <c r="U60" s="31"/>
      <c r="V60" s="88"/>
      <c r="W60" s="11">
        <v>44737</v>
      </c>
      <c r="X60" s="14"/>
      <c r="Y60" s="14"/>
      <c r="Z60" s="14"/>
      <c r="AA60" s="14"/>
      <c r="AB60" s="14"/>
      <c r="AC60" s="14"/>
      <c r="AD60" s="14"/>
      <c r="AE60" s="14"/>
      <c r="AF60" s="14"/>
      <c r="AG60" s="14"/>
      <c r="AH60" s="14"/>
      <c r="AI60" s="14"/>
      <c r="AJ60" s="14"/>
      <c r="AK60" s="14"/>
      <c r="AL60" s="14"/>
      <c r="AM60" s="14"/>
      <c r="AN60" s="14"/>
      <c r="AO60" s="14"/>
    </row>
    <row r="61">
      <c r="A61" s="11">
        <v>44738</v>
      </c>
      <c r="B61" s="5"/>
      <c r="C61" s="5"/>
      <c r="D61" s="5"/>
      <c r="E61" s="5"/>
      <c r="F61" s="5"/>
      <c r="G61" s="5"/>
      <c r="H61" s="5"/>
      <c r="I61" s="5"/>
      <c r="J61" s="5"/>
      <c r="K61" s="5"/>
      <c r="L61" s="5"/>
      <c r="M61" s="5"/>
      <c r="N61" s="5"/>
      <c r="O61" s="5"/>
      <c r="P61" s="5"/>
      <c r="Q61" s="5"/>
      <c r="R61" s="5"/>
      <c r="S61" s="5"/>
      <c r="T61" s="87"/>
      <c r="U61" s="31"/>
      <c r="V61" s="88"/>
      <c r="W61" s="11">
        <v>44738</v>
      </c>
      <c r="X61" s="5"/>
      <c r="Y61" s="5"/>
      <c r="Z61" s="5"/>
      <c r="AA61" s="5"/>
      <c r="AB61" s="5"/>
      <c r="AC61" s="5"/>
      <c r="AD61" s="5"/>
      <c r="AE61" s="5"/>
      <c r="AF61" s="5"/>
      <c r="AG61" s="5"/>
      <c r="AH61" s="5"/>
      <c r="AI61" s="5"/>
      <c r="AJ61" s="5"/>
      <c r="AK61" s="5"/>
      <c r="AL61" s="5"/>
      <c r="AM61" s="5"/>
      <c r="AN61" s="5"/>
      <c r="AO61" s="5"/>
    </row>
    <row r="62">
      <c r="A62" s="11">
        <v>44739</v>
      </c>
      <c r="B62" s="14"/>
      <c r="C62" s="14"/>
      <c r="D62" s="14"/>
      <c r="E62" s="14"/>
      <c r="F62" s="14"/>
      <c r="G62" s="14"/>
      <c r="H62" s="14"/>
      <c r="I62" s="14"/>
      <c r="J62" s="14"/>
      <c r="K62" s="14"/>
      <c r="L62" s="14"/>
      <c r="M62" s="14"/>
      <c r="N62" s="14"/>
      <c r="O62" s="14"/>
      <c r="P62" s="14"/>
      <c r="Q62" s="14"/>
      <c r="R62" s="14"/>
      <c r="S62" s="14"/>
      <c r="T62" s="87"/>
      <c r="U62" s="31"/>
      <c r="V62" s="88"/>
      <c r="W62" s="11">
        <v>44739</v>
      </c>
      <c r="X62" s="14">
        <v>24534.689999999999</v>
      </c>
      <c r="Y62" s="14"/>
      <c r="Z62" s="14"/>
      <c r="AA62" s="14"/>
      <c r="AB62" s="14"/>
      <c r="AC62" s="14"/>
      <c r="AD62" s="14"/>
      <c r="AE62" s="14"/>
      <c r="AF62" s="14"/>
      <c r="AG62" s="14"/>
      <c r="AH62" s="14"/>
      <c r="AI62" s="14"/>
      <c r="AJ62" s="14"/>
      <c r="AK62" s="14"/>
      <c r="AL62" s="14"/>
      <c r="AM62" s="14"/>
      <c r="AN62" s="14"/>
      <c r="AO62" s="14"/>
    </row>
    <row r="63">
      <c r="A63" s="11">
        <v>44740</v>
      </c>
      <c r="B63" s="5"/>
      <c r="C63" s="5"/>
      <c r="D63" s="5"/>
      <c r="E63" s="5"/>
      <c r="F63" s="5"/>
      <c r="G63" s="5"/>
      <c r="H63" s="5"/>
      <c r="I63" s="5"/>
      <c r="J63" s="5"/>
      <c r="K63" s="5"/>
      <c r="L63" s="5"/>
      <c r="M63" s="5"/>
      <c r="N63" s="5"/>
      <c r="O63" s="5"/>
      <c r="P63" s="5"/>
      <c r="Q63" s="5"/>
      <c r="R63" s="48"/>
      <c r="S63" s="5"/>
      <c r="T63" s="87"/>
      <c r="U63" s="31"/>
      <c r="V63" s="88"/>
      <c r="W63" s="11">
        <v>44740</v>
      </c>
      <c r="X63" s="5">
        <v>6113.0299999999997</v>
      </c>
      <c r="Y63" s="5"/>
      <c r="Z63" s="5"/>
      <c r="AA63" s="5"/>
      <c r="AB63" s="5"/>
      <c r="AC63" s="5"/>
      <c r="AD63" s="5"/>
      <c r="AE63" s="5"/>
      <c r="AF63" s="5"/>
      <c r="AG63" s="5"/>
      <c r="AH63" s="5"/>
      <c r="AI63" s="5"/>
      <c r="AJ63" s="5"/>
      <c r="AK63" s="5"/>
      <c r="AL63" s="5"/>
      <c r="AM63" s="5"/>
      <c r="AN63" s="48"/>
      <c r="AO63" s="5"/>
    </row>
    <row r="64">
      <c r="A64" s="11">
        <v>44741</v>
      </c>
      <c r="B64" s="22"/>
      <c r="C64" s="22"/>
      <c r="D64" s="22"/>
      <c r="E64" s="22"/>
      <c r="F64" s="22"/>
      <c r="G64" s="22"/>
      <c r="H64" s="22"/>
      <c r="I64" s="22"/>
      <c r="J64" s="14"/>
      <c r="K64" s="14"/>
      <c r="L64" s="14"/>
      <c r="M64" s="14"/>
      <c r="N64" s="14"/>
      <c r="O64" s="14"/>
      <c r="P64" s="14"/>
      <c r="Q64" s="14"/>
      <c r="R64" s="80"/>
      <c r="S64" s="14"/>
      <c r="T64" s="87"/>
      <c r="U64" s="31"/>
      <c r="V64" s="88"/>
      <c r="W64" s="11">
        <v>44741</v>
      </c>
      <c r="X64" s="22"/>
      <c r="Y64" s="22"/>
      <c r="Z64" s="22"/>
      <c r="AA64" s="22"/>
      <c r="AB64" s="22"/>
      <c r="AC64" s="22"/>
      <c r="AD64" s="22"/>
      <c r="AE64" s="22"/>
      <c r="AF64" s="14"/>
      <c r="AG64" s="14"/>
      <c r="AH64" s="14"/>
      <c r="AI64" s="14"/>
      <c r="AJ64" s="14"/>
      <c r="AK64" s="14"/>
      <c r="AL64" s="14"/>
      <c r="AM64" s="14"/>
      <c r="AN64" s="80"/>
      <c r="AO64" s="14"/>
    </row>
    <row r="65">
      <c r="A65" s="11">
        <v>44742</v>
      </c>
      <c r="B65" s="5">
        <v>19233.799999999999</v>
      </c>
      <c r="C65" s="5"/>
      <c r="D65" s="5"/>
      <c r="E65" s="5">
        <f>668.65+1002.97</f>
        <v>1671.6199999999999</v>
      </c>
      <c r="F65" s="5"/>
      <c r="G65" s="5"/>
      <c r="H65" s="5"/>
      <c r="I65" s="5"/>
      <c r="J65" s="5"/>
      <c r="K65" s="5"/>
      <c r="L65" s="5"/>
      <c r="M65" s="5"/>
      <c r="N65" s="5"/>
      <c r="O65" s="5"/>
      <c r="P65" s="5"/>
      <c r="Q65" s="5"/>
      <c r="R65" s="48"/>
      <c r="S65" s="5"/>
      <c r="T65" s="87"/>
      <c r="U65" s="31"/>
      <c r="V65" s="88"/>
      <c r="W65" s="11">
        <v>44742</v>
      </c>
      <c r="X65" s="5"/>
      <c r="Y65" s="5"/>
      <c r="Z65" s="5"/>
      <c r="AA65" s="5"/>
      <c r="AB65" s="5"/>
      <c r="AC65" s="5"/>
      <c r="AD65" s="5"/>
      <c r="AE65" s="5"/>
      <c r="AF65" s="5"/>
      <c r="AG65" s="5"/>
      <c r="AH65" s="5"/>
      <c r="AI65" s="5"/>
      <c r="AJ65" s="5"/>
      <c r="AK65" s="5"/>
      <c r="AL65" s="5"/>
      <c r="AM65" s="5"/>
      <c r="AN65" s="48"/>
      <c r="AO65" s="5"/>
    </row>
    <row r="66">
      <c r="A66" s="11"/>
      <c r="B66" s="22"/>
      <c r="C66" s="22"/>
      <c r="D66" s="22"/>
      <c r="E66" s="22"/>
      <c r="F66" s="22"/>
      <c r="G66" s="22"/>
      <c r="H66" s="22"/>
      <c r="I66" s="22"/>
      <c r="J66" s="14"/>
      <c r="K66" s="14"/>
      <c r="L66" s="14"/>
      <c r="M66" s="14"/>
      <c r="N66" s="14"/>
      <c r="O66" s="14"/>
      <c r="P66" s="14"/>
      <c r="Q66" s="14"/>
      <c r="R66" s="80"/>
      <c r="S66" s="14"/>
      <c r="T66" s="87"/>
      <c r="U66" s="31"/>
      <c r="V66" s="88"/>
      <c r="W66" s="11"/>
      <c r="X66" s="22"/>
      <c r="Y66" s="22"/>
      <c r="Z66" s="22"/>
      <c r="AA66" s="22"/>
      <c r="AB66" s="22"/>
      <c r="AC66" s="22"/>
      <c r="AD66" s="22"/>
      <c r="AE66" s="22"/>
      <c r="AF66" s="14"/>
      <c r="AG66" s="14"/>
      <c r="AH66" s="14"/>
      <c r="AI66" s="14"/>
      <c r="AJ66" s="14"/>
      <c r="AK66" s="14"/>
      <c r="AL66" s="14"/>
      <c r="AM66" s="14"/>
      <c r="AN66" s="80"/>
      <c r="AO66" s="14"/>
    </row>
    <row r="67">
      <c r="A67" s="74"/>
      <c r="B67" s="75">
        <f t="shared" ref="B67:R67" si="120">SUM(B36:B66)</f>
        <v>62983.660000000003</v>
      </c>
      <c r="C67" s="75">
        <f t="shared" si="120"/>
        <v>0</v>
      </c>
      <c r="D67" s="75">
        <f t="shared" si="120"/>
        <v>500</v>
      </c>
      <c r="E67" s="75">
        <f t="shared" si="120"/>
        <v>1688.8499999999999</v>
      </c>
      <c r="F67" s="75">
        <f t="shared" si="120"/>
        <v>0</v>
      </c>
      <c r="G67" s="75">
        <f t="shared" si="120"/>
        <v>0</v>
      </c>
      <c r="H67" s="75">
        <f t="shared" si="120"/>
        <v>0</v>
      </c>
      <c r="I67" s="75">
        <f t="shared" si="120"/>
        <v>1088</v>
      </c>
      <c r="J67" s="75">
        <f t="shared" si="120"/>
        <v>0</v>
      </c>
      <c r="K67" s="75">
        <f t="shared" si="120"/>
        <v>1000</v>
      </c>
      <c r="L67" s="75">
        <f t="shared" si="120"/>
        <v>0</v>
      </c>
      <c r="M67" s="75">
        <f t="shared" si="120"/>
        <v>0</v>
      </c>
      <c r="N67" s="75">
        <f t="shared" si="120"/>
        <v>0</v>
      </c>
      <c r="O67" s="75">
        <f t="shared" si="120"/>
        <v>0</v>
      </c>
      <c r="P67" s="75">
        <f t="shared" si="120"/>
        <v>0</v>
      </c>
      <c r="Q67" s="75">
        <f t="shared" si="120"/>
        <v>0</v>
      </c>
      <c r="R67" s="75">
        <f t="shared" si="120"/>
        <v>0</v>
      </c>
      <c r="S67" s="75">
        <f>SUM(B67:R67)</f>
        <v>67260.510000000009</v>
      </c>
      <c r="T67" s="87"/>
      <c r="U67" s="31"/>
      <c r="V67" s="88"/>
      <c r="W67" s="74"/>
      <c r="X67" s="75">
        <f t="shared" ref="X67:AN67" si="121">SUM(X36:X66)</f>
        <v>54095.759999999995</v>
      </c>
      <c r="Y67" s="75">
        <f t="shared" si="121"/>
        <v>0</v>
      </c>
      <c r="Z67" s="75">
        <f t="shared" si="121"/>
        <v>0</v>
      </c>
      <c r="AA67" s="75">
        <f t="shared" si="121"/>
        <v>51.560000000000002</v>
      </c>
      <c r="AB67" s="75">
        <f t="shared" si="121"/>
        <v>0</v>
      </c>
      <c r="AC67" s="75">
        <f t="shared" si="121"/>
        <v>0</v>
      </c>
      <c r="AD67" s="75">
        <f t="shared" si="121"/>
        <v>0</v>
      </c>
      <c r="AE67" s="75">
        <f t="shared" si="121"/>
        <v>116</v>
      </c>
      <c r="AF67" s="75">
        <f t="shared" si="121"/>
        <v>0</v>
      </c>
      <c r="AG67" s="75">
        <f t="shared" si="121"/>
        <v>0</v>
      </c>
      <c r="AH67" s="75">
        <f t="shared" si="121"/>
        <v>0</v>
      </c>
      <c r="AI67" s="75">
        <f t="shared" si="121"/>
        <v>0</v>
      </c>
      <c r="AJ67" s="75">
        <f t="shared" si="121"/>
        <v>0</v>
      </c>
      <c r="AK67" s="75">
        <f t="shared" si="121"/>
        <v>0</v>
      </c>
      <c r="AL67" s="75">
        <f t="shared" si="121"/>
        <v>0</v>
      </c>
      <c r="AM67" s="75">
        <f t="shared" si="121"/>
        <v>0</v>
      </c>
      <c r="AN67" s="75">
        <f t="shared" si="121"/>
        <v>0</v>
      </c>
      <c r="AO67" s="75">
        <f>SUM(X67:AN67)</f>
        <v>54263.319999999992</v>
      </c>
    </row>
    <row r="68">
      <c r="A68" s="84"/>
      <c r="B68" s="84"/>
      <c r="C68" s="84"/>
      <c r="D68" s="84"/>
      <c r="E68" s="84"/>
      <c r="F68" s="84"/>
      <c r="G68" s="84"/>
      <c r="H68" s="84"/>
      <c r="I68" s="84"/>
      <c r="J68" s="84"/>
      <c r="K68" s="84"/>
      <c r="L68" s="84"/>
      <c r="M68" s="84"/>
      <c r="N68" s="84"/>
      <c r="O68" s="84"/>
      <c r="P68" s="84"/>
      <c r="Q68" s="84"/>
      <c r="R68" s="84"/>
      <c r="S68" s="84"/>
      <c r="T68" s="31"/>
      <c r="U68" s="31"/>
      <c r="V68" s="31"/>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row>
    <row r="70">
      <c r="A70" s="5" t="s">
        <v>68</v>
      </c>
      <c r="B70" s="71">
        <f>21000-344+2039+(23000-23000)-344-344+8164.1-4600-3300+(3000-3000)+80000+2000+(5500-5500)+(5650-5100)+1000+300</f>
        <v>106121.10000000001</v>
      </c>
      <c r="C70" s="5"/>
      <c r="D70" s="5"/>
      <c r="E70" s="5"/>
      <c r="F70" s="5"/>
      <c r="G70" s="5"/>
      <c r="H70" s="5"/>
      <c r="I70" s="5"/>
      <c r="J70" s="5"/>
      <c r="K70" s="5"/>
      <c r="L70" s="5"/>
      <c r="M70" s="5"/>
      <c r="N70" s="5"/>
      <c r="O70" s="5"/>
      <c r="P70" s="5"/>
      <c r="Q70" s="5"/>
      <c r="R70" s="5"/>
      <c r="S70" s="5"/>
    </row>
    <row r="71">
      <c r="A71" s="5" t="s">
        <v>76</v>
      </c>
      <c r="B71" s="5"/>
      <c r="C71" s="5"/>
      <c r="D71" s="5"/>
      <c r="E71" s="5"/>
      <c r="F71" s="5"/>
      <c r="G71" s="5"/>
      <c r="H71" s="5"/>
      <c r="I71" s="5"/>
      <c r="J71" s="5"/>
      <c r="K71" s="5"/>
      <c r="L71" s="5"/>
      <c r="M71" s="5"/>
      <c r="N71" s="5"/>
      <c r="O71" s="5"/>
      <c r="P71" s="5"/>
      <c r="Q71" s="5"/>
      <c r="R71" s="5"/>
      <c r="S71" s="5"/>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5" zoomScale="100" workbookViewId="0">
      <selection activeCell="A1" activeCellId="0" sqref="A1"/>
    </sheetView>
  </sheetViews>
  <sheetFormatPr defaultRowHeight="14.25"/>
  <cols>
    <col customWidth="1" min="1" max="1" width="14.85546875"/>
    <col customWidth="1" min="7" max="7" width="10.5703125"/>
    <col customWidth="1" min="8" max="8" width="11.28515625"/>
    <col customWidth="1" min="20" max="20" width="3.28515625"/>
    <col customWidth="1" min="21" max="21" width="2.7109375"/>
    <col customWidth="1" min="22" max="22" width="2.5703125"/>
    <col customWidth="1" min="23" max="23" width="12.85546875"/>
  </cols>
  <sheetData>
    <row r="1">
      <c r="A1" s="82" t="s">
        <v>0</v>
      </c>
      <c r="B1" s="83" t="s">
        <v>70</v>
      </c>
      <c r="C1" s="83" t="s">
        <v>71</v>
      </c>
      <c r="D1" s="83" t="s">
        <v>72</v>
      </c>
      <c r="E1" s="83" t="s">
        <v>3</v>
      </c>
      <c r="F1" s="83" t="s">
        <v>4</v>
      </c>
      <c r="G1" s="83" t="s">
        <v>79</v>
      </c>
      <c r="H1" s="83" t="s">
        <v>6</v>
      </c>
      <c r="I1" s="83" t="s">
        <v>7</v>
      </c>
      <c r="J1" s="83" t="s">
        <v>8</v>
      </c>
      <c r="K1" s="83" t="s">
        <v>9</v>
      </c>
      <c r="L1" s="83" t="s">
        <v>10</v>
      </c>
      <c r="M1" s="83" t="s">
        <v>11</v>
      </c>
      <c r="N1" s="83" t="s">
        <v>12</v>
      </c>
      <c r="O1" s="83" t="s">
        <v>13</v>
      </c>
      <c r="P1" s="83" t="s">
        <v>19</v>
      </c>
      <c r="Q1" s="83" t="s">
        <v>20</v>
      </c>
      <c r="R1" s="83" t="s">
        <v>73</v>
      </c>
      <c r="S1" s="83" t="s">
        <v>62</v>
      </c>
      <c r="T1" s="87"/>
      <c r="U1" s="31"/>
      <c r="V1" s="88"/>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80</v>
      </c>
      <c r="AM1" s="83" t="s">
        <v>20</v>
      </c>
      <c r="AN1" s="83" t="s">
        <v>73</v>
      </c>
      <c r="AO1" s="83" t="s">
        <v>62</v>
      </c>
    </row>
    <row r="2">
      <c r="A2" s="11">
        <v>44743</v>
      </c>
      <c r="B2" s="14"/>
      <c r="C2" s="14">
        <v>631.89999999999998</v>
      </c>
      <c r="D2" s="14"/>
      <c r="E2" s="14"/>
      <c r="F2" s="14"/>
      <c r="G2" s="14"/>
      <c r="H2" s="14"/>
      <c r="I2" s="14"/>
      <c r="J2" s="14">
        <v>838</v>
      </c>
      <c r="K2" s="14"/>
      <c r="L2" s="14"/>
      <c r="M2" s="14"/>
      <c r="N2" s="14"/>
      <c r="O2" s="14"/>
      <c r="P2" s="14"/>
      <c r="Q2" s="14"/>
      <c r="R2" s="14"/>
      <c r="S2" s="14"/>
      <c r="T2" s="87"/>
      <c r="U2" s="31"/>
      <c r="V2" s="88"/>
      <c r="W2" s="11">
        <v>44743</v>
      </c>
      <c r="X2" s="14"/>
      <c r="Y2" s="14"/>
      <c r="Z2" s="14"/>
      <c r="AA2" s="14"/>
      <c r="AB2" s="14"/>
      <c r="AC2" s="14"/>
      <c r="AD2" s="14"/>
      <c r="AE2" s="14"/>
      <c r="AF2" s="14"/>
      <c r="AG2" s="14"/>
      <c r="AH2" s="14"/>
      <c r="AI2" s="14"/>
      <c r="AJ2" s="14"/>
      <c r="AK2" s="14"/>
      <c r="AL2" s="14"/>
      <c r="AM2" s="14"/>
      <c r="AN2" s="14"/>
      <c r="AO2" s="14"/>
    </row>
    <row r="3">
      <c r="A3" s="11">
        <v>44744</v>
      </c>
      <c r="B3" s="5"/>
      <c r="C3" s="5">
        <f>125.18+649.16</f>
        <v>774.33999999999992</v>
      </c>
      <c r="D3" s="5"/>
      <c r="E3" s="5"/>
      <c r="F3" s="5"/>
      <c r="G3" s="5"/>
      <c r="H3" s="5"/>
      <c r="I3" s="5"/>
      <c r="J3" s="5"/>
      <c r="K3" s="5"/>
      <c r="L3" s="5"/>
      <c r="M3" s="5"/>
      <c r="N3" s="5">
        <v>625</v>
      </c>
      <c r="O3" s="5"/>
      <c r="P3" s="5"/>
      <c r="Q3" s="5"/>
      <c r="R3" s="5"/>
      <c r="S3" s="5"/>
      <c r="T3" s="87"/>
      <c r="U3" s="31"/>
      <c r="V3" s="88"/>
      <c r="W3" s="11">
        <v>44744</v>
      </c>
      <c r="X3" s="5"/>
      <c r="Y3" s="5"/>
      <c r="Z3" s="5"/>
      <c r="AA3" s="5"/>
      <c r="AB3" s="5"/>
      <c r="AC3" s="5"/>
      <c r="AD3" s="5"/>
      <c r="AE3" s="5"/>
      <c r="AF3" s="5"/>
      <c r="AG3" s="5"/>
      <c r="AH3" s="5"/>
      <c r="AI3" s="5"/>
      <c r="AJ3" s="5"/>
      <c r="AK3" s="5"/>
      <c r="AL3" s="5">
        <f>503+60+70</f>
        <v>633</v>
      </c>
      <c r="AM3" s="5"/>
      <c r="AN3" s="5"/>
      <c r="AO3" s="5"/>
    </row>
    <row r="4">
      <c r="A4" s="11">
        <v>44745</v>
      </c>
      <c r="B4" s="14"/>
      <c r="C4" s="14">
        <v>625.37</v>
      </c>
      <c r="D4" s="14"/>
      <c r="E4" s="14"/>
      <c r="F4" s="14"/>
      <c r="G4" s="14"/>
      <c r="H4" s="14"/>
      <c r="I4" s="14"/>
      <c r="J4" s="14"/>
      <c r="K4" s="14"/>
      <c r="L4" s="14"/>
      <c r="M4" s="14"/>
      <c r="N4" s="14"/>
      <c r="O4" s="14"/>
      <c r="P4" s="14"/>
      <c r="Q4" s="14"/>
      <c r="R4" s="14"/>
      <c r="S4" s="14"/>
      <c r="T4" s="87"/>
      <c r="U4" s="31"/>
      <c r="V4" s="88"/>
      <c r="W4" s="11">
        <v>44745</v>
      </c>
      <c r="X4" s="14"/>
      <c r="Y4" s="14">
        <f>48</f>
        <v>48</v>
      </c>
      <c r="Z4" s="14"/>
      <c r="AA4" s="14"/>
      <c r="AB4" s="14"/>
      <c r="AC4" s="14"/>
      <c r="AD4" s="14"/>
      <c r="AE4" s="14"/>
      <c r="AF4" s="14">
        <v>1052</v>
      </c>
      <c r="AG4" s="14"/>
      <c r="AH4" s="14"/>
      <c r="AI4" s="14"/>
      <c r="AJ4" s="14">
        <v>350</v>
      </c>
      <c r="AK4" s="14"/>
      <c r="AL4" s="14"/>
      <c r="AM4" s="14"/>
      <c r="AN4" s="14"/>
      <c r="AO4" s="14"/>
    </row>
    <row r="5">
      <c r="A5" s="11">
        <v>44746</v>
      </c>
      <c r="B5" s="5"/>
      <c r="C5" s="5"/>
      <c r="D5" s="5"/>
      <c r="E5" s="5"/>
      <c r="F5" s="5"/>
      <c r="G5" s="5"/>
      <c r="H5" s="5"/>
      <c r="I5" s="5"/>
      <c r="J5" s="5"/>
      <c r="K5" s="5"/>
      <c r="L5" s="5"/>
      <c r="M5" s="5"/>
      <c r="N5" s="5"/>
      <c r="O5" s="5"/>
      <c r="P5" s="5"/>
      <c r="Q5" s="5"/>
      <c r="R5" s="5"/>
      <c r="S5" s="5"/>
      <c r="T5" s="87"/>
      <c r="U5" s="31"/>
      <c r="V5" s="88"/>
      <c r="W5" s="11">
        <v>44746</v>
      </c>
      <c r="X5" s="5"/>
      <c r="Y5" s="5">
        <f>86.99+79</f>
        <v>165.99000000000001</v>
      </c>
      <c r="Z5" s="5"/>
      <c r="AA5" s="5"/>
      <c r="AB5" s="5"/>
      <c r="AC5" s="5"/>
      <c r="AD5" s="5"/>
      <c r="AE5" s="5"/>
      <c r="AF5" s="5"/>
      <c r="AG5" s="5"/>
      <c r="AH5" s="5"/>
      <c r="AI5" s="5"/>
      <c r="AJ5" s="5"/>
      <c r="AK5" s="5"/>
      <c r="AL5" s="5">
        <f>495+3690</f>
        <v>4185</v>
      </c>
      <c r="AM5" s="5"/>
      <c r="AN5" s="5"/>
      <c r="AO5" s="5"/>
    </row>
    <row r="6">
      <c r="A6" s="11">
        <v>44747</v>
      </c>
      <c r="B6" s="14"/>
      <c r="C6" s="14">
        <v>99.989999999999995</v>
      </c>
      <c r="D6" s="14"/>
      <c r="E6" s="14"/>
      <c r="F6" s="14"/>
      <c r="G6" s="14">
        <v>1400</v>
      </c>
      <c r="H6" s="14"/>
      <c r="I6" s="14"/>
      <c r="J6" s="14"/>
      <c r="K6" s="14"/>
      <c r="L6" s="14"/>
      <c r="M6" s="14"/>
      <c r="N6" s="14"/>
      <c r="O6" s="14"/>
      <c r="P6" s="14"/>
      <c r="Q6" s="14"/>
      <c r="R6" s="14"/>
      <c r="S6" s="14"/>
      <c r="T6" s="87"/>
      <c r="U6" s="31"/>
      <c r="V6" s="88"/>
      <c r="W6" s="11">
        <v>44747</v>
      </c>
      <c r="X6" s="14"/>
      <c r="Y6" s="14">
        <v>205.28999999999999</v>
      </c>
      <c r="Z6" s="14"/>
      <c r="AA6" s="14"/>
      <c r="AB6" s="14"/>
      <c r="AC6" s="14"/>
      <c r="AD6" s="14"/>
      <c r="AE6" s="14"/>
      <c r="AF6" s="14"/>
      <c r="AG6" s="14"/>
      <c r="AH6" s="14"/>
      <c r="AI6" s="14"/>
      <c r="AJ6" s="14"/>
      <c r="AK6" s="14"/>
      <c r="AL6" s="14">
        <f>246+107</f>
        <v>353</v>
      </c>
      <c r="AM6" s="14"/>
      <c r="AN6" s="14"/>
      <c r="AO6" s="14"/>
    </row>
    <row r="7">
      <c r="A7" s="11">
        <v>44748</v>
      </c>
      <c r="B7" s="5"/>
      <c r="C7" s="5">
        <v>206.97999999999999</v>
      </c>
      <c r="D7" s="5"/>
      <c r="E7" s="5"/>
      <c r="F7" s="5"/>
      <c r="G7" s="5">
        <v>3.7799999999999998</v>
      </c>
      <c r="H7" s="5"/>
      <c r="I7" s="5"/>
      <c r="J7" s="5">
        <v>206.97999999999999</v>
      </c>
      <c r="K7" s="5"/>
      <c r="L7" s="5"/>
      <c r="M7" s="5"/>
      <c r="N7" s="5"/>
      <c r="O7" s="5"/>
      <c r="P7" s="5"/>
      <c r="Q7" s="5"/>
      <c r="R7" s="5"/>
      <c r="S7" s="5"/>
      <c r="T7" s="87"/>
      <c r="U7" s="31"/>
      <c r="V7" s="88"/>
      <c r="W7" s="11">
        <v>44748</v>
      </c>
      <c r="X7" s="5"/>
      <c r="Y7" s="5"/>
      <c r="Z7" s="5"/>
      <c r="AA7" s="5"/>
      <c r="AB7" s="5"/>
      <c r="AC7" s="5"/>
      <c r="AD7" s="5"/>
      <c r="AE7" s="5"/>
      <c r="AF7" s="5"/>
      <c r="AG7" s="5"/>
      <c r="AH7" s="5"/>
      <c r="AI7" s="5"/>
      <c r="AJ7" s="5"/>
      <c r="AK7" s="5"/>
      <c r="AL7" s="5">
        <v>70</v>
      </c>
      <c r="AM7" s="5"/>
      <c r="AN7" s="5"/>
      <c r="AO7" s="5"/>
    </row>
    <row r="8">
      <c r="A8" s="11">
        <v>44749</v>
      </c>
      <c r="B8" s="14">
        <f>99+25</f>
        <v>124</v>
      </c>
      <c r="C8" s="14">
        <f>99.99+262.79</f>
        <v>362.78000000000003</v>
      </c>
      <c r="D8" s="14"/>
      <c r="E8" s="14">
        <v>530</v>
      </c>
      <c r="F8" s="14"/>
      <c r="G8" s="14"/>
      <c r="H8" s="14"/>
      <c r="I8" s="14"/>
      <c r="J8" s="14"/>
      <c r="K8" s="14"/>
      <c r="L8" s="14"/>
      <c r="M8" s="14"/>
      <c r="N8" s="14"/>
      <c r="O8" s="14"/>
      <c r="P8" s="14"/>
      <c r="Q8" s="14"/>
      <c r="R8" s="14"/>
      <c r="S8" s="14"/>
      <c r="T8" s="87"/>
      <c r="U8" s="31"/>
      <c r="V8" s="88"/>
      <c r="W8" s="11">
        <v>44749</v>
      </c>
      <c r="X8" s="14"/>
      <c r="Y8" s="14"/>
      <c r="Z8" s="14"/>
      <c r="AA8" s="14"/>
      <c r="AB8" s="14"/>
      <c r="AC8" s="14"/>
      <c r="AD8" s="14"/>
      <c r="AE8" s="14"/>
      <c r="AF8" s="14">
        <v>79.989999999999995</v>
      </c>
      <c r="AG8" s="14"/>
      <c r="AH8" s="14"/>
      <c r="AI8" s="14"/>
      <c r="AJ8" s="14"/>
      <c r="AK8" s="14"/>
      <c r="AL8" s="14">
        <v>1210</v>
      </c>
      <c r="AM8" s="14"/>
      <c r="AN8" s="14"/>
      <c r="AO8" s="14"/>
    </row>
    <row r="9">
      <c r="A9" s="11">
        <v>44750</v>
      </c>
      <c r="B9" s="5"/>
      <c r="C9" s="5"/>
      <c r="D9" s="5"/>
      <c r="E9" s="5"/>
      <c r="F9" s="5"/>
      <c r="G9" s="5"/>
      <c r="H9" s="5"/>
      <c r="I9" s="5"/>
      <c r="J9" s="5">
        <v>1188</v>
      </c>
      <c r="K9" s="5"/>
      <c r="L9" s="5"/>
      <c r="M9" s="5"/>
      <c r="N9" s="5"/>
      <c r="O9" s="5"/>
      <c r="P9" s="5"/>
      <c r="Q9" s="5"/>
      <c r="R9" s="5">
        <v>1234</v>
      </c>
      <c r="S9" s="5"/>
      <c r="T9" s="87"/>
      <c r="U9" s="31"/>
      <c r="V9" s="88"/>
      <c r="W9" s="11">
        <v>44750</v>
      </c>
      <c r="X9" s="5"/>
      <c r="Y9" s="5"/>
      <c r="Z9" s="5"/>
      <c r="AA9" s="5"/>
      <c r="AB9" s="5"/>
      <c r="AC9" s="5"/>
      <c r="AD9" s="5"/>
      <c r="AE9" s="5"/>
      <c r="AF9" s="5"/>
      <c r="AG9" s="5"/>
      <c r="AH9" s="5"/>
      <c r="AI9" s="5"/>
      <c r="AJ9" s="5"/>
      <c r="AK9" s="5"/>
      <c r="AL9" s="5"/>
      <c r="AM9" s="5"/>
      <c r="AN9" s="5"/>
      <c r="AO9" s="5"/>
    </row>
    <row r="10">
      <c r="A10" s="11">
        <v>44751</v>
      </c>
      <c r="B10" s="14"/>
      <c r="C10" s="14">
        <f>174.98+27.99</f>
        <v>202.97</v>
      </c>
      <c r="D10" s="14"/>
      <c r="E10" s="14"/>
      <c r="F10" s="14"/>
      <c r="G10" s="14">
        <v>199</v>
      </c>
      <c r="H10" s="14"/>
      <c r="I10" s="14"/>
      <c r="J10" s="14"/>
      <c r="K10" s="14"/>
      <c r="L10" s="14"/>
      <c r="M10" s="14"/>
      <c r="N10" s="14"/>
      <c r="O10" s="14"/>
      <c r="P10" s="14"/>
      <c r="Q10" s="14"/>
      <c r="R10" s="14"/>
      <c r="S10" s="14"/>
      <c r="T10" s="87"/>
      <c r="U10" s="31"/>
      <c r="V10" s="88"/>
      <c r="W10" s="11">
        <v>44751</v>
      </c>
      <c r="X10" s="14"/>
      <c r="Y10" s="14"/>
      <c r="Z10" s="14"/>
      <c r="AA10" s="14"/>
      <c r="AB10" s="14"/>
      <c r="AC10" s="14"/>
      <c r="AD10" s="14"/>
      <c r="AE10" s="14"/>
      <c r="AF10" s="14"/>
      <c r="AG10" s="14"/>
      <c r="AH10" s="14"/>
      <c r="AI10" s="14"/>
      <c r="AJ10" s="14"/>
      <c r="AK10" s="14"/>
      <c r="AL10" s="14"/>
      <c r="AM10" s="14"/>
      <c r="AN10" s="14"/>
      <c r="AO10" s="14"/>
    </row>
    <row r="11">
      <c r="A11" s="11">
        <v>44752</v>
      </c>
      <c r="B11" s="5"/>
      <c r="C11" s="5"/>
      <c r="D11" s="5"/>
      <c r="E11" s="5">
        <f>245+287</f>
        <v>532</v>
      </c>
      <c r="F11" s="5"/>
      <c r="G11" s="5"/>
      <c r="H11" s="5"/>
      <c r="I11" s="5">
        <v>2197</v>
      </c>
      <c r="J11" s="5">
        <f>310+111.08</f>
        <v>421.07999999999998</v>
      </c>
      <c r="K11" s="5"/>
      <c r="L11" s="5"/>
      <c r="M11" s="5"/>
      <c r="N11" s="5"/>
      <c r="O11" s="5"/>
      <c r="P11" s="5"/>
      <c r="Q11" s="5"/>
      <c r="R11" s="5"/>
      <c r="S11" s="5"/>
      <c r="T11" s="87"/>
      <c r="U11" s="31"/>
      <c r="V11" s="88"/>
      <c r="W11" s="11">
        <v>44752</v>
      </c>
      <c r="X11" s="5"/>
      <c r="Y11" s="5"/>
      <c r="Z11" s="5"/>
      <c r="AA11" s="5"/>
      <c r="AB11" s="5"/>
      <c r="AC11" s="5"/>
      <c r="AD11" s="5"/>
      <c r="AE11" s="5"/>
      <c r="AF11" s="5"/>
      <c r="AG11" s="5"/>
      <c r="AH11" s="5"/>
      <c r="AI11" s="5"/>
      <c r="AJ11" s="5"/>
      <c r="AK11" s="5"/>
      <c r="AL11" s="5">
        <v>900</v>
      </c>
      <c r="AM11" s="5"/>
      <c r="AN11" s="5"/>
      <c r="AO11" s="5"/>
    </row>
    <row r="12">
      <c r="A12" s="11">
        <v>44753</v>
      </c>
      <c r="B12" s="14"/>
      <c r="C12" s="14"/>
      <c r="D12" s="14"/>
      <c r="E12" s="14">
        <v>745</v>
      </c>
      <c r="F12" s="14"/>
      <c r="G12" s="14"/>
      <c r="H12" s="14"/>
      <c r="I12" s="14"/>
      <c r="J12" s="14"/>
      <c r="K12" s="14"/>
      <c r="L12" s="14"/>
      <c r="M12" s="14"/>
      <c r="N12" s="14"/>
      <c r="O12" s="14"/>
      <c r="P12" s="14"/>
      <c r="Q12" s="14"/>
      <c r="R12" s="14"/>
      <c r="S12" s="14"/>
      <c r="T12" s="87"/>
      <c r="U12" s="31"/>
      <c r="V12" s="88"/>
      <c r="W12" s="11">
        <v>44753</v>
      </c>
      <c r="X12" s="14"/>
      <c r="Y12" s="14">
        <v>58</v>
      </c>
      <c r="Z12" s="14"/>
      <c r="AA12" s="14"/>
      <c r="AB12" s="14"/>
      <c r="AC12" s="14"/>
      <c r="AD12" s="14"/>
      <c r="AE12" s="14"/>
      <c r="AF12" s="14">
        <v>1485</v>
      </c>
      <c r="AG12" s="14"/>
      <c r="AH12" s="14"/>
      <c r="AI12" s="14"/>
      <c r="AJ12" s="14"/>
      <c r="AK12" s="14"/>
      <c r="AL12" s="14">
        <v>110</v>
      </c>
      <c r="AM12" s="14"/>
      <c r="AN12" s="14"/>
      <c r="AO12" s="14"/>
    </row>
    <row r="13">
      <c r="A13" s="11">
        <v>44754</v>
      </c>
      <c r="B13" s="5"/>
      <c r="C13" s="5">
        <v>1309.6199999999999</v>
      </c>
      <c r="D13" s="5"/>
      <c r="E13" s="5"/>
      <c r="F13" s="5"/>
      <c r="G13" s="5"/>
      <c r="H13" s="5"/>
      <c r="I13" s="5"/>
      <c r="J13" s="5">
        <v>560</v>
      </c>
      <c r="K13" s="5"/>
      <c r="L13" s="5"/>
      <c r="M13" s="5"/>
      <c r="N13" s="5"/>
      <c r="O13" s="5"/>
      <c r="P13" s="5"/>
      <c r="Q13" s="5"/>
      <c r="R13" s="5"/>
      <c r="S13" s="5"/>
      <c r="T13" s="87"/>
      <c r="U13" s="31"/>
      <c r="V13" s="88"/>
      <c r="W13" s="11">
        <v>44754</v>
      </c>
      <c r="X13" s="5"/>
      <c r="Y13" s="5">
        <f>99.98+139</f>
        <v>238.98000000000002</v>
      </c>
      <c r="Z13" s="5"/>
      <c r="AA13" s="5"/>
      <c r="AB13" s="5"/>
      <c r="AC13" s="5"/>
      <c r="AD13" s="5"/>
      <c r="AE13" s="5"/>
      <c r="AF13" s="5">
        <v>225</v>
      </c>
      <c r="AG13" s="5"/>
      <c r="AH13" s="5"/>
      <c r="AI13" s="5"/>
      <c r="AJ13" s="5"/>
      <c r="AK13" s="5"/>
      <c r="AL13" s="5"/>
      <c r="AM13" s="5"/>
      <c r="AN13" s="5"/>
      <c r="AO13" s="5"/>
    </row>
    <row r="14">
      <c r="A14" s="11">
        <v>44755</v>
      </c>
      <c r="B14" s="14"/>
      <c r="C14" s="14"/>
      <c r="D14" s="14"/>
      <c r="E14" s="14">
        <v>198</v>
      </c>
      <c r="F14" s="14"/>
      <c r="G14" s="14">
        <f>1050+20.48</f>
        <v>1070.48</v>
      </c>
      <c r="H14" s="14"/>
      <c r="I14" s="14"/>
      <c r="J14" s="14">
        <v>441</v>
      </c>
      <c r="K14" s="14"/>
      <c r="L14" s="14"/>
      <c r="M14" s="14"/>
      <c r="N14" s="14"/>
      <c r="O14" s="14"/>
      <c r="P14" s="14"/>
      <c r="Q14" s="14"/>
      <c r="R14" s="14"/>
      <c r="S14" s="14"/>
      <c r="T14" s="87"/>
      <c r="U14" s="31"/>
      <c r="V14" s="88"/>
      <c r="W14" s="11">
        <v>44755</v>
      </c>
      <c r="X14" s="14"/>
      <c r="Y14" s="14"/>
      <c r="Z14" s="14"/>
      <c r="AA14" s="14"/>
      <c r="AB14" s="14"/>
      <c r="AC14" s="14"/>
      <c r="AD14" s="14"/>
      <c r="AE14" s="14"/>
      <c r="AF14" s="14"/>
      <c r="AG14" s="14"/>
      <c r="AH14" s="14"/>
      <c r="AI14" s="14"/>
      <c r="AJ14" s="14"/>
      <c r="AK14" s="14"/>
      <c r="AL14" s="14"/>
      <c r="AM14" s="14"/>
      <c r="AN14" s="14"/>
      <c r="AO14" s="14"/>
    </row>
    <row r="15">
      <c r="A15" s="11">
        <v>44756</v>
      </c>
      <c r="B15" s="5"/>
      <c r="C15" s="5"/>
      <c r="D15" s="5"/>
      <c r="E15" s="5">
        <v>629.92999999999995</v>
      </c>
      <c r="F15" s="5"/>
      <c r="G15" s="5"/>
      <c r="H15" s="5"/>
      <c r="I15" s="5"/>
      <c r="J15" s="5"/>
      <c r="K15" s="5"/>
      <c r="L15" s="5"/>
      <c r="M15" s="5"/>
      <c r="N15" s="5"/>
      <c r="O15" s="5"/>
      <c r="P15" s="5"/>
      <c r="Q15" s="5">
        <v>400</v>
      </c>
      <c r="R15" s="5"/>
      <c r="S15" s="5">
        <v>900</v>
      </c>
      <c r="T15" s="87"/>
      <c r="U15" s="31"/>
      <c r="V15" s="88"/>
      <c r="W15" s="11">
        <v>44756</v>
      </c>
      <c r="X15" s="5"/>
      <c r="Y15" s="5"/>
      <c r="Z15" s="5"/>
      <c r="AA15" s="5"/>
      <c r="AB15" s="5"/>
      <c r="AC15" s="5"/>
      <c r="AD15" s="5"/>
      <c r="AE15" s="5"/>
      <c r="AF15" s="5"/>
      <c r="AG15" s="5"/>
      <c r="AH15" s="5"/>
      <c r="AI15" s="5"/>
      <c r="AJ15" s="5"/>
      <c r="AK15" s="5"/>
      <c r="AL15" s="5"/>
      <c r="AM15" s="5"/>
      <c r="AN15" s="5"/>
      <c r="AO15" s="5"/>
    </row>
    <row r="16">
      <c r="A16" s="11">
        <v>44757</v>
      </c>
      <c r="B16" s="14"/>
      <c r="C16" s="93">
        <f>454.78+160</f>
        <v>614.77999999999997</v>
      </c>
      <c r="D16" s="14"/>
      <c r="E16" s="14"/>
      <c r="F16" s="14"/>
      <c r="G16" s="14"/>
      <c r="H16" s="14"/>
      <c r="I16" s="14"/>
      <c r="J16" s="14"/>
      <c r="K16" s="14"/>
      <c r="L16" s="14"/>
      <c r="M16" s="14">
        <v>2000</v>
      </c>
      <c r="N16" s="14"/>
      <c r="O16" s="14"/>
      <c r="P16" s="14"/>
      <c r="Q16" s="14"/>
      <c r="R16" s="14"/>
      <c r="S16" s="14"/>
      <c r="T16" s="87"/>
      <c r="U16" s="31"/>
      <c r="V16" s="88"/>
      <c r="W16" s="11">
        <v>44757</v>
      </c>
      <c r="X16" s="14"/>
      <c r="Y16" s="14"/>
      <c r="Z16" s="14"/>
      <c r="AA16" s="14"/>
      <c r="AB16" s="14"/>
      <c r="AC16" s="14">
        <v>99</v>
      </c>
      <c r="AD16" s="14"/>
      <c r="AE16" s="14"/>
      <c r="AF16" s="14">
        <v>415</v>
      </c>
      <c r="AG16" s="14"/>
      <c r="AH16" s="14"/>
      <c r="AI16" s="14"/>
      <c r="AJ16" s="14"/>
      <c r="AK16" s="14"/>
      <c r="AL16" s="14"/>
      <c r="AM16" s="14"/>
      <c r="AN16" s="14"/>
      <c r="AO16" s="14"/>
    </row>
    <row r="17">
      <c r="A17" s="11">
        <v>44758</v>
      </c>
      <c r="B17" s="5"/>
      <c r="C17" s="6"/>
      <c r="D17" s="5"/>
      <c r="E17" s="5"/>
      <c r="F17" s="5"/>
      <c r="G17" s="5"/>
      <c r="H17" s="5"/>
      <c r="I17" s="5"/>
      <c r="J17" s="5"/>
      <c r="K17" s="5"/>
      <c r="L17" s="5"/>
      <c r="M17" s="5"/>
      <c r="N17" s="5"/>
      <c r="O17" s="5"/>
      <c r="P17" s="5"/>
      <c r="Q17" s="5"/>
      <c r="R17" s="5"/>
      <c r="S17" s="5"/>
      <c r="T17" s="87"/>
      <c r="U17" s="31"/>
      <c r="V17" s="88"/>
      <c r="W17" s="11">
        <v>44758</v>
      </c>
      <c r="X17" s="5"/>
      <c r="Y17" s="5"/>
      <c r="Z17" s="5"/>
      <c r="AA17" s="5"/>
      <c r="AB17" s="5"/>
      <c r="AC17" s="5"/>
      <c r="AD17" s="5"/>
      <c r="AE17" s="5"/>
      <c r="AF17" s="5"/>
      <c r="AG17" s="5"/>
      <c r="AH17" s="5"/>
      <c r="AI17" s="5"/>
      <c r="AJ17" s="5"/>
      <c r="AK17" s="5"/>
      <c r="AL17" s="5"/>
      <c r="AM17" s="5"/>
      <c r="AN17" s="5"/>
      <c r="AO17" s="5"/>
    </row>
    <row r="18">
      <c r="A18" s="11">
        <v>44759</v>
      </c>
      <c r="B18" s="14"/>
      <c r="C18" s="14"/>
      <c r="D18" s="14"/>
      <c r="E18" s="14"/>
      <c r="F18" s="14"/>
      <c r="G18" s="14"/>
      <c r="H18" s="14"/>
      <c r="I18" s="14"/>
      <c r="J18" s="14"/>
      <c r="K18" s="14"/>
      <c r="L18" s="14"/>
      <c r="M18" s="14"/>
      <c r="N18" s="14"/>
      <c r="O18" s="14"/>
      <c r="P18" s="14"/>
      <c r="Q18" s="14"/>
      <c r="R18" s="14"/>
      <c r="S18" s="14"/>
      <c r="T18" s="87"/>
      <c r="U18" s="31"/>
      <c r="V18" s="88"/>
      <c r="W18" s="11">
        <v>44759</v>
      </c>
      <c r="X18" s="14"/>
      <c r="Y18" s="14">
        <v>270.94999999999999</v>
      </c>
      <c r="Z18" s="14"/>
      <c r="AA18" s="14"/>
      <c r="AB18" s="14"/>
      <c r="AC18" s="14"/>
      <c r="AD18" s="14"/>
      <c r="AE18" s="14"/>
      <c r="AF18" s="14"/>
      <c r="AG18" s="14"/>
      <c r="AH18" s="14"/>
      <c r="AI18" s="14">
        <f>125+273.4</f>
        <v>398.39999999999998</v>
      </c>
      <c r="AJ18" s="14"/>
      <c r="AK18" s="14"/>
      <c r="AL18" s="14"/>
      <c r="AM18" s="14"/>
      <c r="AN18" s="14"/>
      <c r="AO18" s="14"/>
    </row>
    <row r="19">
      <c r="A19" s="11">
        <v>44760</v>
      </c>
      <c r="B19" s="5"/>
      <c r="C19" s="5">
        <f>176.47+365.87</f>
        <v>542.34000000000003</v>
      </c>
      <c r="D19" s="5"/>
      <c r="E19" s="5"/>
      <c r="F19" s="5"/>
      <c r="G19" s="5"/>
      <c r="H19" s="5"/>
      <c r="I19" s="5"/>
      <c r="J19" s="5">
        <f>124+1549</f>
        <v>1673</v>
      </c>
      <c r="K19" s="5"/>
      <c r="L19" s="5"/>
      <c r="M19" s="5"/>
      <c r="N19" s="5"/>
      <c r="O19" s="5"/>
      <c r="P19" s="5"/>
      <c r="Q19" s="5"/>
      <c r="R19" s="6"/>
      <c r="S19" s="5"/>
      <c r="T19" s="87"/>
      <c r="U19" s="31"/>
      <c r="V19" s="88"/>
      <c r="W19" s="11">
        <v>44760</v>
      </c>
      <c r="X19" s="5"/>
      <c r="Y19" s="5"/>
      <c r="Z19" s="5"/>
      <c r="AA19" s="5"/>
      <c r="AB19" s="5"/>
      <c r="AC19" s="5"/>
      <c r="AD19" s="5"/>
      <c r="AE19" s="5"/>
      <c r="AF19" s="5">
        <v>246</v>
      </c>
      <c r="AG19" s="5"/>
      <c r="AH19" s="5"/>
      <c r="AI19" s="5"/>
      <c r="AJ19" s="5"/>
      <c r="AK19" s="5"/>
      <c r="AL19" s="5"/>
      <c r="AM19" s="5"/>
      <c r="AN19" s="5"/>
      <c r="AO19" s="5"/>
    </row>
    <row r="20">
      <c r="A20" s="11">
        <v>44761</v>
      </c>
      <c r="B20" s="14">
        <v>60</v>
      </c>
      <c r="C20" s="14"/>
      <c r="D20" s="14">
        <v>134</v>
      </c>
      <c r="E20" s="14"/>
      <c r="F20" s="14"/>
      <c r="G20" s="14">
        <v>1200</v>
      </c>
      <c r="H20" s="14"/>
      <c r="I20" s="14"/>
      <c r="J20" s="14"/>
      <c r="K20" s="14"/>
      <c r="L20" s="14"/>
      <c r="M20" s="14"/>
      <c r="N20" s="14"/>
      <c r="O20" s="14"/>
      <c r="P20" s="34"/>
      <c r="Q20" s="14"/>
      <c r="R20" s="14"/>
      <c r="S20" s="14"/>
      <c r="T20" s="87"/>
      <c r="U20" s="31"/>
      <c r="V20" s="88"/>
      <c r="W20" s="11">
        <v>44761</v>
      </c>
      <c r="X20" s="14"/>
      <c r="Y20" s="14"/>
      <c r="Z20" s="14"/>
      <c r="AA20" s="14"/>
      <c r="AB20" s="14"/>
      <c r="AC20" s="14"/>
      <c r="AD20" s="14"/>
      <c r="AE20" s="14"/>
      <c r="AF20" s="14"/>
      <c r="AG20" s="14"/>
      <c r="AH20" s="14"/>
      <c r="AI20" s="14"/>
      <c r="AJ20" s="14"/>
      <c r="AK20" s="14"/>
      <c r="AL20" s="34">
        <v>100</v>
      </c>
      <c r="AM20" s="14"/>
      <c r="AN20" s="14"/>
      <c r="AO20" s="14"/>
    </row>
    <row r="21">
      <c r="A21" s="11">
        <v>44762</v>
      </c>
      <c r="B21" s="69">
        <v>60</v>
      </c>
      <c r="C21" s="6"/>
      <c r="D21" s="5">
        <f>107+74</f>
        <v>181</v>
      </c>
      <c r="E21" s="5">
        <v>730</v>
      </c>
      <c r="F21" s="5"/>
      <c r="G21" s="5">
        <v>1200</v>
      </c>
      <c r="H21" s="5"/>
      <c r="I21" s="5"/>
      <c r="J21" s="5"/>
      <c r="K21" s="5"/>
      <c r="L21" s="5"/>
      <c r="M21" s="5"/>
      <c r="N21" s="5"/>
      <c r="O21" s="5"/>
      <c r="P21" s="5"/>
      <c r="Q21" s="5"/>
      <c r="R21" s="5"/>
      <c r="S21" s="5"/>
      <c r="T21" s="87"/>
      <c r="U21" s="31"/>
      <c r="V21" s="88"/>
      <c r="W21" s="11">
        <v>44762</v>
      </c>
      <c r="X21" s="69"/>
      <c r="Y21" s="5"/>
      <c r="Z21" s="5"/>
      <c r="AA21" s="5"/>
      <c r="AB21" s="5"/>
      <c r="AC21" s="5"/>
      <c r="AD21" s="5"/>
      <c r="AE21" s="5"/>
      <c r="AF21" s="5"/>
      <c r="AG21" s="5"/>
      <c r="AH21" s="5"/>
      <c r="AI21" s="5"/>
      <c r="AJ21" s="5"/>
      <c r="AK21" s="5"/>
      <c r="AL21" s="5"/>
      <c r="AM21" s="5"/>
      <c r="AN21" s="5"/>
      <c r="AO21" s="5"/>
    </row>
    <row r="22">
      <c r="A22" s="11">
        <v>44763</v>
      </c>
      <c r="B22" s="22">
        <v>60</v>
      </c>
      <c r="C22" s="14"/>
      <c r="D22" s="14">
        <v>103</v>
      </c>
      <c r="E22" s="14"/>
      <c r="F22" s="14"/>
      <c r="G22" s="14">
        <v>1200</v>
      </c>
      <c r="H22" s="14"/>
      <c r="I22" s="14"/>
      <c r="J22" s="14"/>
      <c r="K22" s="14"/>
      <c r="L22" s="14"/>
      <c r="M22" s="14"/>
      <c r="N22" s="14"/>
      <c r="O22" s="14"/>
      <c r="P22" s="14"/>
      <c r="Q22" s="14"/>
      <c r="R22" s="14"/>
      <c r="S22" s="14"/>
      <c r="T22" s="87"/>
      <c r="U22" s="31"/>
      <c r="V22" s="88"/>
      <c r="W22" s="11">
        <v>44763</v>
      </c>
      <c r="X22" s="22"/>
      <c r="Y22" s="14"/>
      <c r="Z22" s="14"/>
      <c r="AA22" s="14"/>
      <c r="AB22" s="14"/>
      <c r="AC22" s="14"/>
      <c r="AD22" s="14"/>
      <c r="AE22" s="14"/>
      <c r="AF22" s="14">
        <v>1171</v>
      </c>
      <c r="AG22" s="14"/>
      <c r="AH22" s="14"/>
      <c r="AI22" s="14"/>
      <c r="AJ22" s="14"/>
      <c r="AK22" s="14"/>
      <c r="AL22" s="14"/>
      <c r="AM22" s="14"/>
      <c r="AN22" s="14"/>
      <c r="AO22" s="14"/>
    </row>
    <row r="23">
      <c r="A23" s="11">
        <v>44764</v>
      </c>
      <c r="B23" s="5">
        <v>60</v>
      </c>
      <c r="C23" s="5"/>
      <c r="D23" s="5">
        <v>160</v>
      </c>
      <c r="E23" s="5"/>
      <c r="F23" s="5"/>
      <c r="G23" s="5"/>
      <c r="H23" s="5"/>
      <c r="I23" s="5"/>
      <c r="J23" s="5"/>
      <c r="K23" s="5"/>
      <c r="L23" s="5"/>
      <c r="M23" s="5"/>
      <c r="N23" s="5">
        <v>150</v>
      </c>
      <c r="O23" s="5"/>
      <c r="P23" s="5"/>
      <c r="Q23" s="5"/>
      <c r="R23" s="5"/>
      <c r="S23" s="5"/>
      <c r="T23" s="87"/>
      <c r="U23" s="31"/>
      <c r="V23" s="88"/>
      <c r="W23" s="11">
        <v>44764</v>
      </c>
      <c r="X23" s="5"/>
      <c r="Y23" s="5"/>
      <c r="Z23" s="5"/>
      <c r="AA23" s="5"/>
      <c r="AB23" s="5"/>
      <c r="AC23" s="5"/>
      <c r="AD23" s="5"/>
      <c r="AE23" s="5"/>
      <c r="AF23" s="5"/>
      <c r="AG23" s="5"/>
      <c r="AH23" s="5"/>
      <c r="AI23" s="5"/>
      <c r="AJ23" s="5"/>
      <c r="AK23" s="5"/>
      <c r="AL23" s="5"/>
      <c r="AM23" s="5"/>
      <c r="AN23" s="5"/>
      <c r="AO23" s="5"/>
    </row>
    <row r="24">
      <c r="A24" s="11">
        <v>44765</v>
      </c>
      <c r="B24" s="14"/>
      <c r="C24" s="14"/>
      <c r="D24" s="14"/>
      <c r="E24" s="14">
        <f>45+386+124</f>
        <v>555</v>
      </c>
      <c r="F24" s="14"/>
      <c r="G24" s="14">
        <v>1200</v>
      </c>
      <c r="H24" s="14"/>
      <c r="I24" s="14"/>
      <c r="J24" s="14">
        <v>169</v>
      </c>
      <c r="K24" s="14"/>
      <c r="L24" s="14"/>
      <c r="M24" s="14"/>
      <c r="N24" s="14"/>
      <c r="O24" s="14"/>
      <c r="P24" s="14"/>
      <c r="Q24" s="14"/>
      <c r="R24" s="14"/>
      <c r="S24" s="14"/>
      <c r="T24" s="87"/>
      <c r="U24" s="31"/>
      <c r="V24" s="88"/>
      <c r="W24" s="11">
        <v>44765</v>
      </c>
      <c r="X24" s="14"/>
      <c r="Y24" s="14">
        <v>103.98</v>
      </c>
      <c r="Z24" s="14"/>
      <c r="AA24" s="14"/>
      <c r="AB24" s="14"/>
      <c r="AC24" s="14"/>
      <c r="AD24" s="14"/>
      <c r="AE24" s="14"/>
      <c r="AF24" s="14"/>
      <c r="AG24" s="14"/>
      <c r="AH24" s="14"/>
      <c r="AI24" s="14"/>
      <c r="AJ24" s="14"/>
      <c r="AK24" s="14"/>
      <c r="AL24" s="14"/>
      <c r="AM24" s="14"/>
      <c r="AN24" s="14"/>
      <c r="AO24" s="14"/>
    </row>
    <row r="25">
      <c r="A25" s="11">
        <v>44766</v>
      </c>
      <c r="B25" s="28"/>
      <c r="C25" s="5">
        <f>937.7+87.78</f>
        <v>1025.48</v>
      </c>
      <c r="D25" s="5"/>
      <c r="E25" s="5"/>
      <c r="F25" s="5"/>
      <c r="G25" s="5">
        <v>1200</v>
      </c>
      <c r="H25" s="5"/>
      <c r="I25" s="5"/>
      <c r="J25" s="5">
        <f>311+171</f>
        <v>482</v>
      </c>
      <c r="K25" s="5"/>
      <c r="L25" s="5"/>
      <c r="M25" s="5"/>
      <c r="N25" s="5"/>
      <c r="O25" s="5"/>
      <c r="P25" s="5"/>
      <c r="Q25" s="5"/>
      <c r="R25" s="5"/>
      <c r="S25" s="5"/>
      <c r="T25" s="87"/>
      <c r="U25" s="31"/>
      <c r="V25" s="88"/>
      <c r="W25" s="11">
        <v>44766</v>
      </c>
      <c r="X25" s="28"/>
      <c r="Y25" s="5"/>
      <c r="Z25" s="5"/>
      <c r="AA25" s="5"/>
      <c r="AB25" s="5"/>
      <c r="AC25" s="5"/>
      <c r="AD25" s="5"/>
      <c r="AE25" s="5"/>
      <c r="AF25" s="5"/>
      <c r="AG25" s="5"/>
      <c r="AH25" s="5"/>
      <c r="AI25" s="5"/>
      <c r="AJ25" s="5"/>
      <c r="AK25" s="5"/>
      <c r="AL25" s="5"/>
      <c r="AM25" s="5"/>
      <c r="AN25" s="5"/>
      <c r="AO25" s="5"/>
    </row>
    <row r="26">
      <c r="A26" s="11">
        <v>44767</v>
      </c>
      <c r="B26" s="14">
        <v>60</v>
      </c>
      <c r="C26" s="14"/>
      <c r="D26" s="14">
        <v>117</v>
      </c>
      <c r="E26" s="14"/>
      <c r="F26" s="14"/>
      <c r="G26" s="14">
        <v>1200</v>
      </c>
      <c r="H26" s="14"/>
      <c r="I26" s="14"/>
      <c r="J26" s="14"/>
      <c r="K26" s="14"/>
      <c r="L26" s="14"/>
      <c r="M26" s="14"/>
      <c r="N26" s="14"/>
      <c r="O26" s="14"/>
      <c r="P26" s="14"/>
      <c r="Q26" s="14"/>
      <c r="R26" s="14"/>
      <c r="S26" s="14"/>
      <c r="T26" s="87"/>
      <c r="U26" s="31"/>
      <c r="V26" s="88"/>
      <c r="W26" s="11">
        <v>44767</v>
      </c>
      <c r="X26" s="14"/>
      <c r="Y26" s="14"/>
      <c r="Z26" s="14"/>
      <c r="AA26" s="14"/>
      <c r="AB26" s="14"/>
      <c r="AC26" s="14"/>
      <c r="AD26" s="14"/>
      <c r="AE26" s="14"/>
      <c r="AF26" s="14"/>
      <c r="AG26" s="14"/>
      <c r="AH26" s="14"/>
      <c r="AI26" s="14"/>
      <c r="AJ26" s="14"/>
      <c r="AK26" s="14"/>
      <c r="AL26" s="14"/>
      <c r="AM26" s="14"/>
      <c r="AN26" s="14"/>
      <c r="AO26" s="14"/>
    </row>
    <row r="27">
      <c r="A27" s="11">
        <v>44768</v>
      </c>
      <c r="B27" s="5"/>
      <c r="C27" s="90">
        <v>47</v>
      </c>
      <c r="D27" s="5">
        <v>165</v>
      </c>
      <c r="E27" s="5"/>
      <c r="F27" s="5"/>
      <c r="G27" s="5">
        <v>1200</v>
      </c>
      <c r="H27" s="5"/>
      <c r="I27" s="5"/>
      <c r="J27" s="5"/>
      <c r="K27" s="5"/>
      <c r="L27" s="5"/>
      <c r="M27" s="5"/>
      <c r="N27" s="5"/>
      <c r="O27" s="5"/>
      <c r="P27" s="5"/>
      <c r="Q27" s="5"/>
      <c r="R27" s="5"/>
      <c r="S27" s="5"/>
      <c r="T27" s="87"/>
      <c r="U27" s="31"/>
      <c r="V27" s="88"/>
      <c r="W27" s="11">
        <v>44768</v>
      </c>
      <c r="X27" s="5"/>
      <c r="Y27" s="5"/>
      <c r="Z27" s="5"/>
      <c r="AA27" s="5"/>
      <c r="AB27" s="5"/>
      <c r="AC27" s="5"/>
      <c r="AD27" s="5"/>
      <c r="AE27" s="5"/>
      <c r="AF27" s="5"/>
      <c r="AG27" s="5"/>
      <c r="AH27" s="5"/>
      <c r="AI27" s="5"/>
      <c r="AJ27" s="5"/>
      <c r="AK27" s="5"/>
      <c r="AL27" s="5"/>
      <c r="AM27" s="5"/>
      <c r="AN27" s="5"/>
      <c r="AO27" s="5"/>
    </row>
    <row r="28">
      <c r="A28" s="11">
        <v>44769</v>
      </c>
      <c r="B28" s="14"/>
      <c r="C28" s="14">
        <v>161.97</v>
      </c>
      <c r="D28" s="14">
        <f>90+45</f>
        <v>135</v>
      </c>
      <c r="E28" s="14"/>
      <c r="F28" s="14"/>
      <c r="G28" s="14">
        <v>1200</v>
      </c>
      <c r="H28" s="14"/>
      <c r="I28" s="14"/>
      <c r="J28" s="14"/>
      <c r="K28" s="14"/>
      <c r="L28" s="14"/>
      <c r="M28" s="14"/>
      <c r="N28" s="14"/>
      <c r="O28" s="14"/>
      <c r="P28" s="14"/>
      <c r="Q28" s="14"/>
      <c r="R28" s="14"/>
      <c r="S28" s="14"/>
      <c r="T28" s="87"/>
      <c r="U28" s="31"/>
      <c r="V28" s="88"/>
      <c r="W28" s="11">
        <v>44769</v>
      </c>
      <c r="X28" s="14"/>
      <c r="Y28" s="14"/>
      <c r="Z28" s="14"/>
      <c r="AA28" s="14"/>
      <c r="AB28" s="14"/>
      <c r="AC28" s="14"/>
      <c r="AD28" s="14"/>
      <c r="AE28" s="14"/>
      <c r="AF28" s="14"/>
      <c r="AG28" s="14"/>
      <c r="AH28" s="14"/>
      <c r="AI28" s="14"/>
      <c r="AJ28" s="14"/>
      <c r="AK28" s="14"/>
      <c r="AL28" s="14"/>
      <c r="AM28" s="14"/>
      <c r="AN28" s="14"/>
      <c r="AO28" s="14"/>
    </row>
    <row r="29">
      <c r="A29" s="11">
        <v>44770</v>
      </c>
      <c r="B29" s="5">
        <f>25+25</f>
        <v>50</v>
      </c>
      <c r="C29" s="5">
        <v>30.989999999999998</v>
      </c>
      <c r="D29" s="5"/>
      <c r="E29" s="5">
        <v>772</v>
      </c>
      <c r="F29" s="5"/>
      <c r="G29" s="5">
        <f>1050+20.48</f>
        <v>1070.48</v>
      </c>
      <c r="H29" s="5"/>
      <c r="I29" s="5"/>
      <c r="J29" s="5"/>
      <c r="K29" s="5"/>
      <c r="L29" s="5"/>
      <c r="M29" s="5"/>
      <c r="N29" s="5"/>
      <c r="O29" s="5"/>
      <c r="P29" s="5"/>
      <c r="Q29" s="5"/>
      <c r="R29" s="5"/>
      <c r="S29" s="5"/>
      <c r="T29" s="87"/>
      <c r="U29" s="31"/>
      <c r="V29" s="88"/>
      <c r="W29" s="11">
        <v>44770</v>
      </c>
      <c r="X29" s="5">
        <f>25+25</f>
        <v>50</v>
      </c>
      <c r="Y29" s="5">
        <f>402.25+457.97</f>
        <v>860.22000000000003</v>
      </c>
      <c r="Z29" s="5"/>
      <c r="AA29" s="5"/>
      <c r="AB29" s="5"/>
      <c r="AC29" s="5"/>
      <c r="AD29" s="5"/>
      <c r="AE29" s="5"/>
      <c r="AF29" s="5"/>
      <c r="AG29" s="5"/>
      <c r="AH29" s="5"/>
      <c r="AI29" s="5"/>
      <c r="AJ29" s="5"/>
      <c r="AK29" s="5"/>
      <c r="AL29" s="5"/>
      <c r="AM29" s="5"/>
      <c r="AN29" s="5"/>
      <c r="AO29" s="5"/>
    </row>
    <row r="30">
      <c r="A30" s="11">
        <v>44771</v>
      </c>
      <c r="B30" s="22"/>
      <c r="C30" s="22"/>
      <c r="D30" s="22">
        <v>122</v>
      </c>
      <c r="E30" s="22"/>
      <c r="F30" s="22"/>
      <c r="G30" s="22"/>
      <c r="H30" s="22"/>
      <c r="I30" s="22"/>
      <c r="J30" s="22"/>
      <c r="K30" s="22"/>
      <c r="L30" s="22">
        <v>2156.8400000000001</v>
      </c>
      <c r="M30" s="22"/>
      <c r="N30" s="22"/>
      <c r="O30" s="22"/>
      <c r="P30" s="22"/>
      <c r="Q30" s="22"/>
      <c r="R30" s="22"/>
      <c r="S30" s="22"/>
      <c r="T30" s="87"/>
      <c r="U30" s="31"/>
      <c r="V30" s="88"/>
      <c r="W30" s="11">
        <v>44771</v>
      </c>
      <c r="X30" s="22"/>
      <c r="Y30" s="22"/>
      <c r="Z30" s="22"/>
      <c r="AA30" s="22"/>
      <c r="AB30" s="22"/>
      <c r="AC30" s="22"/>
      <c r="AD30" s="22"/>
      <c r="AE30" s="22"/>
      <c r="AF30" s="22"/>
      <c r="AG30" s="22"/>
      <c r="AH30" s="22"/>
      <c r="AI30" s="22"/>
      <c r="AJ30" s="22"/>
      <c r="AK30" s="22"/>
      <c r="AL30" s="22"/>
      <c r="AM30" s="22"/>
      <c r="AN30" s="22"/>
      <c r="AO30" s="22"/>
    </row>
    <row r="31">
      <c r="A31" s="11">
        <v>44772</v>
      </c>
      <c r="B31" s="5"/>
      <c r="C31" s="5"/>
      <c r="D31" s="5"/>
      <c r="E31" s="5"/>
      <c r="F31" s="5"/>
      <c r="G31" s="5"/>
      <c r="H31" s="5"/>
      <c r="I31" s="5"/>
      <c r="J31" s="5"/>
      <c r="K31" s="5"/>
      <c r="L31" s="5"/>
      <c r="M31" s="5"/>
      <c r="N31" s="5"/>
      <c r="O31" s="5"/>
      <c r="P31" s="5"/>
      <c r="Q31" s="5"/>
      <c r="R31" s="5"/>
      <c r="S31" s="5"/>
      <c r="T31" s="87"/>
      <c r="U31" s="31"/>
      <c r="V31" s="88"/>
      <c r="W31" s="11">
        <v>44772</v>
      </c>
      <c r="X31" s="5"/>
      <c r="Y31" s="5"/>
      <c r="Z31" s="5"/>
      <c r="AA31" s="5"/>
      <c r="AB31" s="5"/>
      <c r="AC31" s="5"/>
      <c r="AD31" s="5"/>
      <c r="AE31" s="5"/>
      <c r="AF31" s="5"/>
      <c r="AG31" s="5"/>
      <c r="AH31" s="5"/>
      <c r="AI31" s="5"/>
      <c r="AJ31" s="5"/>
      <c r="AK31" s="5"/>
      <c r="AL31" s="5"/>
      <c r="AM31" s="5"/>
      <c r="AN31" s="5"/>
      <c r="AO31" s="5"/>
    </row>
    <row r="32">
      <c r="A32" s="11">
        <v>44773</v>
      </c>
      <c r="B32" s="22"/>
      <c r="C32" s="22">
        <v>81</v>
      </c>
      <c r="D32" s="22"/>
      <c r="E32" s="22"/>
      <c r="F32" s="22"/>
      <c r="G32" s="22"/>
      <c r="H32" s="22"/>
      <c r="I32" s="22"/>
      <c r="J32" s="22"/>
      <c r="K32" s="22"/>
      <c r="L32" s="22"/>
      <c r="M32" s="22"/>
      <c r="N32" s="22"/>
      <c r="O32" s="22"/>
      <c r="P32" s="22"/>
      <c r="Q32" s="22"/>
      <c r="R32" s="22"/>
      <c r="S32" s="22"/>
      <c r="T32" s="87"/>
      <c r="U32" s="31"/>
      <c r="V32" s="88"/>
      <c r="W32" s="11">
        <v>44773</v>
      </c>
      <c r="X32" s="22"/>
      <c r="Y32" s="22"/>
      <c r="Z32" s="22"/>
      <c r="AA32" s="22"/>
      <c r="AB32" s="22"/>
      <c r="AC32" s="22"/>
      <c r="AD32" s="22"/>
      <c r="AE32" s="22">
        <v>1209</v>
      </c>
      <c r="AF32" s="22">
        <v>679</v>
      </c>
      <c r="AG32" s="22"/>
      <c r="AH32" s="22"/>
      <c r="AI32" s="22"/>
      <c r="AJ32" s="22"/>
      <c r="AK32" s="22"/>
      <c r="AL32" s="22"/>
      <c r="AM32" s="22"/>
      <c r="AN32" s="22"/>
      <c r="AO32" s="22"/>
    </row>
    <row r="33">
      <c r="A33" s="74"/>
      <c r="B33" s="75">
        <f t="shared" ref="B33:R33" si="122">SUM(B2:B32)</f>
        <v>474</v>
      </c>
      <c r="C33" s="75">
        <f t="shared" si="122"/>
        <v>6717.5099999999993</v>
      </c>
      <c r="D33" s="75">
        <f t="shared" si="122"/>
        <v>1117</v>
      </c>
      <c r="E33" s="75">
        <f t="shared" si="122"/>
        <v>4691.9300000000003</v>
      </c>
      <c r="F33" s="75">
        <f t="shared" si="122"/>
        <v>0</v>
      </c>
      <c r="G33" s="75">
        <f t="shared" si="122"/>
        <v>13343.74</v>
      </c>
      <c r="H33" s="75">
        <f t="shared" si="122"/>
        <v>0</v>
      </c>
      <c r="I33" s="75">
        <f t="shared" si="122"/>
        <v>2197</v>
      </c>
      <c r="J33" s="75">
        <f t="shared" si="122"/>
        <v>5979.0599999999995</v>
      </c>
      <c r="K33" s="75">
        <f t="shared" si="122"/>
        <v>0</v>
      </c>
      <c r="L33" s="75">
        <f t="shared" si="122"/>
        <v>2156.8400000000001</v>
      </c>
      <c r="M33" s="75">
        <f t="shared" si="122"/>
        <v>2000</v>
      </c>
      <c r="N33" s="75">
        <f t="shared" si="122"/>
        <v>775</v>
      </c>
      <c r="O33" s="75">
        <f t="shared" si="122"/>
        <v>0</v>
      </c>
      <c r="P33" s="75">
        <f t="shared" si="122"/>
        <v>0</v>
      </c>
      <c r="Q33" s="75">
        <f t="shared" si="122"/>
        <v>400</v>
      </c>
      <c r="R33" s="75">
        <f t="shared" si="122"/>
        <v>1234</v>
      </c>
      <c r="S33" s="75">
        <f>SUM(B33:R33)+S15</f>
        <v>41986.080000000002</v>
      </c>
      <c r="T33" s="87"/>
      <c r="U33" s="31"/>
      <c r="V33" s="88"/>
      <c r="W33" s="74"/>
      <c r="X33" s="75">
        <f t="shared" ref="X33:AN33" si="123">SUM(X2:X32)</f>
        <v>50</v>
      </c>
      <c r="Y33" s="75">
        <f t="shared" si="123"/>
        <v>1951.4100000000001</v>
      </c>
      <c r="Z33" s="75">
        <f t="shared" si="123"/>
        <v>0</v>
      </c>
      <c r="AA33" s="75">
        <f t="shared" si="123"/>
        <v>0</v>
      </c>
      <c r="AB33" s="75">
        <f t="shared" si="123"/>
        <v>0</v>
      </c>
      <c r="AC33" s="75">
        <f t="shared" si="123"/>
        <v>99</v>
      </c>
      <c r="AD33" s="75">
        <f t="shared" si="123"/>
        <v>0</v>
      </c>
      <c r="AE33" s="75">
        <f t="shared" si="123"/>
        <v>1209</v>
      </c>
      <c r="AF33" s="75">
        <f t="shared" si="123"/>
        <v>5352.9899999999998</v>
      </c>
      <c r="AG33" s="75">
        <f t="shared" si="123"/>
        <v>0</v>
      </c>
      <c r="AH33" s="75">
        <f t="shared" si="123"/>
        <v>0</v>
      </c>
      <c r="AI33" s="75">
        <f t="shared" si="123"/>
        <v>398.39999999999998</v>
      </c>
      <c r="AJ33" s="75">
        <f t="shared" si="123"/>
        <v>350</v>
      </c>
      <c r="AK33" s="75">
        <f t="shared" si="123"/>
        <v>0</v>
      </c>
      <c r="AL33" s="75">
        <f t="shared" si="123"/>
        <v>7561</v>
      </c>
      <c r="AM33" s="75">
        <f t="shared" si="123"/>
        <v>0</v>
      </c>
      <c r="AN33" s="75">
        <f t="shared" si="123"/>
        <v>0</v>
      </c>
      <c r="AO33" s="75">
        <f>SUM(X33:AN33)</f>
        <v>16971.799999999999</v>
      </c>
    </row>
    <row r="34">
      <c r="A34" s="84"/>
      <c r="B34" s="84"/>
      <c r="C34" s="84"/>
      <c r="D34" s="84"/>
      <c r="E34" s="84"/>
      <c r="F34" s="84"/>
      <c r="G34" s="84"/>
      <c r="H34" s="84"/>
      <c r="I34" s="84"/>
      <c r="J34" s="84"/>
      <c r="K34" s="84"/>
      <c r="L34" s="84"/>
      <c r="M34" s="84"/>
      <c r="N34" s="84"/>
      <c r="O34" s="84"/>
      <c r="P34" s="84"/>
      <c r="Q34" s="84"/>
      <c r="R34" s="84"/>
      <c r="S34" s="84"/>
      <c r="T34" s="31"/>
      <c r="U34" s="31"/>
      <c r="V34" s="31"/>
      <c r="W34" s="84"/>
      <c r="X34" s="84"/>
      <c r="Y34" s="84"/>
      <c r="Z34" s="84"/>
      <c r="AA34" s="84"/>
      <c r="AB34" s="84"/>
      <c r="AC34" s="84"/>
      <c r="AD34" s="84"/>
      <c r="AE34" s="84"/>
      <c r="AF34" s="84"/>
      <c r="AG34" s="84"/>
      <c r="AH34" s="84"/>
      <c r="AI34" s="84"/>
      <c r="AJ34" s="84"/>
      <c r="AK34" s="84"/>
      <c r="AL34" s="84"/>
      <c r="AM34" s="84"/>
      <c r="AN34" s="84"/>
      <c r="AO34" s="84"/>
    </row>
    <row r="35">
      <c r="A35" s="85" t="s">
        <v>0</v>
      </c>
      <c r="B35" s="85" t="s">
        <v>50</v>
      </c>
      <c r="C35" s="85" t="s">
        <v>13</v>
      </c>
      <c r="D35" s="85" t="s">
        <v>11</v>
      </c>
      <c r="E35" s="85" t="s">
        <v>51</v>
      </c>
      <c r="F35" s="85" t="s">
        <v>52</v>
      </c>
      <c r="G35" s="85" t="s">
        <v>53</v>
      </c>
      <c r="H35" s="85" t="s">
        <v>54</v>
      </c>
      <c r="I35" s="85" t="s">
        <v>55</v>
      </c>
      <c r="J35" s="85" t="s">
        <v>61</v>
      </c>
      <c r="K35" s="85" t="s">
        <v>74</v>
      </c>
      <c r="L35" s="86"/>
      <c r="M35" s="86"/>
      <c r="N35" s="86"/>
      <c r="O35" s="86"/>
      <c r="P35" s="86"/>
      <c r="Q35" s="86"/>
      <c r="R35" s="86"/>
      <c r="S35" s="86"/>
      <c r="T35" s="87"/>
      <c r="U35" s="31"/>
      <c r="V35" s="88"/>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44743</v>
      </c>
      <c r="B36" s="14"/>
      <c r="C36" s="14"/>
      <c r="D36" s="14"/>
      <c r="E36" s="14"/>
      <c r="F36" s="14"/>
      <c r="G36" s="14"/>
      <c r="H36" s="14"/>
      <c r="I36" s="14"/>
      <c r="J36" s="22"/>
      <c r="K36" s="22"/>
      <c r="L36" s="22"/>
      <c r="M36" s="22"/>
      <c r="N36" s="22"/>
      <c r="O36" s="22"/>
      <c r="P36" s="22"/>
      <c r="Q36" s="22"/>
      <c r="R36" s="22"/>
      <c r="S36" s="22"/>
      <c r="T36" s="87"/>
      <c r="U36" s="31"/>
      <c r="V36" s="88"/>
      <c r="W36" s="11">
        <v>44743</v>
      </c>
      <c r="X36" s="14"/>
      <c r="Y36" s="14"/>
      <c r="Z36" s="14"/>
      <c r="AA36" s="14"/>
      <c r="AB36" s="14"/>
      <c r="AC36" s="14"/>
      <c r="AD36" s="14"/>
      <c r="AE36" s="14"/>
      <c r="AF36" s="22"/>
      <c r="AG36" s="22"/>
      <c r="AH36" s="22"/>
      <c r="AI36" s="22"/>
      <c r="AJ36" s="22"/>
      <c r="AK36" s="22"/>
      <c r="AL36" s="22"/>
      <c r="AM36" s="22"/>
      <c r="AN36" s="22"/>
      <c r="AO36" s="22"/>
    </row>
    <row r="37">
      <c r="A37" s="11">
        <v>44744</v>
      </c>
      <c r="B37" s="5"/>
      <c r="C37" s="5"/>
      <c r="D37" s="5"/>
      <c r="E37" s="5"/>
      <c r="F37" s="5"/>
      <c r="G37" s="5"/>
      <c r="H37" s="5"/>
      <c r="I37" s="5"/>
      <c r="J37" s="5"/>
      <c r="K37" s="5"/>
      <c r="L37" s="5"/>
      <c r="M37" s="5"/>
      <c r="N37" s="5"/>
      <c r="O37" s="5"/>
      <c r="P37" s="5"/>
      <c r="Q37" s="5"/>
      <c r="R37" s="5"/>
      <c r="S37" s="5"/>
      <c r="T37" s="87"/>
      <c r="U37" s="31"/>
      <c r="V37" s="88"/>
      <c r="W37" s="11">
        <v>44744</v>
      </c>
      <c r="X37" s="5"/>
      <c r="Y37" s="5"/>
      <c r="Z37" s="5"/>
      <c r="AA37" s="5"/>
      <c r="AB37" s="5"/>
      <c r="AC37" s="5"/>
      <c r="AD37" s="5"/>
      <c r="AE37" s="5"/>
      <c r="AF37" s="5"/>
      <c r="AG37" s="5"/>
      <c r="AH37" s="5"/>
      <c r="AI37" s="5"/>
      <c r="AJ37" s="5"/>
      <c r="AK37" s="5"/>
      <c r="AL37" s="5"/>
      <c r="AM37" s="5"/>
      <c r="AN37" s="5"/>
      <c r="AO37" s="5"/>
    </row>
    <row r="38">
      <c r="A38" s="11">
        <v>44745</v>
      </c>
      <c r="B38" s="14"/>
      <c r="C38" s="14"/>
      <c r="D38" s="14"/>
      <c r="E38" s="14"/>
      <c r="F38" s="14"/>
      <c r="G38" s="14"/>
      <c r="H38" s="14"/>
      <c r="I38" s="14"/>
      <c r="J38" s="22"/>
      <c r="K38" s="22"/>
      <c r="L38" s="22"/>
      <c r="M38" s="22"/>
      <c r="N38" s="22"/>
      <c r="O38" s="22"/>
      <c r="P38" s="22"/>
      <c r="Q38" s="22"/>
      <c r="R38" s="22"/>
      <c r="S38" s="22"/>
      <c r="T38" s="87"/>
      <c r="U38" s="31"/>
      <c r="V38" s="88"/>
      <c r="W38" s="11">
        <v>44745</v>
      </c>
      <c r="X38" s="14"/>
      <c r="Y38" s="14"/>
      <c r="Z38" s="14"/>
      <c r="AA38" s="14"/>
      <c r="AB38" s="14"/>
      <c r="AC38" s="14"/>
      <c r="AD38" s="14"/>
      <c r="AE38" s="14"/>
      <c r="AF38" s="22"/>
      <c r="AG38" s="22"/>
      <c r="AH38" s="22"/>
      <c r="AI38" s="22"/>
      <c r="AJ38" s="22"/>
      <c r="AK38" s="22"/>
      <c r="AL38" s="22"/>
      <c r="AM38" s="22"/>
      <c r="AN38" s="22"/>
      <c r="AO38" s="22"/>
    </row>
    <row r="39">
      <c r="A39" s="11">
        <v>44746</v>
      </c>
      <c r="B39" s="5"/>
      <c r="C39" s="5"/>
      <c r="D39" s="5"/>
      <c r="E39" s="71"/>
      <c r="F39" s="5"/>
      <c r="G39" s="5"/>
      <c r="H39" s="5"/>
      <c r="I39" s="5"/>
      <c r="J39" s="5"/>
      <c r="K39" s="5"/>
      <c r="L39" s="5"/>
      <c r="M39" s="5"/>
      <c r="N39" s="5"/>
      <c r="O39" s="5"/>
      <c r="P39" s="5"/>
      <c r="Q39" s="5"/>
      <c r="R39" s="5"/>
      <c r="S39" s="5"/>
      <c r="T39" s="87"/>
      <c r="U39" s="31"/>
      <c r="V39" s="88"/>
      <c r="W39" s="11">
        <v>44746</v>
      </c>
      <c r="X39" s="5"/>
      <c r="Y39" s="5"/>
      <c r="Z39" s="5"/>
      <c r="AA39" s="71"/>
      <c r="AB39" s="5"/>
      <c r="AC39" s="5"/>
      <c r="AD39" s="5"/>
      <c r="AE39" s="5"/>
      <c r="AF39" s="5"/>
      <c r="AG39" s="5"/>
      <c r="AH39" s="5"/>
      <c r="AI39" s="5"/>
      <c r="AJ39" s="5"/>
      <c r="AK39" s="5"/>
      <c r="AL39" s="5"/>
      <c r="AM39" s="5"/>
      <c r="AN39" s="5"/>
      <c r="AO39" s="5"/>
    </row>
    <row r="40">
      <c r="A40" s="11">
        <v>44747</v>
      </c>
      <c r="B40" s="14">
        <v>28292.139999999999</v>
      </c>
      <c r="C40" s="14"/>
      <c r="D40" s="14"/>
      <c r="E40" s="14"/>
      <c r="F40" s="14"/>
      <c r="G40" s="14"/>
      <c r="H40" s="14"/>
      <c r="I40" s="14"/>
      <c r="J40" s="14"/>
      <c r="K40" s="14"/>
      <c r="L40" s="14"/>
      <c r="M40" s="14"/>
      <c r="N40" s="14"/>
      <c r="O40" s="14"/>
      <c r="P40" s="14"/>
      <c r="Q40" s="14"/>
      <c r="R40" s="14"/>
      <c r="S40" s="14"/>
      <c r="T40" s="87"/>
      <c r="U40" s="31"/>
      <c r="V40" s="88"/>
      <c r="W40" s="11">
        <v>44747</v>
      </c>
      <c r="X40" s="14"/>
      <c r="Y40" s="14"/>
      <c r="Z40" s="14"/>
      <c r="AA40" s="14"/>
      <c r="AB40" s="14"/>
      <c r="AC40" s="14"/>
      <c r="AD40" s="14"/>
      <c r="AE40" s="14"/>
      <c r="AF40" s="14"/>
      <c r="AG40" s="14"/>
      <c r="AH40" s="14"/>
      <c r="AI40" s="14"/>
      <c r="AJ40" s="14"/>
      <c r="AK40" s="14"/>
      <c r="AL40" s="14"/>
      <c r="AM40" s="14"/>
      <c r="AN40" s="14"/>
      <c r="AO40" s="14"/>
    </row>
    <row r="41">
      <c r="A41" s="11">
        <v>44748</v>
      </c>
      <c r="B41" s="5"/>
      <c r="C41" s="5"/>
      <c r="D41" s="5"/>
      <c r="E41" s="5">
        <v>2.3100000000000001</v>
      </c>
      <c r="F41" s="5"/>
      <c r="G41" s="5"/>
      <c r="H41" s="5"/>
      <c r="I41" s="5"/>
      <c r="J41" s="5"/>
      <c r="K41" s="5"/>
      <c r="L41" s="5"/>
      <c r="M41" s="5"/>
      <c r="N41" s="5"/>
      <c r="O41" s="5"/>
      <c r="P41" s="5"/>
      <c r="Q41" s="5"/>
      <c r="R41" s="5"/>
      <c r="S41" s="5"/>
      <c r="T41" s="87"/>
      <c r="U41" s="31"/>
      <c r="V41" s="88"/>
      <c r="W41" s="11">
        <v>44748</v>
      </c>
      <c r="X41" s="5"/>
      <c r="Y41" s="5"/>
      <c r="Z41" s="5"/>
      <c r="AA41" s="5"/>
      <c r="AB41" s="5"/>
      <c r="AC41" s="5"/>
      <c r="AD41" s="5"/>
      <c r="AE41" s="5"/>
      <c r="AF41" s="5"/>
      <c r="AG41" s="5"/>
      <c r="AH41" s="5"/>
      <c r="AI41" s="5"/>
      <c r="AJ41" s="5"/>
      <c r="AK41" s="5"/>
      <c r="AL41" s="5"/>
      <c r="AM41" s="5"/>
      <c r="AN41" s="5"/>
      <c r="AO41" s="5"/>
    </row>
    <row r="42">
      <c r="A42" s="11">
        <v>44749</v>
      </c>
      <c r="B42" s="14"/>
      <c r="C42" s="14"/>
      <c r="D42" s="14"/>
      <c r="E42" s="14"/>
      <c r="F42" s="14"/>
      <c r="G42" s="14"/>
      <c r="H42" s="14"/>
      <c r="I42" s="14"/>
      <c r="J42" s="14"/>
      <c r="K42" s="14"/>
      <c r="L42" s="14"/>
      <c r="M42" s="14"/>
      <c r="N42" s="14"/>
      <c r="O42" s="14"/>
      <c r="P42" s="14"/>
      <c r="Q42" s="14"/>
      <c r="R42" s="14"/>
      <c r="S42" s="14"/>
      <c r="T42" s="87"/>
      <c r="U42" s="31"/>
      <c r="V42" s="88"/>
      <c r="W42" s="11">
        <v>44749</v>
      </c>
      <c r="X42" s="14"/>
      <c r="Y42" s="14"/>
      <c r="Z42" s="14"/>
      <c r="AA42" s="14"/>
      <c r="AB42" s="14"/>
      <c r="AC42" s="14"/>
      <c r="AD42" s="14">
        <v>300</v>
      </c>
      <c r="AE42" s="14"/>
      <c r="AF42" s="14"/>
      <c r="AG42" s="14"/>
      <c r="AH42" s="14"/>
      <c r="AI42" s="14"/>
      <c r="AJ42" s="14"/>
      <c r="AK42" s="14"/>
      <c r="AL42" s="14"/>
      <c r="AM42" s="14"/>
      <c r="AN42" s="14"/>
      <c r="AO42" s="14"/>
    </row>
    <row r="43">
      <c r="A43" s="11">
        <v>44750</v>
      </c>
      <c r="B43" s="5"/>
      <c r="C43" s="5"/>
      <c r="D43" s="5"/>
      <c r="E43" s="5"/>
      <c r="F43" s="5"/>
      <c r="G43" s="5"/>
      <c r="H43" s="5"/>
      <c r="I43" s="5"/>
      <c r="J43" s="5"/>
      <c r="K43" s="5"/>
      <c r="L43" s="5"/>
      <c r="M43" s="5"/>
      <c r="N43" s="5"/>
      <c r="O43" s="5"/>
      <c r="P43" s="5"/>
      <c r="Q43" s="5"/>
      <c r="R43" s="5"/>
      <c r="S43" s="5"/>
      <c r="T43" s="87"/>
      <c r="U43" s="31"/>
      <c r="V43" s="88"/>
      <c r="W43" s="11">
        <v>44750</v>
      </c>
      <c r="X43" s="5"/>
      <c r="Y43" s="5"/>
      <c r="Z43" s="5"/>
      <c r="AA43" s="5"/>
      <c r="AB43" s="5"/>
      <c r="AC43" s="5"/>
      <c r="AD43" s="5">
        <v>300</v>
      </c>
      <c r="AE43" s="5"/>
      <c r="AF43" s="5"/>
      <c r="AG43" s="5"/>
      <c r="AH43" s="5"/>
      <c r="AI43" s="5"/>
      <c r="AJ43" s="5"/>
      <c r="AK43" s="5"/>
      <c r="AL43" s="5"/>
      <c r="AM43" s="5"/>
      <c r="AN43" s="5"/>
      <c r="AO43" s="5"/>
    </row>
    <row r="44">
      <c r="A44" s="11">
        <v>44751</v>
      </c>
      <c r="B44" s="79"/>
      <c r="C44" s="14"/>
      <c r="D44" s="14"/>
      <c r="E44" s="14"/>
      <c r="F44" s="14"/>
      <c r="G44" s="14"/>
      <c r="H44" s="14"/>
      <c r="I44" s="14"/>
      <c r="J44" s="14"/>
      <c r="K44" s="14"/>
      <c r="L44" s="14"/>
      <c r="M44" s="14"/>
      <c r="N44" s="14"/>
      <c r="O44" s="14"/>
      <c r="P44" s="14"/>
      <c r="Q44" s="14"/>
      <c r="R44" s="14"/>
      <c r="S44" s="14"/>
      <c r="T44" s="87"/>
      <c r="U44" s="31"/>
      <c r="V44" s="88"/>
      <c r="W44" s="11">
        <v>44751</v>
      </c>
      <c r="X44" s="79"/>
      <c r="Y44" s="14"/>
      <c r="Z44" s="14"/>
      <c r="AA44" s="14"/>
      <c r="AB44" s="14"/>
      <c r="AC44" s="14"/>
      <c r="AD44" s="14">
        <v>300</v>
      </c>
      <c r="AE44" s="14"/>
      <c r="AF44" s="14"/>
      <c r="AG44" s="14"/>
      <c r="AH44" s="14"/>
      <c r="AI44" s="14"/>
      <c r="AJ44" s="14"/>
      <c r="AK44" s="14"/>
      <c r="AL44" s="14"/>
      <c r="AM44" s="14"/>
      <c r="AN44" s="14"/>
      <c r="AO44" s="14"/>
    </row>
    <row r="45">
      <c r="A45" s="11">
        <v>44752</v>
      </c>
      <c r="B45" s="5"/>
      <c r="C45" s="5"/>
      <c r="D45" s="5"/>
      <c r="E45" s="5"/>
      <c r="F45" s="5"/>
      <c r="G45" s="5"/>
      <c r="H45" s="5"/>
      <c r="I45" s="5"/>
      <c r="J45" s="5"/>
      <c r="K45" s="5"/>
      <c r="L45" s="5"/>
      <c r="M45" s="5"/>
      <c r="N45" s="5"/>
      <c r="O45" s="5"/>
      <c r="P45" s="5"/>
      <c r="Q45" s="5"/>
      <c r="R45" s="5"/>
      <c r="S45" s="5"/>
      <c r="T45" s="87"/>
      <c r="U45" s="31"/>
      <c r="V45" s="88"/>
      <c r="W45" s="11">
        <v>44752</v>
      </c>
      <c r="X45" s="5"/>
      <c r="Y45" s="5"/>
      <c r="Z45" s="5"/>
      <c r="AA45" s="5"/>
      <c r="AB45" s="5"/>
      <c r="AC45" s="5"/>
      <c r="AD45" s="5"/>
      <c r="AE45" s="5"/>
      <c r="AF45" s="5"/>
      <c r="AG45" s="5"/>
      <c r="AH45" s="5"/>
      <c r="AI45" s="5"/>
      <c r="AJ45" s="5"/>
      <c r="AK45" s="5"/>
      <c r="AL45" s="5"/>
      <c r="AM45" s="5"/>
      <c r="AN45" s="5"/>
      <c r="AO45" s="5"/>
    </row>
    <row r="46">
      <c r="A46" s="11">
        <v>44753</v>
      </c>
      <c r="B46" s="14"/>
      <c r="C46" s="14"/>
      <c r="D46" s="14"/>
      <c r="E46" s="14"/>
      <c r="F46" s="14"/>
      <c r="G46" s="14"/>
      <c r="H46" s="14"/>
      <c r="I46" s="14"/>
      <c r="J46" s="14"/>
      <c r="K46" s="14"/>
      <c r="L46" s="14"/>
      <c r="M46" s="14"/>
      <c r="N46" s="14"/>
      <c r="O46" s="14"/>
      <c r="P46" s="14"/>
      <c r="Q46" s="14"/>
      <c r="R46" s="14"/>
      <c r="S46" s="14"/>
      <c r="T46" s="87"/>
      <c r="U46" s="31"/>
      <c r="V46" s="88"/>
      <c r="W46" s="11">
        <v>44753</v>
      </c>
      <c r="X46" s="14"/>
      <c r="Y46" s="14"/>
      <c r="Z46" s="14"/>
      <c r="AA46" s="14"/>
      <c r="AB46" s="14"/>
      <c r="AC46" s="14"/>
      <c r="AD46" s="14">
        <v>400</v>
      </c>
      <c r="AE46" s="14"/>
      <c r="AF46" s="14"/>
      <c r="AG46" s="14"/>
      <c r="AH46" s="14"/>
      <c r="AI46" s="14"/>
      <c r="AJ46" s="14"/>
      <c r="AK46" s="14"/>
      <c r="AL46" s="14"/>
      <c r="AM46" s="14"/>
      <c r="AN46" s="14"/>
      <c r="AO46" s="14"/>
    </row>
    <row r="47">
      <c r="A47" s="11">
        <v>44754</v>
      </c>
      <c r="B47" s="5"/>
      <c r="C47" s="5"/>
      <c r="D47" s="5"/>
      <c r="E47" s="5"/>
      <c r="F47" s="5"/>
      <c r="G47" s="5"/>
      <c r="H47" s="5"/>
      <c r="I47" s="5"/>
      <c r="J47" s="5"/>
      <c r="K47" s="5"/>
      <c r="L47" s="5"/>
      <c r="M47" s="5"/>
      <c r="N47" s="5"/>
      <c r="O47" s="5"/>
      <c r="P47" s="5"/>
      <c r="Q47" s="5"/>
      <c r="R47" s="5"/>
      <c r="S47" s="5"/>
      <c r="T47" s="87"/>
      <c r="U47" s="31"/>
      <c r="V47" s="88"/>
      <c r="W47" s="11">
        <v>44754</v>
      </c>
      <c r="X47" s="5"/>
      <c r="Y47" s="5"/>
      <c r="Z47" s="5"/>
      <c r="AA47" s="5"/>
      <c r="AB47" s="5"/>
      <c r="AC47" s="5"/>
      <c r="AD47" s="5"/>
      <c r="AE47" s="5"/>
      <c r="AF47" s="5"/>
      <c r="AG47" s="5"/>
      <c r="AH47" s="5"/>
      <c r="AI47" s="5"/>
      <c r="AJ47" s="5"/>
      <c r="AK47" s="5"/>
      <c r="AL47" s="5"/>
      <c r="AM47" s="5"/>
      <c r="AN47" s="5"/>
      <c r="AO47" s="5"/>
    </row>
    <row r="48">
      <c r="A48" s="11">
        <v>44755</v>
      </c>
      <c r="B48" s="14"/>
      <c r="C48" s="14"/>
      <c r="D48" s="14"/>
      <c r="E48" s="14"/>
      <c r="F48" s="14"/>
      <c r="G48" s="14"/>
      <c r="H48" s="14"/>
      <c r="I48" s="14"/>
      <c r="J48" s="14"/>
      <c r="K48" s="14"/>
      <c r="L48" s="14"/>
      <c r="M48" s="14"/>
      <c r="N48" s="14"/>
      <c r="O48" s="14"/>
      <c r="P48" s="14"/>
      <c r="Q48" s="14"/>
      <c r="R48" s="14"/>
      <c r="S48" s="14"/>
      <c r="T48" s="87"/>
      <c r="U48" s="31"/>
      <c r="V48" s="88"/>
      <c r="W48" s="11">
        <v>44755</v>
      </c>
      <c r="X48" s="14"/>
      <c r="Y48" s="14"/>
      <c r="Z48" s="14"/>
      <c r="AA48" s="14"/>
      <c r="AB48" s="14"/>
      <c r="AC48" s="14"/>
      <c r="AD48" s="14"/>
      <c r="AE48" s="14"/>
      <c r="AF48" s="14"/>
      <c r="AG48" s="14"/>
      <c r="AH48" s="14"/>
      <c r="AI48" s="14"/>
      <c r="AJ48" s="14"/>
      <c r="AK48" s="14"/>
      <c r="AL48" s="14"/>
      <c r="AM48" s="14"/>
      <c r="AN48" s="14"/>
      <c r="AO48" s="14"/>
    </row>
    <row r="49">
      <c r="A49" s="11">
        <v>44756</v>
      </c>
      <c r="B49" s="5"/>
      <c r="C49" s="5"/>
      <c r="D49" s="5"/>
      <c r="E49" s="5"/>
      <c r="F49" s="5"/>
      <c r="G49" s="5"/>
      <c r="H49" s="5"/>
      <c r="I49" s="5">
        <v>295</v>
      </c>
      <c r="J49" s="5"/>
      <c r="K49" s="5"/>
      <c r="L49" s="5"/>
      <c r="M49" s="5"/>
      <c r="N49" s="5"/>
      <c r="O49" s="5"/>
      <c r="P49" s="5"/>
      <c r="Q49" s="5"/>
      <c r="R49" s="5"/>
      <c r="S49" s="5"/>
      <c r="T49" s="87"/>
      <c r="U49" s="31"/>
      <c r="V49" s="88"/>
      <c r="W49" s="11">
        <v>44756</v>
      </c>
      <c r="X49" s="5">
        <v>19536.490000000002</v>
      </c>
      <c r="Y49" s="5"/>
      <c r="Z49" s="5"/>
      <c r="AA49" s="5"/>
      <c r="AB49" s="5"/>
      <c r="AC49" s="5"/>
      <c r="AD49" s="5">
        <v>300</v>
      </c>
      <c r="AE49" s="5"/>
      <c r="AF49" s="5"/>
      <c r="AG49" s="5"/>
      <c r="AH49" s="5"/>
      <c r="AI49" s="5"/>
      <c r="AJ49" s="5"/>
      <c r="AK49" s="5"/>
      <c r="AL49" s="5"/>
      <c r="AM49" s="5"/>
      <c r="AN49" s="5"/>
      <c r="AO49" s="5"/>
    </row>
    <row r="50">
      <c r="A50" s="11">
        <v>44757</v>
      </c>
      <c r="B50" s="14">
        <v>1001</v>
      </c>
      <c r="C50" s="14"/>
      <c r="D50" s="14"/>
      <c r="E50" s="14"/>
      <c r="F50" s="14"/>
      <c r="G50" s="14"/>
      <c r="H50" s="14"/>
      <c r="I50" s="14"/>
      <c r="J50" s="14"/>
      <c r="K50" s="14"/>
      <c r="L50" s="14"/>
      <c r="M50" s="14"/>
      <c r="N50" s="14"/>
      <c r="O50" s="14"/>
      <c r="P50" s="14"/>
      <c r="Q50" s="14"/>
      <c r="R50" s="14"/>
      <c r="S50" s="14"/>
      <c r="T50" s="87"/>
      <c r="U50" s="31"/>
      <c r="V50" s="88"/>
      <c r="W50" s="11">
        <v>44757</v>
      </c>
      <c r="X50" s="14"/>
      <c r="Y50" s="14"/>
      <c r="Z50" s="14"/>
      <c r="AA50" s="14">
        <v>94.109999999999999</v>
      </c>
      <c r="AB50" s="14"/>
      <c r="AC50" s="14"/>
      <c r="AD50" s="14"/>
      <c r="AE50" s="14">
        <v>100</v>
      </c>
      <c r="AF50" s="14"/>
      <c r="AG50" s="14"/>
      <c r="AH50" s="14"/>
      <c r="AI50" s="14"/>
      <c r="AJ50" s="14"/>
      <c r="AK50" s="14"/>
      <c r="AL50" s="14"/>
      <c r="AM50" s="14"/>
      <c r="AN50" s="14"/>
      <c r="AO50" s="14"/>
    </row>
    <row r="51">
      <c r="A51" s="11">
        <v>44758</v>
      </c>
      <c r="B51" s="5"/>
      <c r="C51" s="5"/>
      <c r="D51" s="5"/>
      <c r="E51" s="5"/>
      <c r="F51" s="5"/>
      <c r="G51" s="5"/>
      <c r="H51" s="5"/>
      <c r="I51" s="5"/>
      <c r="J51" s="5"/>
      <c r="K51" s="5"/>
      <c r="L51" s="5"/>
      <c r="M51" s="5"/>
      <c r="N51" s="5"/>
      <c r="O51" s="5"/>
      <c r="P51" s="5"/>
      <c r="Q51" s="5"/>
      <c r="R51" s="5"/>
      <c r="S51" s="5"/>
      <c r="T51" s="87"/>
      <c r="U51" s="31"/>
      <c r="V51" s="88"/>
      <c r="W51" s="11">
        <v>44758</v>
      </c>
      <c r="X51" s="5"/>
      <c r="Y51" s="5"/>
      <c r="Z51" s="5"/>
      <c r="AA51" s="5"/>
      <c r="AB51" s="5"/>
      <c r="AC51" s="5"/>
      <c r="AD51" s="5"/>
      <c r="AE51" s="5"/>
      <c r="AF51" s="5"/>
      <c r="AG51" s="5"/>
      <c r="AH51" s="5"/>
      <c r="AI51" s="5"/>
      <c r="AJ51" s="5"/>
      <c r="AK51" s="5"/>
      <c r="AL51" s="5"/>
      <c r="AM51" s="5"/>
      <c r="AN51" s="5"/>
      <c r="AO51" s="5"/>
    </row>
    <row r="52">
      <c r="A52" s="11">
        <v>44759</v>
      </c>
      <c r="B52" s="14"/>
      <c r="C52" s="14"/>
      <c r="D52" s="14"/>
      <c r="E52" s="14"/>
      <c r="F52" s="14"/>
      <c r="G52" s="14"/>
      <c r="H52" s="14"/>
      <c r="I52" s="14"/>
      <c r="J52" s="14"/>
      <c r="K52" s="14"/>
      <c r="L52" s="14"/>
      <c r="M52" s="14"/>
      <c r="N52" s="14"/>
      <c r="O52" s="14"/>
      <c r="P52" s="14"/>
      <c r="Q52" s="14"/>
      <c r="R52" s="14"/>
      <c r="S52" s="14"/>
      <c r="T52" s="87"/>
      <c r="U52" s="31"/>
      <c r="V52" s="88"/>
      <c r="W52" s="11">
        <v>44759</v>
      </c>
      <c r="X52" s="14"/>
      <c r="Y52" s="14"/>
      <c r="Z52" s="14"/>
      <c r="AA52" s="14"/>
      <c r="AB52" s="14"/>
      <c r="AC52" s="14"/>
      <c r="AD52" s="14"/>
      <c r="AE52" s="14"/>
      <c r="AF52" s="14"/>
      <c r="AG52" s="14"/>
      <c r="AH52" s="14"/>
      <c r="AI52" s="14"/>
      <c r="AJ52" s="14"/>
      <c r="AK52" s="14"/>
      <c r="AL52" s="14"/>
      <c r="AM52" s="14"/>
      <c r="AN52" s="14"/>
      <c r="AO52" s="14"/>
    </row>
    <row r="53">
      <c r="A53" s="11">
        <v>44760</v>
      </c>
      <c r="B53" s="5"/>
      <c r="C53" s="5"/>
      <c r="D53" s="5"/>
      <c r="E53" s="5"/>
      <c r="F53" s="5"/>
      <c r="G53" s="5"/>
      <c r="H53" s="5"/>
      <c r="I53" s="5"/>
      <c r="J53" s="5"/>
      <c r="K53" s="5"/>
      <c r="L53" s="5"/>
      <c r="M53" s="5"/>
      <c r="N53" s="5"/>
      <c r="O53" s="5"/>
      <c r="P53" s="5"/>
      <c r="Q53" s="5"/>
      <c r="R53" s="5"/>
      <c r="S53" s="5"/>
      <c r="T53" s="87"/>
      <c r="U53" s="31"/>
      <c r="V53" s="88"/>
      <c r="W53" s="11">
        <v>44760</v>
      </c>
      <c r="X53" s="5"/>
      <c r="Y53" s="5"/>
      <c r="Z53" s="5"/>
      <c r="AA53" s="5"/>
      <c r="AB53" s="5"/>
      <c r="AC53" s="5"/>
      <c r="AD53" s="5"/>
      <c r="AE53" s="5"/>
      <c r="AF53" s="5"/>
      <c r="AG53" s="5"/>
      <c r="AH53" s="5"/>
      <c r="AI53" s="5"/>
      <c r="AJ53" s="5"/>
      <c r="AK53" s="5"/>
      <c r="AL53" s="5"/>
      <c r="AM53" s="5"/>
      <c r="AN53" s="5"/>
      <c r="AO53" s="5"/>
    </row>
    <row r="54">
      <c r="A54" s="11">
        <v>44761</v>
      </c>
      <c r="B54" s="14"/>
      <c r="C54" s="14"/>
      <c r="D54" s="14"/>
      <c r="E54" s="14"/>
      <c r="F54" s="14"/>
      <c r="G54" s="14"/>
      <c r="H54" s="14"/>
      <c r="I54" s="14"/>
      <c r="J54" s="14"/>
      <c r="K54" s="14"/>
      <c r="L54" s="14"/>
      <c r="M54" s="14"/>
      <c r="N54" s="14"/>
      <c r="O54" s="14"/>
      <c r="P54" s="14"/>
      <c r="Q54" s="14"/>
      <c r="R54" s="14"/>
      <c r="S54" s="14"/>
      <c r="T54" s="87"/>
      <c r="U54" s="31"/>
      <c r="V54" s="88"/>
      <c r="W54" s="11">
        <v>44761</v>
      </c>
      <c r="X54" s="14"/>
      <c r="Y54" s="14"/>
      <c r="Z54" s="14"/>
      <c r="AA54" s="14"/>
      <c r="AB54" s="14"/>
      <c r="AC54" s="14"/>
      <c r="AD54" s="14"/>
      <c r="AE54" s="14"/>
      <c r="AF54" s="14"/>
      <c r="AG54" s="14"/>
      <c r="AH54" s="14"/>
      <c r="AI54" s="14"/>
      <c r="AJ54" s="14"/>
      <c r="AK54" s="14"/>
      <c r="AL54" s="14"/>
      <c r="AM54" s="14"/>
      <c r="AN54" s="14"/>
      <c r="AO54" s="14"/>
    </row>
    <row r="55">
      <c r="A55" s="11">
        <v>44762</v>
      </c>
      <c r="B55" s="5">
        <v>1141.8</v>
      </c>
      <c r="C55" s="5"/>
      <c r="D55" s="5"/>
      <c r="E55" s="5"/>
      <c r="F55" s="5"/>
      <c r="G55" s="5"/>
      <c r="H55" s="5"/>
      <c r="I55" s="5"/>
      <c r="J55" s="5"/>
      <c r="K55" s="5"/>
      <c r="L55" s="5"/>
      <c r="M55" s="5"/>
      <c r="N55" s="5"/>
      <c r="O55" s="5"/>
      <c r="P55" s="5"/>
      <c r="Q55" s="5"/>
      <c r="R55" s="5"/>
      <c r="S55" s="5"/>
      <c r="T55" s="87"/>
      <c r="U55" s="31"/>
      <c r="V55" s="88"/>
      <c r="W55" s="11">
        <v>44762</v>
      </c>
      <c r="X55" s="5"/>
      <c r="Y55" s="5"/>
      <c r="Z55" s="5"/>
      <c r="AA55" s="5"/>
      <c r="AB55" s="5"/>
      <c r="AC55" s="5"/>
      <c r="AD55" s="5"/>
      <c r="AE55" s="5"/>
      <c r="AF55" s="5"/>
      <c r="AG55" s="5"/>
      <c r="AH55" s="5"/>
      <c r="AI55" s="5"/>
      <c r="AJ55" s="5"/>
      <c r="AK55" s="5"/>
      <c r="AL55" s="5"/>
      <c r="AM55" s="5"/>
      <c r="AN55" s="5"/>
      <c r="AO55" s="5"/>
    </row>
    <row r="56">
      <c r="A56" s="11">
        <v>44763</v>
      </c>
      <c r="B56" s="14"/>
      <c r="C56" s="14"/>
      <c r="D56" s="14"/>
      <c r="E56" s="14"/>
      <c r="F56" s="14"/>
      <c r="G56" s="14"/>
      <c r="H56" s="14"/>
      <c r="I56" s="14"/>
      <c r="J56" s="14"/>
      <c r="K56" s="14"/>
      <c r="L56" s="14"/>
      <c r="M56" s="14"/>
      <c r="N56" s="14"/>
      <c r="O56" s="14"/>
      <c r="P56" s="14"/>
      <c r="Q56" s="14"/>
      <c r="R56" s="14"/>
      <c r="S56" s="14"/>
      <c r="T56" s="87"/>
      <c r="U56" s="31"/>
      <c r="V56" s="88"/>
      <c r="W56" s="11">
        <v>44763</v>
      </c>
      <c r="X56" s="14"/>
      <c r="Y56" s="14"/>
      <c r="Z56" s="14"/>
      <c r="AA56" s="14"/>
      <c r="AB56" s="14"/>
      <c r="AC56" s="14"/>
      <c r="AD56" s="14"/>
      <c r="AE56" s="14"/>
      <c r="AF56" s="14"/>
      <c r="AG56" s="14"/>
      <c r="AH56" s="14"/>
      <c r="AI56" s="14"/>
      <c r="AJ56" s="14"/>
      <c r="AK56" s="14"/>
      <c r="AL56" s="14"/>
      <c r="AM56" s="14"/>
      <c r="AN56" s="14"/>
      <c r="AO56" s="14"/>
    </row>
    <row r="57">
      <c r="A57" s="11">
        <v>44764</v>
      </c>
      <c r="B57" s="5"/>
      <c r="C57" s="5"/>
      <c r="D57" s="5"/>
      <c r="E57" s="5"/>
      <c r="F57" s="5"/>
      <c r="G57" s="5"/>
      <c r="H57" s="5"/>
      <c r="I57" s="5"/>
      <c r="J57" s="5"/>
      <c r="K57" s="5"/>
      <c r="L57" s="5"/>
      <c r="M57" s="5"/>
      <c r="N57" s="5"/>
      <c r="O57" s="5"/>
      <c r="P57" s="5"/>
      <c r="Q57" s="5"/>
      <c r="R57" s="5"/>
      <c r="S57" s="5"/>
      <c r="T57" s="87"/>
      <c r="U57" s="31"/>
      <c r="V57" s="88"/>
      <c r="W57" s="11">
        <v>44764</v>
      </c>
      <c r="X57" s="5"/>
      <c r="Y57" s="5"/>
      <c r="Z57" s="5"/>
      <c r="AA57" s="5"/>
      <c r="AB57" s="5"/>
      <c r="AC57" s="5"/>
      <c r="AD57" s="5">
        <f>300+300</f>
        <v>600</v>
      </c>
      <c r="AE57" s="5"/>
      <c r="AF57" s="5"/>
      <c r="AG57" s="5"/>
      <c r="AH57" s="5"/>
      <c r="AI57" s="5"/>
      <c r="AJ57" s="5"/>
      <c r="AK57" s="5"/>
      <c r="AL57" s="5"/>
      <c r="AM57" s="5"/>
      <c r="AN57" s="5"/>
      <c r="AO57" s="5"/>
    </row>
    <row r="58">
      <c r="A58" s="11">
        <v>44765</v>
      </c>
      <c r="B58" s="14"/>
      <c r="C58" s="14"/>
      <c r="D58" s="14"/>
      <c r="E58" s="14"/>
      <c r="F58" s="14"/>
      <c r="G58" s="14"/>
      <c r="H58" s="14"/>
      <c r="I58" s="14"/>
      <c r="J58" s="14"/>
      <c r="K58" s="14"/>
      <c r="L58" s="14"/>
      <c r="M58" s="14"/>
      <c r="N58" s="14"/>
      <c r="O58" s="14"/>
      <c r="P58" s="14"/>
      <c r="Q58" s="14"/>
      <c r="R58" s="14"/>
      <c r="S58" s="14"/>
      <c r="T58" s="87"/>
      <c r="U58" s="31"/>
      <c r="V58" s="88"/>
      <c r="W58" s="11">
        <v>44765</v>
      </c>
      <c r="X58" s="14"/>
      <c r="Y58" s="14"/>
      <c r="Z58" s="14"/>
      <c r="AA58" s="14"/>
      <c r="AB58" s="14"/>
      <c r="AC58" s="14"/>
      <c r="AD58" s="14"/>
      <c r="AE58" s="14"/>
      <c r="AF58" s="14"/>
      <c r="AG58" s="14"/>
      <c r="AH58" s="14"/>
      <c r="AI58" s="14"/>
      <c r="AJ58" s="14"/>
      <c r="AK58" s="14"/>
      <c r="AL58" s="14"/>
      <c r="AM58" s="14"/>
      <c r="AN58" s="14"/>
      <c r="AO58" s="14"/>
    </row>
    <row r="59">
      <c r="A59" s="11">
        <v>44766</v>
      </c>
      <c r="B59" s="5"/>
      <c r="C59" s="5"/>
      <c r="D59" s="5"/>
      <c r="E59" s="5"/>
      <c r="F59" s="5"/>
      <c r="G59" s="5"/>
      <c r="H59" s="5"/>
      <c r="I59" s="5"/>
      <c r="J59" s="5"/>
      <c r="K59" s="5"/>
      <c r="L59" s="5"/>
      <c r="M59" s="5"/>
      <c r="N59" s="5"/>
      <c r="O59" s="5"/>
      <c r="P59" s="5"/>
      <c r="Q59" s="5"/>
      <c r="R59" s="5"/>
      <c r="S59" s="5"/>
      <c r="T59" s="87"/>
      <c r="U59" s="31"/>
      <c r="V59" s="88"/>
      <c r="W59" s="11">
        <v>44766</v>
      </c>
      <c r="X59" s="5"/>
      <c r="Y59" s="5"/>
      <c r="Z59" s="5"/>
      <c r="AA59" s="5"/>
      <c r="AB59" s="5"/>
      <c r="AC59" s="5"/>
      <c r="AD59" s="5"/>
      <c r="AE59" s="5"/>
      <c r="AF59" s="5"/>
      <c r="AG59" s="5"/>
      <c r="AH59" s="5"/>
      <c r="AI59" s="5"/>
      <c r="AJ59" s="5"/>
      <c r="AK59" s="5"/>
      <c r="AL59" s="5"/>
      <c r="AM59" s="5"/>
      <c r="AN59" s="5"/>
      <c r="AO59" s="5"/>
    </row>
    <row r="60">
      <c r="A60" s="11">
        <v>44767</v>
      </c>
      <c r="B60" s="14"/>
      <c r="C60" s="14"/>
      <c r="D60" s="14"/>
      <c r="E60" s="14"/>
      <c r="F60" s="14"/>
      <c r="G60" s="14"/>
      <c r="H60" s="14"/>
      <c r="I60" s="14"/>
      <c r="J60" s="14"/>
      <c r="K60" s="14"/>
      <c r="L60" s="14"/>
      <c r="M60" s="14"/>
      <c r="N60" s="14"/>
      <c r="O60" s="14"/>
      <c r="P60" s="14"/>
      <c r="Q60" s="14"/>
      <c r="R60" s="14"/>
      <c r="S60" s="14"/>
      <c r="T60" s="87"/>
      <c r="U60" s="31"/>
      <c r="V60" s="88"/>
      <c r="W60" s="11">
        <v>44767</v>
      </c>
      <c r="X60" s="14"/>
      <c r="Y60" s="14"/>
      <c r="Z60" s="14"/>
      <c r="AA60" s="14"/>
      <c r="AB60" s="14"/>
      <c r="AC60" s="14"/>
      <c r="AD60" s="14"/>
      <c r="AE60" s="14"/>
      <c r="AF60" s="14"/>
      <c r="AG60" s="14"/>
      <c r="AH60" s="14"/>
      <c r="AI60" s="14"/>
      <c r="AJ60" s="14"/>
      <c r="AK60" s="14"/>
      <c r="AL60" s="14"/>
      <c r="AM60" s="14"/>
      <c r="AN60" s="14"/>
      <c r="AO60" s="14"/>
    </row>
    <row r="61">
      <c r="A61" s="11">
        <v>44768</v>
      </c>
      <c r="B61" s="5"/>
      <c r="C61" s="5"/>
      <c r="D61" s="5"/>
      <c r="E61" s="5"/>
      <c r="F61" s="5"/>
      <c r="G61" s="5"/>
      <c r="H61" s="5"/>
      <c r="I61" s="5"/>
      <c r="J61" s="5"/>
      <c r="K61" s="5"/>
      <c r="L61" s="5"/>
      <c r="M61" s="5"/>
      <c r="N61" s="5"/>
      <c r="O61" s="5"/>
      <c r="P61" s="5"/>
      <c r="Q61" s="5"/>
      <c r="R61" s="5"/>
      <c r="S61" s="5"/>
      <c r="T61" s="87"/>
      <c r="U61" s="31"/>
      <c r="V61" s="88"/>
      <c r="W61" s="11">
        <v>44768</v>
      </c>
      <c r="X61" s="5"/>
      <c r="Y61" s="5"/>
      <c r="Z61" s="5"/>
      <c r="AA61" s="5"/>
      <c r="AB61" s="5"/>
      <c r="AC61" s="5"/>
      <c r="AD61" s="5"/>
      <c r="AE61" s="5"/>
      <c r="AF61" s="5"/>
      <c r="AG61" s="5"/>
      <c r="AH61" s="5"/>
      <c r="AI61" s="5"/>
      <c r="AJ61" s="5"/>
      <c r="AK61" s="5"/>
      <c r="AL61" s="5"/>
      <c r="AM61" s="5"/>
      <c r="AN61" s="5"/>
      <c r="AO61" s="5"/>
    </row>
    <row r="62">
      <c r="A62" s="11">
        <v>44769</v>
      </c>
      <c r="B62" s="14"/>
      <c r="C62" s="14"/>
      <c r="D62" s="14"/>
      <c r="E62" s="14"/>
      <c r="F62" s="14"/>
      <c r="G62" s="14"/>
      <c r="H62" s="14"/>
      <c r="I62" s="14"/>
      <c r="J62" s="14"/>
      <c r="K62" s="14"/>
      <c r="L62" s="14"/>
      <c r="M62" s="14"/>
      <c r="N62" s="14"/>
      <c r="O62" s="14"/>
      <c r="P62" s="14"/>
      <c r="Q62" s="14"/>
      <c r="R62" s="14"/>
      <c r="S62" s="14"/>
      <c r="T62" s="87"/>
      <c r="U62" s="31"/>
      <c r="V62" s="88"/>
      <c r="W62" s="11">
        <v>44769</v>
      </c>
      <c r="X62" s="14"/>
      <c r="Y62" s="14"/>
      <c r="Z62" s="14"/>
      <c r="AA62" s="14"/>
      <c r="AB62" s="14"/>
      <c r="AC62" s="14"/>
      <c r="AD62" s="14"/>
      <c r="AE62" s="14"/>
      <c r="AF62" s="14"/>
      <c r="AG62" s="14"/>
      <c r="AH62" s="14"/>
      <c r="AI62" s="14"/>
      <c r="AJ62" s="14"/>
      <c r="AK62" s="14"/>
      <c r="AL62" s="14"/>
      <c r="AM62" s="14"/>
      <c r="AN62" s="14"/>
      <c r="AO62" s="14"/>
    </row>
    <row r="63">
      <c r="A63" s="11">
        <v>44770</v>
      </c>
      <c r="B63" s="5"/>
      <c r="C63" s="5"/>
      <c r="D63" s="5"/>
      <c r="E63" s="5"/>
      <c r="F63" s="5"/>
      <c r="G63" s="5"/>
      <c r="H63" s="5"/>
      <c r="I63" s="5"/>
      <c r="J63" s="5"/>
      <c r="K63" s="5"/>
      <c r="L63" s="5"/>
      <c r="M63" s="5"/>
      <c r="N63" s="5"/>
      <c r="O63" s="5"/>
      <c r="P63" s="5"/>
      <c r="Q63" s="5"/>
      <c r="R63" s="48"/>
      <c r="S63" s="5"/>
      <c r="T63" s="87"/>
      <c r="U63" s="31"/>
      <c r="V63" s="88"/>
      <c r="W63" s="11">
        <v>44770</v>
      </c>
      <c r="X63" s="5">
        <v>916.98000000000002</v>
      </c>
      <c r="Y63" s="5"/>
      <c r="Z63" s="5"/>
      <c r="AA63" s="5"/>
      <c r="AB63" s="5"/>
      <c r="AC63" s="5"/>
      <c r="AD63" s="5"/>
      <c r="AE63" s="5"/>
      <c r="AF63" s="5"/>
      <c r="AG63" s="5"/>
      <c r="AH63" s="5"/>
      <c r="AI63" s="5"/>
      <c r="AJ63" s="5"/>
      <c r="AK63" s="5"/>
      <c r="AL63" s="5"/>
      <c r="AM63" s="5"/>
      <c r="AN63" s="48"/>
      <c r="AO63" s="5"/>
    </row>
    <row r="64">
      <c r="A64" s="11">
        <v>44771</v>
      </c>
      <c r="B64" s="22"/>
      <c r="C64" s="22"/>
      <c r="D64" s="22"/>
      <c r="E64" s="22"/>
      <c r="F64" s="22"/>
      <c r="G64" s="22"/>
      <c r="H64" s="22"/>
      <c r="I64" s="22"/>
      <c r="J64" s="14"/>
      <c r="K64" s="14"/>
      <c r="L64" s="14"/>
      <c r="M64" s="14"/>
      <c r="N64" s="14"/>
      <c r="O64" s="14"/>
      <c r="P64" s="14"/>
      <c r="Q64" s="14"/>
      <c r="R64" s="80"/>
      <c r="S64" s="14"/>
      <c r="T64" s="87"/>
      <c r="U64" s="31"/>
      <c r="V64" s="88"/>
      <c r="W64" s="11">
        <v>44771</v>
      </c>
      <c r="X64" s="22"/>
      <c r="Y64" s="22"/>
      <c r="Z64" s="22"/>
      <c r="AA64" s="22"/>
      <c r="AB64" s="22"/>
      <c r="AC64" s="22"/>
      <c r="AD64" s="22"/>
      <c r="AE64" s="22"/>
      <c r="AF64" s="14"/>
      <c r="AG64" s="14"/>
      <c r="AH64" s="14"/>
      <c r="AI64" s="14"/>
      <c r="AJ64" s="14"/>
      <c r="AK64" s="14"/>
      <c r="AL64" s="14"/>
      <c r="AM64" s="14"/>
      <c r="AN64" s="80"/>
      <c r="AO64" s="14"/>
    </row>
    <row r="65">
      <c r="A65" s="11">
        <v>44772</v>
      </c>
      <c r="B65" s="5"/>
      <c r="C65" s="5"/>
      <c r="D65" s="5"/>
      <c r="E65" s="5"/>
      <c r="F65" s="5"/>
      <c r="G65" s="5"/>
      <c r="H65" s="5"/>
      <c r="I65" s="5"/>
      <c r="J65" s="5"/>
      <c r="K65" s="5"/>
      <c r="L65" s="5"/>
      <c r="M65" s="5"/>
      <c r="N65" s="5"/>
      <c r="O65" s="5"/>
      <c r="P65" s="5"/>
      <c r="Q65" s="5"/>
      <c r="R65" s="48"/>
      <c r="S65" s="5"/>
      <c r="T65" s="87"/>
      <c r="U65" s="31"/>
      <c r="V65" s="88"/>
      <c r="W65" s="11">
        <v>44772</v>
      </c>
      <c r="X65" s="5"/>
      <c r="Y65" s="5"/>
      <c r="Z65" s="5"/>
      <c r="AA65" s="5"/>
      <c r="AB65" s="5"/>
      <c r="AC65" s="5"/>
      <c r="AD65" s="5"/>
      <c r="AE65" s="5"/>
      <c r="AF65" s="5"/>
      <c r="AG65" s="5"/>
      <c r="AH65" s="5"/>
      <c r="AI65" s="5"/>
      <c r="AJ65" s="5"/>
      <c r="AK65" s="5"/>
      <c r="AL65" s="5"/>
      <c r="AM65" s="5"/>
      <c r="AN65" s="48"/>
      <c r="AO65" s="5"/>
    </row>
    <row r="66">
      <c r="A66" s="11">
        <v>44773</v>
      </c>
      <c r="B66" s="22"/>
      <c r="C66" s="22"/>
      <c r="D66" s="22"/>
      <c r="E66" s="22">
        <f>730.59+730.59</f>
        <v>1461.1800000000001</v>
      </c>
      <c r="F66" s="22"/>
      <c r="G66" s="22"/>
      <c r="H66" s="22"/>
      <c r="I66" s="22"/>
      <c r="J66" s="14"/>
      <c r="K66" s="14"/>
      <c r="L66" s="14"/>
      <c r="M66" s="14"/>
      <c r="N66" s="14"/>
      <c r="O66" s="14"/>
      <c r="P66" s="14"/>
      <c r="Q66" s="14"/>
      <c r="R66" s="80"/>
      <c r="S66" s="14"/>
      <c r="T66" s="87"/>
      <c r="U66" s="31"/>
      <c r="V66" s="88"/>
      <c r="W66" s="11">
        <v>44773</v>
      </c>
      <c r="X66" s="22"/>
      <c r="Y66" s="22"/>
      <c r="Z66" s="22"/>
      <c r="AA66" s="22"/>
      <c r="AB66" s="22"/>
      <c r="AC66" s="22"/>
      <c r="AD66" s="22"/>
      <c r="AE66" s="22"/>
      <c r="AF66" s="14"/>
      <c r="AG66" s="14"/>
      <c r="AH66" s="14"/>
      <c r="AI66" s="14"/>
      <c r="AJ66" s="14"/>
      <c r="AK66" s="14"/>
      <c r="AL66" s="14"/>
      <c r="AM66" s="14"/>
      <c r="AN66" s="80"/>
      <c r="AO66" s="14"/>
    </row>
    <row r="67">
      <c r="A67" s="74"/>
      <c r="B67" s="75">
        <f t="shared" ref="B67:R67" si="124">SUM(B36:B66)</f>
        <v>30434.939999999999</v>
      </c>
      <c r="C67" s="75">
        <f t="shared" si="124"/>
        <v>0</v>
      </c>
      <c r="D67" s="75">
        <f t="shared" si="124"/>
        <v>0</v>
      </c>
      <c r="E67" s="75">
        <f t="shared" si="124"/>
        <v>1463.49</v>
      </c>
      <c r="F67" s="75">
        <f t="shared" si="124"/>
        <v>0</v>
      </c>
      <c r="G67" s="75">
        <f t="shared" si="124"/>
        <v>0</v>
      </c>
      <c r="H67" s="75">
        <f t="shared" si="124"/>
        <v>0</v>
      </c>
      <c r="I67" s="75">
        <f t="shared" si="124"/>
        <v>295</v>
      </c>
      <c r="J67" s="75">
        <f t="shared" si="124"/>
        <v>0</v>
      </c>
      <c r="K67" s="75">
        <f t="shared" si="124"/>
        <v>0</v>
      </c>
      <c r="L67" s="75">
        <f t="shared" si="124"/>
        <v>0</v>
      </c>
      <c r="M67" s="75">
        <f t="shared" si="124"/>
        <v>0</v>
      </c>
      <c r="N67" s="75">
        <f t="shared" si="124"/>
        <v>0</v>
      </c>
      <c r="O67" s="75">
        <f t="shared" si="124"/>
        <v>0</v>
      </c>
      <c r="P67" s="75">
        <f t="shared" si="124"/>
        <v>0</v>
      </c>
      <c r="Q67" s="75">
        <f t="shared" si="124"/>
        <v>0</v>
      </c>
      <c r="R67" s="75">
        <f t="shared" si="124"/>
        <v>0</v>
      </c>
      <c r="S67" s="75">
        <f>SUM(B67:R67)</f>
        <v>32193.43</v>
      </c>
      <c r="T67" s="87"/>
      <c r="U67" s="31"/>
      <c r="V67" s="88"/>
      <c r="W67" s="74"/>
      <c r="X67" s="75">
        <f t="shared" ref="X67:AN67" si="125">SUM(X36:X66)</f>
        <v>20453.470000000001</v>
      </c>
      <c r="Y67" s="75">
        <f t="shared" si="125"/>
        <v>0</v>
      </c>
      <c r="Z67" s="75">
        <f t="shared" si="125"/>
        <v>0</v>
      </c>
      <c r="AA67" s="75">
        <f t="shared" si="125"/>
        <v>94.109999999999999</v>
      </c>
      <c r="AB67" s="75">
        <f t="shared" si="125"/>
        <v>0</v>
      </c>
      <c r="AC67" s="75">
        <f t="shared" si="125"/>
        <v>0</v>
      </c>
      <c r="AD67" s="75">
        <f t="shared" si="125"/>
        <v>2200</v>
      </c>
      <c r="AE67" s="75">
        <f t="shared" si="125"/>
        <v>100</v>
      </c>
      <c r="AF67" s="75">
        <f t="shared" si="125"/>
        <v>0</v>
      </c>
      <c r="AG67" s="75">
        <f t="shared" si="125"/>
        <v>0</v>
      </c>
      <c r="AH67" s="75">
        <f t="shared" si="125"/>
        <v>0</v>
      </c>
      <c r="AI67" s="75">
        <f t="shared" si="125"/>
        <v>0</v>
      </c>
      <c r="AJ67" s="75">
        <f t="shared" si="125"/>
        <v>0</v>
      </c>
      <c r="AK67" s="75">
        <f t="shared" si="125"/>
        <v>0</v>
      </c>
      <c r="AL67" s="75">
        <f t="shared" si="125"/>
        <v>0</v>
      </c>
      <c r="AM67" s="75">
        <f t="shared" si="125"/>
        <v>0</v>
      </c>
      <c r="AN67" s="75">
        <f t="shared" si="125"/>
        <v>0</v>
      </c>
      <c r="AO67" s="75">
        <f>SUM(X67:AN67)</f>
        <v>22847.580000000002</v>
      </c>
    </row>
    <row r="68">
      <c r="A68" s="84"/>
      <c r="B68" s="84"/>
      <c r="C68" s="84"/>
      <c r="D68" s="84"/>
      <c r="E68" s="84"/>
      <c r="F68" s="84"/>
      <c r="G68" s="84"/>
      <c r="H68" s="84"/>
      <c r="I68" s="84"/>
      <c r="J68" s="84"/>
      <c r="K68" s="84"/>
      <c r="L68" s="84"/>
      <c r="M68" s="84"/>
      <c r="N68" s="84"/>
      <c r="O68" s="84"/>
      <c r="P68" s="84"/>
      <c r="Q68" s="84"/>
      <c r="R68" s="84"/>
      <c r="S68" s="84"/>
      <c r="T68" s="31"/>
      <c r="U68" s="31"/>
      <c r="V68" s="31"/>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row>
    <row r="70">
      <c r="A70" s="5" t="s">
        <v>68</v>
      </c>
      <c r="B70" s="71">
        <f>21000-344+2039+(23000-23000)-344-344+8164.1-4600-3300+(3000-3000)+80000+2000+(5500-5500)+(5650-5100)+1000+300</f>
        <v>106121.10000000001</v>
      </c>
      <c r="C70" s="5"/>
      <c r="D70" s="5"/>
      <c r="E70" s="5"/>
      <c r="F70" s="5"/>
      <c r="G70" s="5"/>
      <c r="H70" s="5"/>
      <c r="I70" s="5"/>
      <c r="J70" s="5"/>
      <c r="K70" s="5"/>
      <c r="L70" s="5"/>
      <c r="M70" s="5"/>
      <c r="N70" s="5"/>
      <c r="O70" s="5"/>
      <c r="P70" s="5"/>
      <c r="Q70" s="5"/>
      <c r="R70" s="5"/>
      <c r="S70" s="5"/>
    </row>
    <row r="71">
      <c r="A71" s="5" t="s">
        <v>76</v>
      </c>
      <c r="B71" s="5"/>
      <c r="C71" s="5"/>
      <c r="D71" s="5"/>
      <c r="E71" s="5"/>
      <c r="F71" s="5"/>
      <c r="G71" s="5"/>
      <c r="H71" s="5"/>
      <c r="I71" s="5"/>
      <c r="J71" s="5"/>
      <c r="K71" s="5"/>
      <c r="L71" s="5"/>
      <c r="M71" s="5"/>
      <c r="N71" s="5"/>
      <c r="O71" s="5"/>
      <c r="P71" s="5"/>
      <c r="Q71" s="5"/>
      <c r="R71" s="5"/>
      <c r="S71" s="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3" activeCellId="0" sqref="B33"/>
    </sheetView>
  </sheetViews>
  <sheetFormatPr defaultRowHeight="14.25"/>
  <cols>
    <col bestFit="1" customWidth="1" min="1" max="1" width="11"/>
    <col bestFit="1" customWidth="1" min="2" max="2" width="12.28515625"/>
    <col bestFit="1" customWidth="1" min="7" max="7" width="11.140625"/>
    <col bestFit="1" customWidth="1" min="9" max="9" width="18.5703125"/>
    <col bestFit="1" customWidth="1" min="10" max="10" width="10.7109375"/>
    <col bestFit="1" customWidth="1" min="15" max="15" width="16.5703125"/>
    <col bestFit="1" customWidth="1" min="16" max="16" width="12.570312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
      <c r="R1" s="1"/>
      <c r="S1" s="1"/>
    </row>
    <row r="2">
      <c r="A2" s="11">
        <v>43678</v>
      </c>
      <c r="B2" s="3">
        <v>2170</v>
      </c>
      <c r="C2" s="3">
        <v>836.49000000000001</v>
      </c>
      <c r="D2" s="3">
        <v>359</v>
      </c>
      <c r="E2" s="3"/>
      <c r="F2" s="3"/>
      <c r="G2" s="3"/>
      <c r="H2" s="3"/>
      <c r="I2" s="3"/>
      <c r="J2" s="3"/>
      <c r="K2" s="3">
        <v>1200</v>
      </c>
      <c r="L2" s="3"/>
      <c r="M2" s="3"/>
      <c r="N2" s="3">
        <v>850</v>
      </c>
      <c r="O2" s="3"/>
      <c r="P2" s="3"/>
      <c r="Q2" s="3"/>
      <c r="R2" s="3"/>
      <c r="S2" s="3"/>
    </row>
    <row r="3">
      <c r="A3" s="11">
        <v>43679</v>
      </c>
      <c r="B3" s="5"/>
      <c r="C3" s="5"/>
      <c r="D3" s="5"/>
      <c r="E3" s="5"/>
      <c r="F3" s="5"/>
      <c r="G3" s="5"/>
      <c r="H3" s="5"/>
      <c r="I3" s="5"/>
      <c r="J3" s="5"/>
      <c r="K3" s="5"/>
      <c r="L3" s="5"/>
      <c r="M3" s="5"/>
      <c r="N3" s="5"/>
      <c r="O3" s="5"/>
      <c r="P3" s="5"/>
      <c r="Q3" s="5"/>
      <c r="R3" s="5"/>
      <c r="S3" s="5"/>
    </row>
    <row r="4">
      <c r="A4" s="11">
        <v>43680</v>
      </c>
      <c r="B4" s="3"/>
      <c r="C4" s="3"/>
      <c r="D4" s="3"/>
      <c r="E4" s="3"/>
      <c r="F4" s="3"/>
      <c r="G4" s="3"/>
      <c r="H4" s="3"/>
      <c r="I4" s="3"/>
      <c r="J4" s="3"/>
      <c r="K4" s="3">
        <v>9855.5100000000002</v>
      </c>
      <c r="L4" s="3"/>
      <c r="M4" s="3">
        <v>275</v>
      </c>
      <c r="N4" s="3"/>
      <c r="O4" s="3"/>
      <c r="P4" s="3"/>
      <c r="Q4" s="3"/>
      <c r="R4" s="3"/>
      <c r="S4" s="3"/>
    </row>
    <row r="5">
      <c r="A5" s="11">
        <v>43681</v>
      </c>
      <c r="B5" s="5"/>
      <c r="C5" s="5"/>
      <c r="D5" s="5">
        <v>300</v>
      </c>
      <c r="E5" s="5"/>
      <c r="F5" s="5"/>
      <c r="G5" s="5"/>
      <c r="H5" s="5"/>
      <c r="I5" s="5"/>
      <c r="J5" s="5"/>
      <c r="K5" s="5"/>
      <c r="L5" s="5"/>
      <c r="M5" s="5"/>
      <c r="N5" s="5"/>
      <c r="O5" s="5"/>
      <c r="P5" s="5"/>
      <c r="Q5" s="5"/>
      <c r="R5" s="5"/>
      <c r="S5" s="5"/>
    </row>
    <row r="6">
      <c r="A6" s="11">
        <v>43682</v>
      </c>
      <c r="B6" s="3"/>
      <c r="C6" s="3"/>
      <c r="D6" s="3">
        <v>185</v>
      </c>
      <c r="E6" s="3"/>
      <c r="F6" s="3"/>
      <c r="G6" s="3"/>
      <c r="H6" s="3"/>
      <c r="I6" s="3"/>
      <c r="J6" s="3"/>
      <c r="K6" s="3"/>
      <c r="L6" s="3"/>
      <c r="M6" s="3"/>
      <c r="N6" s="3"/>
      <c r="O6" s="3"/>
      <c r="P6" s="3"/>
      <c r="Q6" s="3"/>
      <c r="R6" s="3"/>
      <c r="S6" s="3"/>
    </row>
    <row r="7">
      <c r="A7" s="11">
        <v>43683</v>
      </c>
      <c r="B7" s="5"/>
      <c r="C7" s="5">
        <v>167.44</v>
      </c>
      <c r="D7" s="5">
        <v>179.99000000000001</v>
      </c>
      <c r="E7" s="5"/>
      <c r="F7" s="5"/>
      <c r="G7" s="5"/>
      <c r="H7" s="5"/>
      <c r="I7" s="5"/>
      <c r="J7" s="5"/>
      <c r="K7" s="5"/>
      <c r="L7" s="5"/>
      <c r="M7" s="5">
        <v>275</v>
      </c>
      <c r="N7" s="5"/>
      <c r="O7" s="5"/>
      <c r="P7" s="5"/>
      <c r="Q7" s="5"/>
      <c r="R7" s="5"/>
      <c r="S7" s="5"/>
    </row>
    <row r="8">
      <c r="A8" s="11">
        <v>43684</v>
      </c>
      <c r="B8" s="3"/>
      <c r="C8" s="3"/>
      <c r="D8" s="3"/>
      <c r="E8" s="3"/>
      <c r="F8" s="3"/>
      <c r="G8" s="3"/>
      <c r="H8" s="3"/>
      <c r="I8" s="3"/>
      <c r="J8" s="3"/>
      <c r="K8" s="3"/>
      <c r="L8" s="3"/>
      <c r="M8" s="3"/>
      <c r="N8" s="3"/>
      <c r="O8" s="3"/>
      <c r="P8" s="3"/>
      <c r="Q8" s="3"/>
      <c r="R8" s="3"/>
      <c r="S8" s="3"/>
    </row>
    <row r="9">
      <c r="A9" s="11">
        <v>43685</v>
      </c>
      <c r="B9" s="5"/>
      <c r="C9" s="5">
        <v>265.69999999999999</v>
      </c>
      <c r="D9" s="5"/>
      <c r="E9" s="5"/>
      <c r="F9" s="5"/>
      <c r="G9" s="5"/>
      <c r="H9" s="5"/>
      <c r="I9" s="5"/>
      <c r="J9" s="5"/>
      <c r="K9" s="5"/>
      <c r="L9" s="5"/>
      <c r="M9" s="5"/>
      <c r="N9" s="5"/>
      <c r="O9" s="5"/>
      <c r="P9" s="5"/>
      <c r="Q9" s="5"/>
      <c r="R9" s="5"/>
      <c r="S9" s="5"/>
    </row>
    <row r="10">
      <c r="A10" s="11">
        <v>43686</v>
      </c>
      <c r="B10" s="3"/>
      <c r="C10" s="3">
        <f>929.1+55.9</f>
        <v>985</v>
      </c>
      <c r="D10" s="3"/>
      <c r="E10" s="3"/>
      <c r="F10" s="3"/>
      <c r="G10" s="3"/>
      <c r="H10" s="3"/>
      <c r="I10" s="3"/>
      <c r="J10" s="3"/>
      <c r="K10" s="3"/>
      <c r="L10" s="3"/>
      <c r="M10" s="3"/>
      <c r="N10" s="3"/>
      <c r="O10" s="3"/>
      <c r="P10" s="3"/>
      <c r="Q10" s="3"/>
      <c r="R10" s="3"/>
      <c r="S10" s="3"/>
    </row>
    <row r="11">
      <c r="A11" s="11">
        <v>43687</v>
      </c>
      <c r="B11" s="5">
        <v>2869.8000000000002</v>
      </c>
      <c r="C11" s="5"/>
      <c r="D11" s="5"/>
      <c r="E11" s="5"/>
      <c r="F11" s="5"/>
      <c r="G11" s="5"/>
      <c r="H11" s="5"/>
      <c r="I11" s="5"/>
      <c r="J11" s="5"/>
      <c r="K11" s="5"/>
      <c r="L11" s="5">
        <v>63</v>
      </c>
      <c r="M11" s="5"/>
      <c r="N11" s="5">
        <v>2000</v>
      </c>
      <c r="O11" s="5"/>
      <c r="P11" s="5"/>
      <c r="Q11" s="5"/>
      <c r="R11" s="5"/>
      <c r="S11" s="5"/>
    </row>
    <row r="12">
      <c r="A12" s="11">
        <v>43688</v>
      </c>
      <c r="B12" s="3">
        <v>2676</v>
      </c>
      <c r="C12" s="3"/>
      <c r="D12" s="3"/>
      <c r="E12" s="3"/>
      <c r="F12" s="3"/>
      <c r="G12" s="3"/>
      <c r="H12" s="3"/>
      <c r="I12" s="3"/>
      <c r="J12" s="3"/>
      <c r="K12" s="3"/>
      <c r="L12" s="3"/>
      <c r="M12" s="3"/>
      <c r="N12" s="3"/>
      <c r="O12" s="3"/>
      <c r="P12" s="3"/>
      <c r="Q12" s="3"/>
      <c r="R12" s="3"/>
      <c r="S12" s="3"/>
    </row>
    <row r="13">
      <c r="A13" s="11">
        <v>43689</v>
      </c>
      <c r="B13" s="5"/>
      <c r="C13" s="5">
        <v>229.69999999999999</v>
      </c>
      <c r="D13" s="5">
        <v>261</v>
      </c>
      <c r="E13" s="5"/>
      <c r="F13" s="5"/>
      <c r="G13" s="5"/>
      <c r="H13" s="5">
        <v>400</v>
      </c>
      <c r="I13" s="5"/>
      <c r="J13" s="5"/>
      <c r="K13" s="5"/>
      <c r="L13" s="5"/>
      <c r="M13" s="5"/>
      <c r="N13" s="5"/>
      <c r="O13" s="5"/>
      <c r="P13" s="5"/>
      <c r="Q13" s="5"/>
      <c r="R13" s="5"/>
      <c r="S13" s="5"/>
    </row>
    <row r="14">
      <c r="A14" s="11">
        <v>43690</v>
      </c>
      <c r="B14" s="3"/>
      <c r="C14" s="3">
        <v>79</v>
      </c>
      <c r="D14" s="3"/>
      <c r="E14" s="3"/>
      <c r="F14" s="3"/>
      <c r="G14" s="3"/>
      <c r="H14" s="3"/>
      <c r="I14" s="3"/>
      <c r="J14" s="3"/>
      <c r="K14" s="3"/>
      <c r="L14" s="3"/>
      <c r="M14" s="3"/>
      <c r="N14" s="3"/>
      <c r="O14" s="3"/>
      <c r="P14" s="3"/>
      <c r="Q14" s="3"/>
      <c r="R14" s="3"/>
      <c r="S14" s="3"/>
    </row>
    <row r="15">
      <c r="A15" s="11">
        <v>43691</v>
      </c>
      <c r="B15" s="5"/>
      <c r="C15" s="5"/>
      <c r="D15" s="5"/>
      <c r="E15" s="5"/>
      <c r="F15" s="5"/>
      <c r="G15" s="5"/>
      <c r="H15" s="5"/>
      <c r="I15" s="5"/>
      <c r="J15" s="5"/>
      <c r="K15" s="5"/>
      <c r="L15" s="5"/>
      <c r="M15" s="5"/>
      <c r="N15" s="5"/>
      <c r="O15" s="5"/>
      <c r="P15" s="5"/>
      <c r="Q15" s="5"/>
      <c r="R15" s="5"/>
      <c r="S15" s="5"/>
    </row>
    <row r="16">
      <c r="A16" s="11">
        <v>43692</v>
      </c>
      <c r="B16" s="3">
        <v>1842.5</v>
      </c>
      <c r="C16" s="3">
        <v>249</v>
      </c>
      <c r="D16" s="3"/>
      <c r="E16" s="3"/>
      <c r="F16" s="3"/>
      <c r="G16" s="3"/>
      <c r="H16" s="3"/>
      <c r="I16" s="3"/>
      <c r="J16" s="3"/>
      <c r="K16" s="3"/>
      <c r="L16" s="3"/>
      <c r="M16" s="3"/>
      <c r="N16" s="3"/>
      <c r="O16" s="3"/>
      <c r="P16" s="3"/>
      <c r="Q16" s="3"/>
      <c r="R16" s="3"/>
      <c r="S16" s="3"/>
    </row>
    <row r="17">
      <c r="A17" s="11">
        <v>43693</v>
      </c>
      <c r="B17" s="5">
        <v>-741</v>
      </c>
      <c r="C17" s="5">
        <v>216.27000000000001</v>
      </c>
      <c r="D17" s="5"/>
      <c r="E17" s="5"/>
      <c r="F17" s="5"/>
      <c r="G17" s="5"/>
      <c r="H17" s="5"/>
      <c r="I17" s="5"/>
      <c r="J17" s="5"/>
      <c r="K17" s="5"/>
      <c r="L17" s="5"/>
      <c r="M17" s="5"/>
      <c r="N17" s="5"/>
      <c r="O17" s="5"/>
      <c r="P17" s="5"/>
      <c r="Q17" s="5"/>
      <c r="R17" s="5"/>
      <c r="S17" s="5"/>
    </row>
    <row r="18">
      <c r="A18" s="11">
        <v>43694</v>
      </c>
      <c r="B18" s="3"/>
      <c r="C18" s="3">
        <v>105.87</v>
      </c>
      <c r="D18" s="3">
        <f>99+335</f>
        <v>434</v>
      </c>
      <c r="E18" s="3"/>
      <c r="F18" s="3"/>
      <c r="G18" s="3"/>
      <c r="H18" s="3"/>
      <c r="I18" s="3"/>
      <c r="J18" s="3"/>
      <c r="K18" s="3"/>
      <c r="L18" s="3"/>
      <c r="M18" s="3"/>
      <c r="N18" s="3"/>
      <c r="O18" s="3">
        <v>800</v>
      </c>
      <c r="P18" s="3"/>
      <c r="Q18" s="3"/>
      <c r="R18" s="3"/>
      <c r="S18" s="3"/>
    </row>
    <row r="19">
      <c r="A19" s="11">
        <v>43695</v>
      </c>
      <c r="B19" s="5"/>
      <c r="C19" s="5">
        <f>131.8+104.98</f>
        <v>236.78000000000003</v>
      </c>
      <c r="D19" s="5"/>
      <c r="E19" s="5"/>
      <c r="F19" s="5"/>
      <c r="G19" s="5"/>
      <c r="H19" s="5"/>
      <c r="I19" s="5"/>
      <c r="J19" s="5"/>
      <c r="K19" s="5"/>
      <c r="L19" s="5"/>
      <c r="M19" s="5"/>
      <c r="N19" s="5"/>
      <c r="O19" s="5"/>
      <c r="P19" s="5">
        <v>660</v>
      </c>
      <c r="Q19" s="5"/>
      <c r="R19" s="5"/>
      <c r="S19" s="5"/>
    </row>
    <row r="20">
      <c r="A20" s="11">
        <v>43696</v>
      </c>
      <c r="B20" s="3">
        <v>110</v>
      </c>
      <c r="C20" s="3"/>
      <c r="D20" s="3"/>
      <c r="E20" s="3"/>
      <c r="F20" s="3"/>
      <c r="G20" s="3"/>
      <c r="H20" s="3"/>
      <c r="I20" s="3">
        <v>180</v>
      </c>
      <c r="J20" s="3"/>
      <c r="K20" s="3"/>
      <c r="L20" s="3"/>
      <c r="M20" s="3"/>
      <c r="N20" s="3"/>
      <c r="O20" s="3"/>
      <c r="P20" s="3"/>
      <c r="Q20" s="3"/>
      <c r="R20" s="3"/>
      <c r="S20" s="3"/>
    </row>
    <row r="21">
      <c r="A21" s="11">
        <v>43697</v>
      </c>
      <c r="B21" s="5"/>
      <c r="C21" s="5">
        <v>419.5</v>
      </c>
      <c r="D21" s="5"/>
      <c r="E21" s="5"/>
      <c r="F21" s="5"/>
      <c r="G21" s="5"/>
      <c r="H21" s="5"/>
      <c r="I21" s="5"/>
      <c r="J21" s="5"/>
      <c r="K21" s="5"/>
      <c r="L21" s="5"/>
      <c r="M21" s="5"/>
      <c r="N21" s="5"/>
      <c r="O21" s="5"/>
      <c r="P21" s="5"/>
      <c r="Q21" s="5"/>
      <c r="R21" s="5"/>
      <c r="S21" s="5"/>
    </row>
    <row r="22">
      <c r="A22" s="11">
        <v>43698</v>
      </c>
      <c r="B22" s="3"/>
      <c r="C22" s="3"/>
      <c r="D22" s="3"/>
      <c r="E22" s="3"/>
      <c r="F22" s="3"/>
      <c r="G22" s="3"/>
      <c r="H22" s="3"/>
      <c r="I22" s="3"/>
      <c r="J22" s="3"/>
      <c r="K22" s="3"/>
      <c r="L22" s="3"/>
      <c r="M22" s="3"/>
      <c r="N22" s="3"/>
      <c r="O22" s="3"/>
      <c r="P22" s="3"/>
      <c r="Q22" s="3"/>
      <c r="R22" s="3"/>
      <c r="S22" s="3"/>
    </row>
    <row r="23">
      <c r="A23" s="11">
        <v>43699</v>
      </c>
      <c r="B23" s="5"/>
      <c r="C23" s="5"/>
      <c r="D23" s="5"/>
      <c r="E23" s="5"/>
      <c r="F23" s="5"/>
      <c r="G23" s="5"/>
      <c r="H23" s="5"/>
      <c r="I23" s="5"/>
      <c r="J23" s="5"/>
      <c r="K23" s="5"/>
      <c r="L23" s="5"/>
      <c r="M23" s="5"/>
      <c r="N23" s="5"/>
      <c r="O23" s="5"/>
      <c r="P23" s="5"/>
      <c r="Q23" s="5"/>
      <c r="R23" s="5"/>
      <c r="S23" s="5"/>
    </row>
    <row r="24">
      <c r="A24" s="11">
        <v>43700</v>
      </c>
      <c r="B24" s="3">
        <v>215.97</v>
      </c>
      <c r="C24" s="3">
        <f>350+759.8</f>
        <v>1109.8</v>
      </c>
      <c r="D24" s="3"/>
      <c r="E24" s="3"/>
      <c r="F24" s="3"/>
      <c r="G24" s="3"/>
      <c r="H24" s="3"/>
      <c r="I24" s="3"/>
      <c r="J24" s="3"/>
      <c r="K24" s="3"/>
      <c r="L24" s="3"/>
      <c r="M24" s="3"/>
      <c r="N24" s="3"/>
      <c r="O24" s="3"/>
      <c r="P24" s="3"/>
      <c r="Q24" s="3"/>
      <c r="R24" s="3"/>
      <c r="S24" s="3"/>
    </row>
    <row r="25">
      <c r="A25" s="11">
        <v>43701</v>
      </c>
      <c r="C25" s="5"/>
      <c r="D25" s="5"/>
      <c r="E25" s="5"/>
      <c r="F25" s="5"/>
      <c r="G25" s="5"/>
      <c r="H25" s="5"/>
      <c r="I25" s="5"/>
      <c r="J25" s="5"/>
      <c r="K25" s="5"/>
      <c r="L25" s="5"/>
      <c r="M25" s="5"/>
      <c r="N25" s="5"/>
      <c r="O25" s="5"/>
      <c r="P25" s="5"/>
      <c r="Q25" s="5"/>
      <c r="R25" s="5"/>
      <c r="S25" s="5"/>
    </row>
    <row r="26">
      <c r="A26" s="11">
        <v>43702</v>
      </c>
      <c r="B26" s="3"/>
      <c r="C26" s="3">
        <v>305.5</v>
      </c>
      <c r="D26" s="3"/>
      <c r="E26" s="3"/>
      <c r="F26" s="3"/>
      <c r="G26" s="3"/>
      <c r="H26" s="3"/>
      <c r="I26" s="3"/>
      <c r="J26" s="3"/>
      <c r="K26" s="3"/>
      <c r="L26" s="3"/>
      <c r="M26" s="3"/>
      <c r="N26" s="3"/>
      <c r="O26" s="3"/>
      <c r="P26" s="3"/>
      <c r="Q26" s="3"/>
      <c r="R26" s="3"/>
      <c r="S26" s="3"/>
    </row>
    <row r="27">
      <c r="A27" s="11">
        <v>43703</v>
      </c>
      <c r="B27" s="5"/>
      <c r="C27" s="5"/>
      <c r="D27" s="5"/>
      <c r="E27" s="5"/>
      <c r="F27" s="5"/>
      <c r="G27" s="5"/>
      <c r="H27" s="5"/>
      <c r="I27" s="5"/>
      <c r="J27" s="5"/>
      <c r="K27" s="5"/>
      <c r="L27" s="5"/>
      <c r="M27" s="5"/>
      <c r="N27" s="5"/>
      <c r="O27" s="5"/>
      <c r="P27" s="5"/>
      <c r="Q27" s="5"/>
      <c r="R27" s="5"/>
      <c r="S27" s="5"/>
    </row>
    <row r="28">
      <c r="A28" s="11">
        <v>43704</v>
      </c>
      <c r="B28" s="3"/>
      <c r="C28" s="3">
        <v>189.69999999999999</v>
      </c>
      <c r="D28" s="3"/>
      <c r="E28" s="3"/>
      <c r="F28" s="3"/>
      <c r="G28" s="3"/>
      <c r="H28" s="3"/>
      <c r="I28" s="3"/>
      <c r="J28" s="3"/>
      <c r="K28" s="3"/>
      <c r="L28" s="3"/>
      <c r="M28" s="3"/>
      <c r="N28" s="3"/>
      <c r="O28" s="3"/>
      <c r="P28" s="3"/>
      <c r="Q28" s="3"/>
      <c r="R28" s="3"/>
      <c r="S28" s="3"/>
    </row>
    <row r="29">
      <c r="A29" s="11">
        <v>43705</v>
      </c>
      <c r="B29" s="5"/>
      <c r="C29" s="5">
        <v>414.72000000000003</v>
      </c>
      <c r="D29" s="5">
        <v>339</v>
      </c>
      <c r="E29" s="5"/>
      <c r="F29" s="5"/>
      <c r="G29" s="5"/>
      <c r="H29" s="5"/>
      <c r="I29" s="5"/>
      <c r="J29" s="5">
        <v>336</v>
      </c>
      <c r="K29" s="5"/>
      <c r="L29" s="5"/>
      <c r="M29" s="5"/>
      <c r="N29" s="5"/>
      <c r="O29" s="5"/>
      <c r="P29" s="5"/>
      <c r="Q29" s="5"/>
      <c r="R29" s="5"/>
      <c r="S29" s="5"/>
    </row>
    <row r="30">
      <c r="A30" s="11">
        <v>43706</v>
      </c>
      <c r="B30" s="3"/>
      <c r="C30" s="3"/>
      <c r="D30" s="3"/>
      <c r="E30" s="3"/>
      <c r="F30" s="3"/>
      <c r="G30" s="3"/>
      <c r="H30" s="3"/>
      <c r="I30" s="3"/>
      <c r="J30" s="3"/>
      <c r="K30" s="3"/>
      <c r="L30" s="3"/>
      <c r="M30" s="3"/>
      <c r="N30" s="3"/>
      <c r="O30" s="3"/>
      <c r="P30" s="3"/>
      <c r="Q30" s="3"/>
      <c r="R30" s="3"/>
      <c r="S30" s="3"/>
    </row>
    <row r="31">
      <c r="A31" s="11">
        <v>43707</v>
      </c>
      <c r="B31" s="3"/>
      <c r="C31" s="3"/>
      <c r="D31" s="3"/>
      <c r="E31" s="3">
        <v>1000</v>
      </c>
      <c r="F31" s="3"/>
      <c r="G31" s="3"/>
      <c r="H31" s="3"/>
      <c r="I31" s="3"/>
      <c r="J31" s="3"/>
      <c r="K31" s="3"/>
      <c r="L31" s="3"/>
      <c r="M31" s="3"/>
      <c r="N31" s="3"/>
      <c r="O31" s="3"/>
      <c r="P31" s="3"/>
      <c r="Q31" s="3"/>
      <c r="R31" s="3"/>
      <c r="S31" s="3"/>
    </row>
    <row r="32">
      <c r="A32" s="11">
        <v>43708</v>
      </c>
      <c r="B32" s="5"/>
      <c r="C32" s="5">
        <v>105.09999999999999</v>
      </c>
      <c r="D32" s="5"/>
      <c r="E32" s="5"/>
      <c r="F32" s="5"/>
      <c r="G32" s="5"/>
      <c r="H32" s="5"/>
      <c r="I32" s="5"/>
      <c r="J32" s="5"/>
      <c r="K32" s="5"/>
      <c r="L32" s="5"/>
      <c r="M32" s="5"/>
      <c r="N32" s="5"/>
      <c r="O32" s="5"/>
      <c r="P32" s="5"/>
      <c r="Q32" s="5"/>
      <c r="R32" s="5"/>
      <c r="S32" s="5"/>
    </row>
    <row r="33">
      <c r="A33" s="7"/>
      <c r="B33" s="7">
        <f t="shared" ref="B33:Q33" si="5">SUM(B2:B32)</f>
        <v>9143.2699999999986</v>
      </c>
      <c r="C33" s="7">
        <f t="shared" si="5"/>
        <v>5915.5700000000006</v>
      </c>
      <c r="D33" s="7">
        <f t="shared" si="5"/>
        <v>2057.9899999999998</v>
      </c>
      <c r="E33" s="7">
        <f t="shared" si="5"/>
        <v>1000</v>
      </c>
      <c r="F33" s="7">
        <f t="shared" si="5"/>
        <v>0</v>
      </c>
      <c r="G33" s="7">
        <f t="shared" si="5"/>
        <v>0</v>
      </c>
      <c r="H33" s="7">
        <f t="shared" si="5"/>
        <v>400</v>
      </c>
      <c r="I33" s="7">
        <f t="shared" si="5"/>
        <v>180</v>
      </c>
      <c r="J33" s="7">
        <f t="shared" si="5"/>
        <v>336</v>
      </c>
      <c r="K33" s="7">
        <f t="shared" si="5"/>
        <v>11055.51</v>
      </c>
      <c r="L33" s="7">
        <f t="shared" si="5"/>
        <v>63</v>
      </c>
      <c r="M33" s="7">
        <f t="shared" si="5"/>
        <v>550</v>
      </c>
      <c r="N33" s="7">
        <f t="shared" si="5"/>
        <v>2850</v>
      </c>
      <c r="O33" s="7">
        <f t="shared" si="5"/>
        <v>800</v>
      </c>
      <c r="P33" s="7">
        <f t="shared" si="5"/>
        <v>660</v>
      </c>
      <c r="Q33" s="7">
        <f t="shared" si="5"/>
        <v>0</v>
      </c>
      <c r="R33" s="7" t="s">
        <v>14</v>
      </c>
      <c r="S33" s="7">
        <f>SUM(B33:Q33)</f>
        <v>35011.340000000004</v>
      </c>
    </row>
    <row r="34">
      <c r="A34" s="8"/>
      <c r="B34" s="8"/>
      <c r="C34" s="8"/>
      <c r="D34" s="8"/>
      <c r="E34" s="8"/>
      <c r="F34" s="8"/>
      <c r="G34" s="8"/>
      <c r="H34" s="8"/>
      <c r="I34" s="8"/>
      <c r="J34" s="9"/>
      <c r="K34" s="9"/>
      <c r="L34" s="9"/>
      <c r="M34" s="9"/>
      <c r="N34" s="9"/>
      <c r="O34" s="9"/>
      <c r="P34" s="9"/>
      <c r="Q34" s="9"/>
      <c r="R34" s="9"/>
      <c r="S34" s="9"/>
    </row>
    <row r="35">
      <c r="A35" s="10" t="s">
        <v>0</v>
      </c>
      <c r="B35" s="10" t="s">
        <v>15</v>
      </c>
      <c r="C35" s="10" t="s">
        <v>16</v>
      </c>
      <c r="D35" s="10" t="s">
        <v>17</v>
      </c>
      <c r="E35" s="10" t="s">
        <v>18</v>
      </c>
      <c r="F35" s="10" t="s">
        <v>21</v>
      </c>
      <c r="G35" s="1"/>
      <c r="H35" s="1"/>
      <c r="I35" s="1"/>
    </row>
    <row r="36">
      <c r="A36" s="11">
        <v>43678</v>
      </c>
      <c r="B36" s="3"/>
      <c r="C36" s="3"/>
      <c r="D36" s="3"/>
      <c r="E36" s="3"/>
      <c r="F36" s="3">
        <v>2500</v>
      </c>
      <c r="G36" s="3"/>
      <c r="H36" s="3"/>
      <c r="I36" s="3"/>
    </row>
    <row r="37">
      <c r="A37" s="11">
        <v>43679</v>
      </c>
      <c r="B37" s="5"/>
      <c r="C37" s="5"/>
      <c r="D37" s="5"/>
      <c r="E37" s="5"/>
      <c r="F37" s="5"/>
      <c r="G37" s="5"/>
      <c r="H37" s="5"/>
      <c r="I37" s="5"/>
    </row>
    <row r="38">
      <c r="A38" s="11">
        <v>43680</v>
      </c>
      <c r="B38" s="3"/>
      <c r="C38" s="3"/>
      <c r="D38" s="3"/>
      <c r="E38" s="3"/>
      <c r="F38" s="3"/>
      <c r="G38" s="3"/>
      <c r="H38" s="3"/>
      <c r="I38" s="3"/>
    </row>
    <row r="39">
      <c r="A39" s="11">
        <v>43681</v>
      </c>
      <c r="B39" s="5"/>
      <c r="C39" s="5"/>
      <c r="D39" s="5"/>
      <c r="E39" s="5"/>
      <c r="F39" s="5"/>
      <c r="G39" s="5"/>
      <c r="H39" s="5"/>
      <c r="I39" s="5"/>
    </row>
    <row r="40">
      <c r="A40" s="11">
        <v>43682</v>
      </c>
      <c r="B40" s="3"/>
      <c r="C40" s="3"/>
      <c r="D40" s="3"/>
      <c r="E40" s="3"/>
      <c r="F40" s="3"/>
      <c r="G40" s="3"/>
      <c r="H40" s="3"/>
      <c r="I40" s="3"/>
    </row>
    <row r="41">
      <c r="A41" s="11">
        <v>43683</v>
      </c>
      <c r="B41" s="5"/>
      <c r="C41" s="5"/>
      <c r="D41" s="5"/>
      <c r="E41" s="5"/>
      <c r="F41" s="5"/>
      <c r="G41" s="5"/>
      <c r="H41" s="5"/>
      <c r="I41" s="5"/>
    </row>
    <row r="42">
      <c r="A42" s="11">
        <v>43684</v>
      </c>
      <c r="B42" s="3"/>
      <c r="C42" s="3"/>
      <c r="D42" s="3"/>
      <c r="E42" s="3"/>
      <c r="F42" s="3"/>
      <c r="G42" s="3"/>
      <c r="H42" s="3"/>
      <c r="I42" s="3"/>
    </row>
    <row r="43">
      <c r="A43" s="11">
        <v>43685</v>
      </c>
      <c r="B43" s="5"/>
      <c r="C43" s="5"/>
      <c r="D43" s="5"/>
      <c r="E43" s="5"/>
      <c r="F43" s="5"/>
      <c r="G43" s="5"/>
      <c r="H43" s="5"/>
      <c r="I43" s="5"/>
    </row>
    <row r="44">
      <c r="A44" s="11">
        <v>43686</v>
      </c>
      <c r="B44" s="12">
        <v>37919.370000000003</v>
      </c>
      <c r="C44" s="3"/>
      <c r="D44" s="3"/>
      <c r="E44" s="3"/>
      <c r="F44" s="3"/>
      <c r="G44" s="3"/>
      <c r="H44" s="3"/>
      <c r="I44" s="3"/>
    </row>
    <row r="45">
      <c r="A45" s="11">
        <v>43687</v>
      </c>
      <c r="B45" s="5"/>
      <c r="C45" s="5"/>
      <c r="D45" s="5"/>
      <c r="E45" s="5"/>
      <c r="F45" s="5"/>
      <c r="G45" s="5"/>
      <c r="H45" s="5"/>
      <c r="I45" s="5"/>
    </row>
    <row r="46">
      <c r="A46" s="11">
        <v>43688</v>
      </c>
      <c r="B46" s="3"/>
      <c r="C46" s="3"/>
      <c r="D46" s="3"/>
      <c r="E46" s="3"/>
      <c r="F46" s="3"/>
      <c r="G46" s="3"/>
      <c r="H46" s="3"/>
      <c r="I46" s="3"/>
    </row>
    <row r="47">
      <c r="A47" s="11">
        <v>43689</v>
      </c>
      <c r="B47" s="5"/>
      <c r="C47" s="5"/>
      <c r="D47" s="5"/>
      <c r="E47" s="5"/>
      <c r="F47" s="5"/>
      <c r="G47" s="5"/>
      <c r="H47" s="5"/>
      <c r="I47" s="5"/>
    </row>
    <row r="48">
      <c r="A48" s="11">
        <v>43690</v>
      </c>
      <c r="B48" s="3"/>
      <c r="C48" s="3"/>
      <c r="D48" s="3"/>
      <c r="E48" s="3"/>
      <c r="F48" s="3"/>
      <c r="G48" s="3"/>
      <c r="H48" s="3"/>
      <c r="I48" s="3"/>
    </row>
    <row r="49">
      <c r="A49" s="11">
        <v>43691</v>
      </c>
      <c r="B49" s="5"/>
      <c r="C49" s="5"/>
      <c r="D49" s="5"/>
      <c r="E49" s="5"/>
      <c r="F49" s="5"/>
      <c r="G49" s="5"/>
      <c r="H49" s="5"/>
      <c r="I49" s="5"/>
    </row>
    <row r="50">
      <c r="A50" s="11">
        <v>43692</v>
      </c>
      <c r="B50" s="3"/>
      <c r="C50" s="3"/>
      <c r="D50" s="3"/>
      <c r="E50" s="3"/>
      <c r="F50" s="3"/>
      <c r="G50" s="3"/>
      <c r="H50" s="3"/>
      <c r="I50" s="3"/>
    </row>
    <row r="51">
      <c r="A51" s="11">
        <v>43693</v>
      </c>
      <c r="B51" s="5"/>
      <c r="C51" s="5"/>
      <c r="D51" s="5"/>
      <c r="E51" s="5">
        <v>22.100000000000001</v>
      </c>
      <c r="F51" s="5"/>
      <c r="G51" s="5"/>
      <c r="H51" s="5"/>
      <c r="I51" s="5"/>
    </row>
    <row r="52">
      <c r="A52" s="11">
        <v>43694</v>
      </c>
      <c r="B52" s="3"/>
      <c r="C52" s="3"/>
      <c r="D52" s="3"/>
      <c r="E52" s="3"/>
      <c r="F52" s="3"/>
      <c r="G52" s="3"/>
      <c r="H52" s="3"/>
      <c r="I52" s="3"/>
    </row>
    <row r="53">
      <c r="A53" s="11">
        <v>43695</v>
      </c>
      <c r="B53" s="5"/>
      <c r="C53" s="5"/>
      <c r="D53" s="5"/>
      <c r="E53" s="5"/>
      <c r="F53" s="5"/>
      <c r="G53" s="5"/>
      <c r="H53" s="5"/>
      <c r="I53" s="5"/>
    </row>
    <row r="54">
      <c r="A54" s="11">
        <v>43696</v>
      </c>
      <c r="B54" s="3"/>
      <c r="C54" s="3"/>
      <c r="D54" s="3"/>
      <c r="E54" s="3"/>
      <c r="F54" s="3"/>
      <c r="G54" s="3"/>
      <c r="H54" s="3"/>
      <c r="I54" s="3"/>
    </row>
    <row r="55">
      <c r="A55" s="11">
        <v>43697</v>
      </c>
      <c r="B55" s="5"/>
      <c r="C55" s="5"/>
      <c r="D55" s="5"/>
      <c r="E55" s="5"/>
      <c r="F55" s="5"/>
      <c r="G55" s="5"/>
      <c r="H55" s="5"/>
      <c r="I55" s="5"/>
    </row>
    <row r="56">
      <c r="A56" s="11">
        <v>43698</v>
      </c>
      <c r="B56" s="3"/>
      <c r="C56" s="3"/>
      <c r="D56" s="3"/>
      <c r="E56" s="3"/>
      <c r="F56" s="3"/>
      <c r="G56" s="3"/>
      <c r="H56" s="3"/>
      <c r="I56" s="3"/>
    </row>
    <row r="57">
      <c r="A57" s="11">
        <v>43699</v>
      </c>
      <c r="B57" s="5"/>
      <c r="C57" s="5"/>
      <c r="D57" s="5"/>
      <c r="E57" s="5"/>
      <c r="F57" s="5"/>
      <c r="G57" s="5"/>
      <c r="H57" s="5"/>
      <c r="I57" s="5"/>
    </row>
    <row r="58">
      <c r="A58" s="11">
        <v>43700</v>
      </c>
      <c r="B58" s="3">
        <v>9500</v>
      </c>
      <c r="C58" s="3"/>
      <c r="D58" s="3"/>
      <c r="E58" s="3"/>
      <c r="F58" s="3"/>
      <c r="G58" s="3"/>
      <c r="H58" s="3"/>
      <c r="I58" s="3"/>
    </row>
    <row r="59">
      <c r="A59" s="11">
        <v>43701</v>
      </c>
      <c r="B59" s="5"/>
      <c r="C59" s="5"/>
      <c r="D59" s="5"/>
      <c r="E59" s="5"/>
      <c r="F59" s="5"/>
      <c r="G59" s="5"/>
      <c r="H59" s="5"/>
      <c r="I59" s="5"/>
    </row>
    <row r="60">
      <c r="A60" s="11">
        <v>43702</v>
      </c>
      <c r="B60" s="3"/>
      <c r="C60" s="3"/>
      <c r="D60" s="3"/>
      <c r="E60" s="3"/>
      <c r="F60" s="3"/>
      <c r="G60" s="3"/>
      <c r="H60" s="3"/>
      <c r="I60" s="3"/>
    </row>
    <row r="61">
      <c r="A61" s="11">
        <v>43703</v>
      </c>
      <c r="B61" s="5"/>
      <c r="C61" s="5"/>
      <c r="D61" s="5"/>
      <c r="E61" s="5"/>
      <c r="F61" s="5"/>
      <c r="G61" s="5"/>
      <c r="H61" s="5"/>
      <c r="I61" s="5"/>
    </row>
    <row r="62">
      <c r="A62" s="11">
        <v>43704</v>
      </c>
      <c r="B62" s="3"/>
      <c r="C62" s="3"/>
      <c r="D62" s="3"/>
      <c r="E62" s="3"/>
      <c r="F62" s="3"/>
      <c r="G62" s="3"/>
      <c r="H62" s="3"/>
      <c r="I62" s="3"/>
    </row>
    <row r="63">
      <c r="A63" s="11">
        <v>43705</v>
      </c>
      <c r="B63" s="5">
        <v>2000</v>
      </c>
      <c r="C63" s="5"/>
      <c r="D63" s="5"/>
      <c r="E63" s="5"/>
      <c r="F63" s="5"/>
      <c r="G63" s="5"/>
      <c r="H63" s="5"/>
      <c r="I63" s="5"/>
    </row>
    <row r="64">
      <c r="A64" s="11">
        <v>43706</v>
      </c>
      <c r="B64" s="3"/>
      <c r="C64" s="3"/>
      <c r="D64" s="3"/>
      <c r="E64" s="3"/>
      <c r="F64" s="3"/>
      <c r="G64" s="3"/>
      <c r="H64" s="3"/>
      <c r="I64" s="3"/>
    </row>
    <row r="65">
      <c r="A65" s="11">
        <v>43707</v>
      </c>
      <c r="B65" s="5"/>
      <c r="C65" s="5"/>
      <c r="D65" s="5"/>
      <c r="E65" s="5"/>
      <c r="F65" s="5"/>
      <c r="G65" s="5"/>
      <c r="H65" s="5"/>
      <c r="I65" s="5"/>
    </row>
    <row r="66">
      <c r="A66" s="11">
        <v>43708</v>
      </c>
      <c r="B66" s="5"/>
      <c r="C66" s="5"/>
      <c r="D66" s="5"/>
      <c r="E66" s="5">
        <v>1108.75</v>
      </c>
      <c r="F66" s="5"/>
      <c r="G66" s="5"/>
      <c r="H66" s="5"/>
      <c r="I66" s="5"/>
    </row>
    <row r="67">
      <c r="A67" s="7"/>
      <c r="B67" s="7">
        <f t="shared" ref="B67:H67" si="6">SUM(B36:B66)</f>
        <v>49419.370000000003</v>
      </c>
      <c r="C67" s="7">
        <f t="shared" si="6"/>
        <v>0</v>
      </c>
      <c r="D67" s="7">
        <f t="shared" si="6"/>
        <v>0</v>
      </c>
      <c r="E67" s="7">
        <f t="shared" si="6"/>
        <v>1130.8499999999999</v>
      </c>
      <c r="F67" s="7">
        <f t="shared" si="6"/>
        <v>2500</v>
      </c>
      <c r="G67" s="7">
        <f t="shared" si="6"/>
        <v>0</v>
      </c>
      <c r="H67" s="7">
        <f t="shared" si="6"/>
        <v>0</v>
      </c>
      <c r="I67" s="7">
        <f>SUM(B67:H67)</f>
        <v>53050.220000000001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drawing r:id="rId3"/>
  <legacyDrawing r:id="rId4"/>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63" activeCellId="0" sqref="I63"/>
    </sheetView>
  </sheetViews>
  <sheetFormatPr defaultRowHeight="14.25"/>
  <cols>
    <col bestFit="1" min="1" max="1" width="11"/>
    <col customWidth="1" min="20" max="20" width="2"/>
    <col customWidth="1" min="21" max="22" width="1.7109375"/>
    <col customWidth="1" min="23" max="23" width="13"/>
  </cols>
  <sheetData>
    <row r="1">
      <c r="A1" s="82" t="s">
        <v>0</v>
      </c>
      <c r="B1" s="83" t="s">
        <v>70</v>
      </c>
      <c r="C1" s="83" t="s">
        <v>71</v>
      </c>
      <c r="D1" s="83" t="s">
        <v>72</v>
      </c>
      <c r="E1" s="83" t="s">
        <v>3</v>
      </c>
      <c r="F1" s="83" t="s">
        <v>4</v>
      </c>
      <c r="G1" s="83" t="s">
        <v>79</v>
      </c>
      <c r="H1" s="83" t="s">
        <v>6</v>
      </c>
      <c r="I1" s="83" t="s">
        <v>7</v>
      </c>
      <c r="J1" s="83" t="s">
        <v>8</v>
      </c>
      <c r="K1" s="83" t="s">
        <v>9</v>
      </c>
      <c r="L1" s="83" t="s">
        <v>10</v>
      </c>
      <c r="M1" s="83" t="s">
        <v>11</v>
      </c>
      <c r="N1" s="83" t="s">
        <v>12</v>
      </c>
      <c r="O1" s="83" t="s">
        <v>13</v>
      </c>
      <c r="P1" s="83" t="s">
        <v>19</v>
      </c>
      <c r="Q1" s="83" t="s">
        <v>20</v>
      </c>
      <c r="R1" s="83" t="s">
        <v>73</v>
      </c>
      <c r="S1" s="83" t="s">
        <v>62</v>
      </c>
      <c r="T1" s="87"/>
      <c r="U1" s="31"/>
      <c r="V1" s="88"/>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80</v>
      </c>
      <c r="AM1" s="83" t="s">
        <v>20</v>
      </c>
      <c r="AN1" s="83" t="s">
        <v>73</v>
      </c>
      <c r="AO1" s="83" t="s">
        <v>62</v>
      </c>
    </row>
    <row r="2">
      <c r="A2" s="11">
        <v>44774</v>
      </c>
      <c r="B2" s="14">
        <v>60</v>
      </c>
      <c r="C2" s="14"/>
      <c r="D2" s="14">
        <f>67+105</f>
        <v>172</v>
      </c>
      <c r="E2" s="14"/>
      <c r="F2" s="14"/>
      <c r="G2" s="14"/>
      <c r="H2" s="14"/>
      <c r="I2" s="14"/>
      <c r="J2" s="14"/>
      <c r="K2" s="14"/>
      <c r="L2" s="14"/>
      <c r="M2" s="14"/>
      <c r="N2" s="14"/>
      <c r="O2" s="14"/>
      <c r="P2" s="14"/>
      <c r="Q2" s="14"/>
      <c r="R2" s="14"/>
      <c r="S2" s="14"/>
      <c r="T2" s="87"/>
      <c r="U2" s="31"/>
      <c r="V2" s="88"/>
      <c r="W2" s="11">
        <v>44774</v>
      </c>
      <c r="X2" s="14"/>
      <c r="Y2" s="14">
        <f>580.25+344.68</f>
        <v>924.93000000000006</v>
      </c>
      <c r="Z2" s="14"/>
      <c r="AA2" s="14"/>
      <c r="AB2" s="14"/>
      <c r="AC2" s="14"/>
      <c r="AD2" s="14"/>
      <c r="AE2" s="14"/>
      <c r="AF2" s="14"/>
      <c r="AG2" s="14"/>
      <c r="AH2" s="14"/>
      <c r="AI2" s="14"/>
      <c r="AJ2" s="14"/>
      <c r="AK2" s="14"/>
      <c r="AL2" s="14"/>
      <c r="AM2" s="14"/>
      <c r="AN2" s="14"/>
      <c r="AO2" s="14"/>
    </row>
    <row r="3">
      <c r="A3" s="11">
        <v>44775</v>
      </c>
      <c r="B3" s="5">
        <v>60</v>
      </c>
      <c r="C3" s="5"/>
      <c r="D3" s="5">
        <f>70+18</f>
        <v>88</v>
      </c>
      <c r="E3" s="5"/>
      <c r="F3" s="5">
        <f>12000-9000</f>
        <v>3000</v>
      </c>
      <c r="G3" s="5"/>
      <c r="H3" s="5"/>
      <c r="I3" s="5"/>
      <c r="J3" s="5">
        <v>23000</v>
      </c>
      <c r="K3" s="5"/>
      <c r="L3" s="5"/>
      <c r="M3" s="5"/>
      <c r="N3" s="5">
        <v>625</v>
      </c>
      <c r="O3" s="5"/>
      <c r="P3" s="5"/>
      <c r="Q3" s="5"/>
      <c r="R3" s="5"/>
      <c r="S3" s="5"/>
      <c r="T3" s="87"/>
      <c r="U3" s="31"/>
      <c r="V3" s="88"/>
      <c r="W3" s="11">
        <v>44775</v>
      </c>
      <c r="X3" s="5"/>
      <c r="Y3" s="5"/>
      <c r="Z3" s="5"/>
      <c r="AA3" s="5"/>
      <c r="AB3" s="5"/>
      <c r="AC3" s="5"/>
      <c r="AD3" s="5"/>
      <c r="AE3" s="5"/>
      <c r="AF3" s="5"/>
      <c r="AG3" s="5"/>
      <c r="AH3" s="5"/>
      <c r="AI3" s="5"/>
      <c r="AJ3" s="5"/>
      <c r="AK3" s="5"/>
      <c r="AL3" s="5"/>
      <c r="AM3" s="5"/>
      <c r="AN3" s="5"/>
      <c r="AO3" s="5"/>
    </row>
    <row r="4">
      <c r="A4" s="11">
        <v>44776</v>
      </c>
      <c r="B4" s="14">
        <v>60</v>
      </c>
      <c r="C4" s="14"/>
      <c r="D4" s="14">
        <v>81</v>
      </c>
      <c r="E4" s="14"/>
      <c r="F4" s="14"/>
      <c r="G4" s="14"/>
      <c r="H4" s="14"/>
      <c r="I4" s="14"/>
      <c r="J4" s="14"/>
      <c r="K4" s="14"/>
      <c r="L4" s="14"/>
      <c r="M4" s="14"/>
      <c r="N4" s="14"/>
      <c r="O4" s="14"/>
      <c r="P4" s="14"/>
      <c r="Q4" s="14"/>
      <c r="R4" s="14"/>
      <c r="S4" s="14"/>
      <c r="T4" s="87"/>
      <c r="U4" s="31"/>
      <c r="V4" s="88"/>
      <c r="W4" s="11">
        <v>44776</v>
      </c>
      <c r="X4" s="14"/>
      <c r="Y4" s="14"/>
      <c r="Z4" s="14"/>
      <c r="AA4" s="14"/>
      <c r="AB4" s="14"/>
      <c r="AC4" s="14"/>
      <c r="AD4" s="14"/>
      <c r="AE4" s="14"/>
      <c r="AF4" s="14"/>
      <c r="AG4" s="14"/>
      <c r="AH4" s="14"/>
      <c r="AI4" s="14"/>
      <c r="AJ4" s="14"/>
      <c r="AK4" s="14"/>
      <c r="AL4" s="14"/>
      <c r="AM4" s="14"/>
      <c r="AN4" s="14"/>
      <c r="AO4" s="14"/>
    </row>
    <row r="5">
      <c r="A5" s="11">
        <v>44777</v>
      </c>
      <c r="B5" s="5">
        <v>60</v>
      </c>
      <c r="C5" s="5"/>
      <c r="D5" s="5">
        <v>74</v>
      </c>
      <c r="E5" s="5"/>
      <c r="F5" s="5"/>
      <c r="G5" s="5">
        <v>5</v>
      </c>
      <c r="H5" s="5"/>
      <c r="I5" s="5"/>
      <c r="J5" s="5"/>
      <c r="K5" s="5"/>
      <c r="L5" s="5"/>
      <c r="M5" s="5"/>
      <c r="N5" s="5"/>
      <c r="O5" s="5"/>
      <c r="P5" s="5"/>
      <c r="Q5" s="5"/>
      <c r="R5" s="5"/>
      <c r="S5" s="5"/>
      <c r="T5" s="87"/>
      <c r="U5" s="31"/>
      <c r="V5" s="88"/>
      <c r="W5" s="11">
        <v>44777</v>
      </c>
      <c r="X5" s="5"/>
      <c r="Y5" s="5">
        <v>716.58000000000004</v>
      </c>
      <c r="Z5" s="5"/>
      <c r="AA5" s="5"/>
      <c r="AB5" s="5"/>
      <c r="AC5" s="5"/>
      <c r="AD5" s="5">
        <v>143.99000000000001</v>
      </c>
      <c r="AE5" s="5"/>
      <c r="AF5" s="5">
        <f>99+729</f>
        <v>828</v>
      </c>
      <c r="AG5" s="5"/>
      <c r="AH5" s="5"/>
      <c r="AI5" s="5"/>
      <c r="AJ5" s="5">
        <v>350</v>
      </c>
      <c r="AK5" s="5"/>
      <c r="AL5" s="5"/>
      <c r="AM5" s="5"/>
      <c r="AN5" s="5"/>
      <c r="AO5" s="5"/>
    </row>
    <row r="6">
      <c r="A6" s="11">
        <v>44778</v>
      </c>
      <c r="B6" s="14">
        <v>60</v>
      </c>
      <c r="C6" s="14">
        <v>394.95999999999998</v>
      </c>
      <c r="D6" s="14">
        <v>57</v>
      </c>
      <c r="E6" s="14"/>
      <c r="F6" s="14"/>
      <c r="G6" s="14"/>
      <c r="H6" s="14"/>
      <c r="I6" s="14"/>
      <c r="J6" s="14"/>
      <c r="K6" s="14"/>
      <c r="L6" s="14"/>
      <c r="M6" s="14"/>
      <c r="N6" s="14"/>
      <c r="O6" s="14"/>
      <c r="P6" s="14"/>
      <c r="Q6" s="14"/>
      <c r="R6" s="14"/>
      <c r="S6" s="14"/>
      <c r="T6" s="87"/>
      <c r="U6" s="31"/>
      <c r="V6" s="88"/>
      <c r="W6" s="11">
        <v>44778</v>
      </c>
      <c r="X6" s="14"/>
      <c r="Y6" s="14"/>
      <c r="Z6" s="14"/>
      <c r="AA6" s="14"/>
      <c r="AB6" s="14"/>
      <c r="AC6" s="14"/>
      <c r="AD6" s="14"/>
      <c r="AE6" s="14"/>
      <c r="AF6" s="14"/>
      <c r="AG6" s="14"/>
      <c r="AH6" s="14"/>
      <c r="AI6" s="14"/>
      <c r="AJ6" s="14"/>
      <c r="AK6" s="14"/>
      <c r="AL6" s="14"/>
      <c r="AM6" s="14"/>
      <c r="AN6" s="14"/>
      <c r="AO6" s="14"/>
    </row>
    <row r="7">
      <c r="A7" s="11">
        <v>44779</v>
      </c>
      <c r="B7" s="5"/>
      <c r="C7" s="5"/>
      <c r="D7" s="5"/>
      <c r="E7" s="5"/>
      <c r="F7" s="5"/>
      <c r="G7" s="5"/>
      <c r="H7" s="5"/>
      <c r="I7" s="5"/>
      <c r="J7" s="5"/>
      <c r="K7" s="5"/>
      <c r="L7" s="5"/>
      <c r="M7" s="5"/>
      <c r="N7" s="5"/>
      <c r="O7" s="5"/>
      <c r="P7" s="5"/>
      <c r="Q7" s="5"/>
      <c r="R7" s="5"/>
      <c r="S7" s="5"/>
      <c r="T7" s="87"/>
      <c r="U7" s="31"/>
      <c r="V7" s="88"/>
      <c r="W7" s="11">
        <v>44779</v>
      </c>
      <c r="X7" s="5"/>
      <c r="Y7" s="5"/>
      <c r="Z7" s="5"/>
      <c r="AA7" s="5"/>
      <c r="AB7" s="5"/>
      <c r="AC7" s="5"/>
      <c r="AD7" s="5"/>
      <c r="AE7" s="5"/>
      <c r="AF7" s="5"/>
      <c r="AG7" s="5"/>
      <c r="AH7" s="5"/>
      <c r="AI7" s="5"/>
      <c r="AJ7" s="5"/>
      <c r="AK7" s="5"/>
      <c r="AL7" s="5"/>
      <c r="AM7" s="5"/>
      <c r="AN7" s="5"/>
      <c r="AO7" s="5"/>
    </row>
    <row r="8">
      <c r="A8" s="11">
        <v>44780</v>
      </c>
      <c r="B8" s="14"/>
      <c r="C8" s="14">
        <v>248.16</v>
      </c>
      <c r="D8" s="14"/>
      <c r="E8" s="14">
        <f>580+188</f>
        <v>768</v>
      </c>
      <c r="F8" s="14"/>
      <c r="G8" s="14">
        <v>800</v>
      </c>
      <c r="H8" s="14"/>
      <c r="I8" s="14"/>
      <c r="J8" s="14"/>
      <c r="K8" s="14"/>
      <c r="L8" s="14"/>
      <c r="M8" s="14"/>
      <c r="N8" s="14"/>
      <c r="O8" s="14"/>
      <c r="P8" s="14"/>
      <c r="Q8" s="14"/>
      <c r="R8" s="14"/>
      <c r="S8" s="14"/>
      <c r="T8" s="87"/>
      <c r="U8" s="31"/>
      <c r="V8" s="88"/>
      <c r="W8" s="11">
        <v>44780</v>
      </c>
      <c r="X8" s="14"/>
      <c r="Y8" s="14"/>
      <c r="Z8" s="14"/>
      <c r="AA8" s="14"/>
      <c r="AB8" s="14"/>
      <c r="AC8" s="14"/>
      <c r="AD8" s="14"/>
      <c r="AE8" s="14"/>
      <c r="AF8" s="14"/>
      <c r="AG8" s="14"/>
      <c r="AH8" s="14"/>
      <c r="AI8" s="14"/>
      <c r="AJ8" s="14"/>
      <c r="AK8" s="14"/>
      <c r="AL8" s="14"/>
      <c r="AM8" s="14"/>
      <c r="AN8" s="14"/>
      <c r="AO8" s="14"/>
    </row>
    <row r="9">
      <c r="A9" s="11">
        <v>44781</v>
      </c>
      <c r="B9" s="5">
        <v>60</v>
      </c>
      <c r="C9" s="5">
        <f>16.67+1256</f>
        <v>1272.6700000000001</v>
      </c>
      <c r="D9" s="5">
        <v>88</v>
      </c>
      <c r="E9" s="5"/>
      <c r="F9" s="5"/>
      <c r="G9" s="5"/>
      <c r="H9" s="5"/>
      <c r="I9" s="5"/>
      <c r="J9" s="5">
        <v>58</v>
      </c>
      <c r="K9" s="5"/>
      <c r="L9" s="5"/>
      <c r="M9" s="5"/>
      <c r="N9" s="5"/>
      <c r="O9" s="5"/>
      <c r="P9" s="5"/>
      <c r="Q9" s="5"/>
      <c r="R9" s="5"/>
      <c r="S9" s="5"/>
      <c r="T9" s="87"/>
      <c r="U9" s="31"/>
      <c r="V9" s="88"/>
      <c r="W9" s="11">
        <v>44781</v>
      </c>
      <c r="X9" s="5"/>
      <c r="Y9" s="5">
        <v>128</v>
      </c>
      <c r="Z9" s="5"/>
      <c r="AA9" s="5"/>
      <c r="AB9" s="5"/>
      <c r="AC9" s="5"/>
      <c r="AD9" s="5"/>
      <c r="AE9" s="5"/>
      <c r="AF9" s="5">
        <f>55+69</f>
        <v>124</v>
      </c>
      <c r="AG9" s="5"/>
      <c r="AH9" s="5"/>
      <c r="AI9" s="5"/>
      <c r="AJ9" s="5"/>
      <c r="AK9" s="5"/>
      <c r="AL9" s="5"/>
      <c r="AM9" s="5"/>
      <c r="AN9" s="5"/>
      <c r="AO9" s="5"/>
    </row>
    <row r="10">
      <c r="A10" s="11">
        <v>44782</v>
      </c>
      <c r="B10" s="14"/>
      <c r="C10" s="14"/>
      <c r="D10" s="14"/>
      <c r="E10" s="14"/>
      <c r="F10" s="14"/>
      <c r="G10" s="14">
        <v>1600</v>
      </c>
      <c r="H10" s="14"/>
      <c r="I10" s="14"/>
      <c r="J10" s="14"/>
      <c r="K10" s="14"/>
      <c r="L10" s="14"/>
      <c r="M10" s="14"/>
      <c r="N10" s="14"/>
      <c r="O10" s="14"/>
      <c r="P10" s="14"/>
      <c r="Q10" s="14"/>
      <c r="R10" s="14"/>
      <c r="S10" s="14"/>
      <c r="T10" s="87"/>
      <c r="U10" s="31"/>
      <c r="V10" s="88"/>
      <c r="W10" s="11">
        <v>44782</v>
      </c>
      <c r="X10" s="14"/>
      <c r="Y10" s="14"/>
      <c r="Z10" s="14"/>
      <c r="AA10" s="14"/>
      <c r="AB10" s="14"/>
      <c r="AC10" s="14"/>
      <c r="AD10" s="14"/>
      <c r="AE10" s="14"/>
      <c r="AF10" s="14"/>
      <c r="AG10" s="14"/>
      <c r="AH10" s="14"/>
      <c r="AI10" s="14"/>
      <c r="AJ10" s="14"/>
      <c r="AK10" s="14"/>
      <c r="AL10" s="14">
        <v>580</v>
      </c>
      <c r="AM10" s="14"/>
      <c r="AN10" s="14"/>
      <c r="AO10" s="14"/>
    </row>
    <row r="11">
      <c r="A11" s="11">
        <v>44783</v>
      </c>
      <c r="B11" s="5">
        <v>60</v>
      </c>
      <c r="C11" s="5">
        <v>63</v>
      </c>
      <c r="D11" s="5">
        <f>106-62</f>
        <v>44</v>
      </c>
      <c r="E11" s="5"/>
      <c r="F11" s="5"/>
      <c r="G11" s="5">
        <v>800</v>
      </c>
      <c r="H11" s="5"/>
      <c r="I11" s="5"/>
      <c r="J11" s="5"/>
      <c r="K11" s="5"/>
      <c r="L11" s="5"/>
      <c r="M11" s="5"/>
      <c r="N11" s="5"/>
      <c r="O11" s="5"/>
      <c r="P11" s="5"/>
      <c r="Q11" s="5"/>
      <c r="R11" s="5"/>
      <c r="S11" s="5"/>
      <c r="T11" s="87"/>
      <c r="U11" s="31"/>
      <c r="V11" s="88"/>
      <c r="W11" s="11">
        <v>44783</v>
      </c>
      <c r="X11" s="5"/>
      <c r="Y11" s="5"/>
      <c r="Z11" s="5"/>
      <c r="AA11" s="5"/>
      <c r="AB11" s="5"/>
      <c r="AC11" s="5"/>
      <c r="AD11" s="5"/>
      <c r="AE11" s="5"/>
      <c r="AF11" s="5">
        <v>314</v>
      </c>
      <c r="AG11" s="5"/>
      <c r="AH11" s="5"/>
      <c r="AI11" s="5"/>
      <c r="AJ11" s="5"/>
      <c r="AK11" s="5"/>
      <c r="AL11" s="5">
        <v>168</v>
      </c>
      <c r="AM11" s="5"/>
      <c r="AN11" s="5"/>
      <c r="AO11" s="5"/>
    </row>
    <row r="12">
      <c r="A12" s="11">
        <v>44784</v>
      </c>
      <c r="B12" s="14"/>
      <c r="C12" s="14">
        <v>602.01999999999998</v>
      </c>
      <c r="D12" s="14"/>
      <c r="E12" s="14"/>
      <c r="F12" s="14"/>
      <c r="G12" s="14">
        <f>800+69</f>
        <v>869</v>
      </c>
      <c r="H12" s="14"/>
      <c r="I12" s="14"/>
      <c r="J12" s="14"/>
      <c r="K12" s="14"/>
      <c r="L12" s="14"/>
      <c r="M12" s="14"/>
      <c r="N12" s="14"/>
      <c r="O12" s="14"/>
      <c r="P12" s="14"/>
      <c r="Q12" s="14"/>
      <c r="R12" s="14"/>
      <c r="S12" s="14"/>
      <c r="T12" s="87"/>
      <c r="U12" s="31"/>
      <c r="V12" s="88"/>
      <c r="W12" s="11">
        <v>44784</v>
      </c>
      <c r="X12" s="14"/>
      <c r="Y12" s="14">
        <v>50</v>
      </c>
      <c r="Z12" s="14"/>
      <c r="AA12" s="14"/>
      <c r="AB12" s="14"/>
      <c r="AC12" s="14"/>
      <c r="AD12" s="14"/>
      <c r="AE12" s="14"/>
      <c r="AF12" s="14"/>
      <c r="AG12" s="14"/>
      <c r="AH12" s="14"/>
      <c r="AI12" s="14"/>
      <c r="AJ12" s="14"/>
      <c r="AK12" s="14"/>
      <c r="AL12" s="14"/>
      <c r="AM12" s="14"/>
      <c r="AN12" s="14"/>
      <c r="AO12" s="14"/>
    </row>
    <row r="13">
      <c r="A13" s="11">
        <v>44785</v>
      </c>
      <c r="B13" s="5">
        <v>60</v>
      </c>
      <c r="C13" s="5"/>
      <c r="D13" s="5">
        <f>79+57</f>
        <v>136</v>
      </c>
      <c r="E13" s="5"/>
      <c r="F13" s="5"/>
      <c r="G13" s="5"/>
      <c r="H13" s="5"/>
      <c r="I13" s="5"/>
      <c r="J13" s="5"/>
      <c r="K13" s="5"/>
      <c r="L13" s="5"/>
      <c r="M13" s="5"/>
      <c r="N13" s="5"/>
      <c r="O13" s="5"/>
      <c r="P13" s="5"/>
      <c r="Q13" s="5"/>
      <c r="R13" s="5"/>
      <c r="S13" s="5"/>
      <c r="T13" s="87"/>
      <c r="U13" s="31"/>
      <c r="V13" s="88"/>
      <c r="W13" s="11">
        <v>44785</v>
      </c>
      <c r="X13" s="5"/>
      <c r="Y13" s="5"/>
      <c r="Z13" s="5"/>
      <c r="AA13" s="5"/>
      <c r="AB13" s="5"/>
      <c r="AC13" s="5"/>
      <c r="AD13" s="5"/>
      <c r="AE13" s="5"/>
      <c r="AF13" s="5"/>
      <c r="AG13" s="5"/>
      <c r="AH13" s="5"/>
      <c r="AI13" s="5"/>
      <c r="AJ13" s="5"/>
      <c r="AK13" s="5"/>
      <c r="AL13" s="5"/>
      <c r="AM13" s="5"/>
      <c r="AN13" s="5"/>
      <c r="AO13" s="5"/>
    </row>
    <row r="14">
      <c r="A14" s="94">
        <v>44786</v>
      </c>
      <c r="B14" s="14"/>
      <c r="C14" s="14"/>
      <c r="D14" s="14"/>
      <c r="E14" s="14"/>
      <c r="F14" s="14"/>
      <c r="G14" s="14"/>
      <c r="H14" s="14"/>
      <c r="I14" s="14"/>
      <c r="J14" s="14"/>
      <c r="K14" s="14"/>
      <c r="L14" s="14"/>
      <c r="M14" s="14"/>
      <c r="N14" s="14"/>
      <c r="O14" s="14"/>
      <c r="P14" s="14"/>
      <c r="Q14" s="14"/>
      <c r="R14" s="14"/>
      <c r="S14" s="14"/>
      <c r="T14" s="87"/>
      <c r="U14" s="31"/>
      <c r="V14" s="88"/>
      <c r="W14" s="11">
        <v>44786</v>
      </c>
      <c r="X14" s="14">
        <v>2166.2600000000002</v>
      </c>
      <c r="Y14" s="14"/>
      <c r="Z14" s="14"/>
      <c r="AA14" s="14"/>
      <c r="AB14" s="14"/>
      <c r="AC14" s="14"/>
      <c r="AD14" s="14"/>
      <c r="AE14" s="14"/>
      <c r="AF14" s="14"/>
      <c r="AG14" s="14"/>
      <c r="AH14" s="14"/>
      <c r="AI14" s="14"/>
      <c r="AJ14" s="14"/>
      <c r="AK14" s="14"/>
      <c r="AL14" s="14"/>
      <c r="AM14" s="14"/>
      <c r="AN14" s="14"/>
      <c r="AO14" s="14"/>
    </row>
    <row r="15">
      <c r="A15" s="94">
        <v>44787</v>
      </c>
      <c r="B15" s="5"/>
      <c r="C15" s="5"/>
      <c r="D15" s="5"/>
      <c r="E15" s="5"/>
      <c r="F15" s="5"/>
      <c r="G15" s="5"/>
      <c r="H15" s="5"/>
      <c r="I15" s="5"/>
      <c r="J15" s="5"/>
      <c r="K15" s="5"/>
      <c r="L15" s="5"/>
      <c r="M15" s="5"/>
      <c r="N15" s="5"/>
      <c r="O15" s="5"/>
      <c r="P15" s="5"/>
      <c r="Q15" s="5"/>
      <c r="R15" s="5"/>
      <c r="S15" s="5"/>
      <c r="T15" s="87"/>
      <c r="U15" s="31"/>
      <c r="V15" s="88"/>
      <c r="W15" s="11">
        <v>44787</v>
      </c>
      <c r="X15" s="5"/>
      <c r="Y15" s="5">
        <v>269.97000000000003</v>
      </c>
      <c r="Z15" s="5"/>
      <c r="AA15" s="5"/>
      <c r="AB15" s="5"/>
      <c r="AC15" s="5"/>
      <c r="AD15" s="5"/>
      <c r="AE15" s="5"/>
      <c r="AF15" s="5"/>
      <c r="AG15" s="5"/>
      <c r="AH15" s="5"/>
      <c r="AI15" s="5"/>
      <c r="AJ15" s="5"/>
      <c r="AK15" s="5"/>
      <c r="AL15" s="5">
        <v>100</v>
      </c>
      <c r="AM15" s="5"/>
      <c r="AN15" s="5"/>
      <c r="AO15" s="5"/>
    </row>
    <row r="16">
      <c r="A16" s="11">
        <v>44788</v>
      </c>
      <c r="B16" s="14"/>
      <c r="C16" s="93">
        <f>41.99+67+67</f>
        <v>175.99000000000001</v>
      </c>
      <c r="D16" s="14"/>
      <c r="E16" s="14">
        <v>369</v>
      </c>
      <c r="F16" s="14"/>
      <c r="G16" s="14">
        <v>369</v>
      </c>
      <c r="H16" s="14"/>
      <c r="I16" s="14"/>
      <c r="J16" s="14"/>
      <c r="K16" s="14"/>
      <c r="L16" s="14"/>
      <c r="M16" s="14"/>
      <c r="N16" s="14"/>
      <c r="O16" s="14"/>
      <c r="P16" s="14"/>
      <c r="Q16" s="14"/>
      <c r="R16" s="14"/>
      <c r="S16" s="14"/>
      <c r="T16" s="87"/>
      <c r="U16" s="31"/>
      <c r="V16" s="88"/>
      <c r="W16" s="11">
        <v>44788</v>
      </c>
      <c r="X16" s="14"/>
      <c r="Y16" s="14"/>
      <c r="Z16" s="14"/>
      <c r="AA16" s="14"/>
      <c r="AB16" s="14"/>
      <c r="AC16" s="14">
        <v>99</v>
      </c>
      <c r="AD16" s="14"/>
      <c r="AE16" s="14"/>
      <c r="AF16" s="14">
        <v>1129</v>
      </c>
      <c r="AG16" s="14"/>
      <c r="AH16" s="14"/>
      <c r="AI16" s="14"/>
      <c r="AJ16" s="14"/>
      <c r="AK16" s="14"/>
      <c r="AL16" s="14"/>
      <c r="AM16" s="14"/>
      <c r="AN16" s="14"/>
      <c r="AO16" s="14"/>
    </row>
    <row r="17">
      <c r="A17" s="11">
        <v>44789</v>
      </c>
      <c r="B17" s="5">
        <v>60</v>
      </c>
      <c r="C17" s="6">
        <v>543.97000000000003</v>
      </c>
      <c r="D17" s="5"/>
      <c r="E17" s="5"/>
      <c r="F17" s="5"/>
      <c r="G17" s="5">
        <v>1600</v>
      </c>
      <c r="H17" s="5"/>
      <c r="I17" s="5"/>
      <c r="J17" s="5"/>
      <c r="K17" s="5"/>
      <c r="L17" s="5"/>
      <c r="M17" s="5"/>
      <c r="N17" s="5"/>
      <c r="O17" s="5"/>
      <c r="P17" s="5"/>
      <c r="Q17" s="5"/>
      <c r="R17" s="5"/>
      <c r="S17" s="5"/>
      <c r="T17" s="87"/>
      <c r="U17" s="31"/>
      <c r="V17" s="88"/>
      <c r="W17" s="11">
        <v>44789</v>
      </c>
      <c r="X17" s="5"/>
      <c r="Y17" s="5"/>
      <c r="Z17" s="5"/>
      <c r="AA17" s="5"/>
      <c r="AB17" s="5"/>
      <c r="AC17" s="5"/>
      <c r="AD17" s="5"/>
      <c r="AE17" s="5"/>
      <c r="AF17" s="5"/>
      <c r="AG17" s="5"/>
      <c r="AH17" s="5"/>
      <c r="AI17" s="5"/>
      <c r="AJ17" s="5"/>
      <c r="AK17" s="5"/>
      <c r="AL17" s="5"/>
      <c r="AM17" s="5"/>
      <c r="AN17" s="5"/>
      <c r="AO17" s="5"/>
    </row>
    <row r="18">
      <c r="A18" s="11">
        <v>44790</v>
      </c>
      <c r="B18" s="14"/>
      <c r="C18" s="14">
        <v>122.98</v>
      </c>
      <c r="D18" s="14"/>
      <c r="E18" s="14"/>
      <c r="F18" s="14"/>
      <c r="G18" s="14">
        <f>1050+20.48</f>
        <v>1070.48</v>
      </c>
      <c r="H18" s="14"/>
      <c r="I18" s="14"/>
      <c r="J18" s="14"/>
      <c r="K18" s="14"/>
      <c r="L18" s="14"/>
      <c r="M18" s="14"/>
      <c r="N18" s="14"/>
      <c r="O18" s="14"/>
      <c r="P18" s="14"/>
      <c r="Q18" s="14"/>
      <c r="R18" s="14"/>
      <c r="S18" s="14"/>
      <c r="T18" s="87"/>
      <c r="U18" s="31"/>
      <c r="V18" s="88"/>
      <c r="W18" s="11">
        <v>44790</v>
      </c>
      <c r="X18" s="14">
        <f>25+25</f>
        <v>50</v>
      </c>
      <c r="Y18" s="14"/>
      <c r="Z18" s="14"/>
      <c r="AA18" s="14"/>
      <c r="AB18" s="14"/>
      <c r="AC18" s="14"/>
      <c r="AD18" s="14"/>
      <c r="AE18" s="14"/>
      <c r="AF18" s="14"/>
      <c r="AG18" s="14"/>
      <c r="AH18" s="14"/>
      <c r="AI18" s="14"/>
      <c r="AJ18" s="14"/>
      <c r="AK18" s="14"/>
      <c r="AL18" s="14"/>
      <c r="AM18" s="14"/>
      <c r="AN18" s="14"/>
      <c r="AO18" s="14"/>
    </row>
    <row r="19">
      <c r="A19" s="11">
        <v>44791</v>
      </c>
      <c r="B19" s="5">
        <v>60</v>
      </c>
      <c r="C19" s="5"/>
      <c r="D19" s="5">
        <v>69</v>
      </c>
      <c r="E19" s="5">
        <f>450+128</f>
        <v>578</v>
      </c>
      <c r="F19" s="5"/>
      <c r="G19" s="5"/>
      <c r="H19" s="5"/>
      <c r="I19" s="5"/>
      <c r="J19" s="5"/>
      <c r="K19" s="5"/>
      <c r="L19" s="5"/>
      <c r="M19" s="5"/>
      <c r="N19" s="5"/>
      <c r="O19" s="5"/>
      <c r="P19" s="5">
        <v>700</v>
      </c>
      <c r="Q19" s="5"/>
      <c r="R19" s="6"/>
      <c r="S19" s="5"/>
      <c r="T19" s="87"/>
      <c r="U19" s="31"/>
      <c r="V19" s="88"/>
      <c r="W19" s="11">
        <v>44791</v>
      </c>
      <c r="X19" s="5"/>
      <c r="Y19" s="5">
        <f>162.98+388.14</f>
        <v>551.12</v>
      </c>
      <c r="Z19" s="5"/>
      <c r="AA19" s="5"/>
      <c r="AB19" s="5"/>
      <c r="AC19" s="5"/>
      <c r="AD19" s="5"/>
      <c r="AE19" s="5"/>
      <c r="AF19" s="5">
        <v>231.99000000000001</v>
      </c>
      <c r="AG19" s="5"/>
      <c r="AH19" s="5"/>
      <c r="AI19" s="5"/>
      <c r="AJ19" s="5"/>
      <c r="AK19" s="5"/>
      <c r="AL19" s="5">
        <v>1006</v>
      </c>
      <c r="AM19" s="5"/>
      <c r="AN19" s="5"/>
      <c r="AO19" s="5"/>
    </row>
    <row r="20">
      <c r="A20" s="11">
        <v>44792</v>
      </c>
      <c r="B20" s="14">
        <v>60</v>
      </c>
      <c r="C20" s="14"/>
      <c r="D20" s="14">
        <v>57</v>
      </c>
      <c r="E20" s="14"/>
      <c r="F20" s="14"/>
      <c r="G20" s="14"/>
      <c r="H20" s="14"/>
      <c r="I20" s="14"/>
      <c r="J20" s="14"/>
      <c r="K20" s="14"/>
      <c r="L20" s="14"/>
      <c r="M20" s="14"/>
      <c r="N20" s="14"/>
      <c r="O20" s="14"/>
      <c r="P20" s="34"/>
      <c r="Q20" s="14"/>
      <c r="R20" s="14"/>
      <c r="S20" s="14"/>
      <c r="T20" s="87"/>
      <c r="U20" s="31"/>
      <c r="V20" s="88"/>
      <c r="W20" s="11">
        <v>44792</v>
      </c>
      <c r="X20" s="14"/>
      <c r="Y20" s="14">
        <f>645.95+69</f>
        <v>714.95000000000005</v>
      </c>
      <c r="Z20" s="14"/>
      <c r="AA20" s="14"/>
      <c r="AB20" s="14"/>
      <c r="AC20" s="14"/>
      <c r="AD20" s="14"/>
      <c r="AE20" s="14"/>
      <c r="AF20" s="14"/>
      <c r="AG20" s="14"/>
      <c r="AH20" s="14"/>
      <c r="AI20" s="14"/>
      <c r="AJ20" s="14"/>
      <c r="AK20" s="14"/>
      <c r="AL20" s="80">
        <v>100</v>
      </c>
      <c r="AM20" s="14"/>
      <c r="AN20" s="14"/>
      <c r="AO20" s="14"/>
    </row>
    <row r="21">
      <c r="A21" s="94">
        <v>44793</v>
      </c>
      <c r="B21" s="69"/>
      <c r="C21" s="6"/>
      <c r="D21" s="5"/>
      <c r="E21" s="5"/>
      <c r="F21" s="5"/>
      <c r="G21" s="5"/>
      <c r="H21" s="5"/>
      <c r="I21" s="5"/>
      <c r="J21" s="5"/>
      <c r="K21" s="5"/>
      <c r="L21" s="5"/>
      <c r="M21" s="5"/>
      <c r="N21" s="5"/>
      <c r="O21" s="5"/>
      <c r="P21" s="5"/>
      <c r="Q21" s="5"/>
      <c r="R21" s="5"/>
      <c r="S21" s="5"/>
      <c r="T21" s="87"/>
      <c r="U21" s="31"/>
      <c r="V21" s="88"/>
      <c r="W21" s="11">
        <v>44793</v>
      </c>
      <c r="X21" s="69"/>
      <c r="Y21" s="5">
        <f>9.78+135.9</f>
        <v>145.68000000000001</v>
      </c>
      <c r="Z21" s="5"/>
      <c r="AA21" s="5"/>
      <c r="AB21" s="5"/>
      <c r="AC21" s="5"/>
      <c r="AD21" s="5"/>
      <c r="AE21" s="5"/>
      <c r="AF21" s="5"/>
      <c r="AG21" s="5"/>
      <c r="AH21" s="5"/>
      <c r="AI21" s="5"/>
      <c r="AJ21" s="5"/>
      <c r="AK21" s="5"/>
      <c r="AL21" s="5"/>
      <c r="AM21" s="5"/>
      <c r="AN21" s="5"/>
      <c r="AO21" s="5"/>
    </row>
    <row r="22">
      <c r="A22" s="94">
        <v>44794</v>
      </c>
      <c r="B22" s="22"/>
      <c r="C22" s="14"/>
      <c r="D22" s="14"/>
      <c r="E22" s="14"/>
      <c r="F22" s="14"/>
      <c r="G22" s="14"/>
      <c r="H22" s="14"/>
      <c r="I22" s="14"/>
      <c r="J22" s="14"/>
      <c r="K22" s="14"/>
      <c r="L22" s="14"/>
      <c r="M22" s="14"/>
      <c r="N22" s="14"/>
      <c r="O22" s="14"/>
      <c r="P22" s="14"/>
      <c r="Q22" s="14"/>
      <c r="R22" s="14">
        <v>60</v>
      </c>
      <c r="S22" s="14"/>
      <c r="T22" s="87"/>
      <c r="U22" s="31"/>
      <c r="V22" s="88"/>
      <c r="W22" s="11">
        <v>44794</v>
      </c>
      <c r="X22" s="22"/>
      <c r="Y22" s="14"/>
      <c r="Z22" s="14"/>
      <c r="AA22" s="14"/>
      <c r="AB22" s="14"/>
      <c r="AC22" s="14"/>
      <c r="AD22" s="14"/>
      <c r="AE22" s="14"/>
      <c r="AF22" s="14"/>
      <c r="AG22" s="14"/>
      <c r="AH22" s="14"/>
      <c r="AI22" s="14"/>
      <c r="AJ22" s="14"/>
      <c r="AK22" s="14"/>
      <c r="AL22" s="14"/>
      <c r="AM22" s="14"/>
      <c r="AN22" s="14"/>
      <c r="AO22" s="14"/>
    </row>
    <row r="23">
      <c r="A23" s="11">
        <v>44795</v>
      </c>
      <c r="B23" s="5">
        <v>60</v>
      </c>
      <c r="C23" s="5">
        <v>162</v>
      </c>
      <c r="D23" s="5">
        <v>59</v>
      </c>
      <c r="E23" s="5">
        <v>729</v>
      </c>
      <c r="F23" s="5"/>
      <c r="G23" s="5">
        <v>112</v>
      </c>
      <c r="H23" s="5"/>
      <c r="I23" s="5"/>
      <c r="J23" s="5"/>
      <c r="K23" s="5"/>
      <c r="L23" s="5"/>
      <c r="M23" s="5"/>
      <c r="N23" s="5"/>
      <c r="O23" s="5"/>
      <c r="P23" s="5"/>
      <c r="Q23" s="5"/>
      <c r="R23" s="5">
        <v>1372</v>
      </c>
      <c r="S23" s="5"/>
      <c r="T23" s="87"/>
      <c r="U23" s="31"/>
      <c r="V23" s="88"/>
      <c r="W23" s="11">
        <v>44795</v>
      </c>
      <c r="X23" s="5"/>
      <c r="Y23" s="5">
        <v>412.92000000000002</v>
      </c>
      <c r="Z23" s="5"/>
      <c r="AA23" s="5"/>
      <c r="AB23" s="5"/>
      <c r="AC23" s="5"/>
      <c r="AD23" s="5"/>
      <c r="AE23" s="5"/>
      <c r="AF23" s="5">
        <v>1310</v>
      </c>
      <c r="AG23" s="5"/>
      <c r="AH23" s="5"/>
      <c r="AI23" s="5"/>
      <c r="AJ23" s="5"/>
      <c r="AK23" s="5"/>
      <c r="AL23" s="5"/>
      <c r="AM23" s="5"/>
      <c r="AN23" s="5"/>
      <c r="AO23" s="5"/>
    </row>
    <row r="24">
      <c r="A24" s="11">
        <v>44796</v>
      </c>
      <c r="B24" s="14"/>
      <c r="C24" s="14">
        <v>57.18</v>
      </c>
      <c r="D24" s="14"/>
      <c r="E24" s="14"/>
      <c r="F24" s="14"/>
      <c r="G24" s="14"/>
      <c r="H24" s="14"/>
      <c r="I24" s="14"/>
      <c r="J24" s="14"/>
      <c r="K24" s="14"/>
      <c r="L24" s="14"/>
      <c r="M24" s="14"/>
      <c r="N24" s="14"/>
      <c r="O24" s="14"/>
      <c r="P24" s="14"/>
      <c r="Q24" s="14"/>
      <c r="R24" s="14"/>
      <c r="S24" s="14"/>
      <c r="T24" s="87"/>
      <c r="U24" s="31"/>
      <c r="V24" s="88"/>
      <c r="W24" s="11">
        <v>44796</v>
      </c>
      <c r="X24" s="14"/>
      <c r="Y24" s="14">
        <f>401.07+185</f>
        <v>586.06999999999994</v>
      </c>
      <c r="Z24" s="14"/>
      <c r="AA24" s="14"/>
      <c r="AB24" s="14"/>
      <c r="AC24" s="14"/>
      <c r="AD24" s="14"/>
      <c r="AE24" s="14"/>
      <c r="AF24" s="14"/>
      <c r="AG24" s="14"/>
      <c r="AH24" s="14"/>
      <c r="AI24" s="14"/>
      <c r="AJ24" s="14"/>
      <c r="AK24" s="14"/>
      <c r="AL24" s="14">
        <f>60+100</f>
        <v>160</v>
      </c>
      <c r="AM24" s="14"/>
      <c r="AN24" s="14"/>
      <c r="AO24" s="14"/>
    </row>
    <row r="25">
      <c r="A25" s="11">
        <v>44797</v>
      </c>
      <c r="B25" s="28"/>
      <c r="C25" s="5"/>
      <c r="D25" s="5">
        <f>85+100</f>
        <v>185</v>
      </c>
      <c r="E25" s="5"/>
      <c r="F25" s="5"/>
      <c r="G25" s="5"/>
      <c r="H25" s="5"/>
      <c r="I25" s="5"/>
      <c r="J25" s="5"/>
      <c r="K25" s="5"/>
      <c r="L25" s="5"/>
      <c r="M25" s="5"/>
      <c r="N25" s="5"/>
      <c r="O25" s="5"/>
      <c r="P25" s="5"/>
      <c r="Q25" s="5"/>
      <c r="R25" s="5"/>
      <c r="S25" s="5"/>
      <c r="T25" s="87"/>
      <c r="U25" s="31"/>
      <c r="V25" s="88"/>
      <c r="W25" s="11">
        <v>44797</v>
      </c>
      <c r="X25" s="28"/>
      <c r="Y25" s="5"/>
      <c r="Z25" s="5"/>
      <c r="AA25" s="5"/>
      <c r="AB25" s="5"/>
      <c r="AC25" s="5"/>
      <c r="AD25" s="5"/>
      <c r="AE25" s="5"/>
      <c r="AF25" s="5"/>
      <c r="AG25" s="5"/>
      <c r="AH25" s="5"/>
      <c r="AI25" s="5"/>
      <c r="AJ25" s="5"/>
      <c r="AK25" s="5"/>
      <c r="AL25" s="5">
        <f>323</f>
        <v>323</v>
      </c>
      <c r="AM25" s="5"/>
      <c r="AN25" s="5"/>
      <c r="AO25" s="5"/>
    </row>
    <row r="26">
      <c r="A26" s="11">
        <v>44798</v>
      </c>
      <c r="B26" s="14"/>
      <c r="C26" s="14"/>
      <c r="D26" s="14"/>
      <c r="E26" s="14"/>
      <c r="F26" s="14"/>
      <c r="G26" s="14"/>
      <c r="H26" s="14"/>
      <c r="I26" s="14"/>
      <c r="J26" s="14"/>
      <c r="K26" s="14"/>
      <c r="L26" s="14">
        <v>1115.3299999999999</v>
      </c>
      <c r="M26" s="14">
        <v>300</v>
      </c>
      <c r="N26" s="14"/>
      <c r="O26" s="14"/>
      <c r="P26" s="14"/>
      <c r="Q26" s="14"/>
      <c r="R26" s="14"/>
      <c r="S26" s="14"/>
      <c r="T26" s="87"/>
      <c r="U26" s="31"/>
      <c r="V26" s="88"/>
      <c r="W26" s="11">
        <v>44798</v>
      </c>
      <c r="X26" s="14"/>
      <c r="Y26" s="14">
        <v>243.47</v>
      </c>
      <c r="Z26" s="14"/>
      <c r="AA26" s="14"/>
      <c r="AB26" s="14"/>
      <c r="AC26" s="14"/>
      <c r="AD26" s="14"/>
      <c r="AE26" s="14"/>
      <c r="AF26" s="14"/>
      <c r="AG26" s="14"/>
      <c r="AH26" s="14"/>
      <c r="AI26" s="14"/>
      <c r="AJ26" s="14"/>
      <c r="AK26" s="14"/>
      <c r="AL26" s="14">
        <v>940</v>
      </c>
      <c r="AM26" s="14"/>
      <c r="AN26" s="14"/>
      <c r="AO26" s="14"/>
    </row>
    <row r="27">
      <c r="A27" s="11">
        <v>44799</v>
      </c>
      <c r="B27" s="5">
        <v>60</v>
      </c>
      <c r="C27" s="6">
        <v>139</v>
      </c>
      <c r="D27" s="5">
        <f>9+57</f>
        <v>66</v>
      </c>
      <c r="E27" s="5"/>
      <c r="F27" s="5"/>
      <c r="G27" s="5"/>
      <c r="H27" s="5"/>
      <c r="I27" s="5"/>
      <c r="J27" s="5"/>
      <c r="K27" s="5"/>
      <c r="L27" s="5"/>
      <c r="M27" s="5"/>
      <c r="N27" s="5"/>
      <c r="O27" s="5"/>
      <c r="P27" s="5"/>
      <c r="Q27" s="5"/>
      <c r="R27" s="5"/>
      <c r="S27" s="5"/>
      <c r="T27" s="87"/>
      <c r="U27" s="31"/>
      <c r="V27" s="88"/>
      <c r="W27" s="11">
        <v>44799</v>
      </c>
      <c r="X27" s="5"/>
      <c r="Y27" s="5">
        <v>183.93000000000001</v>
      </c>
      <c r="Z27" s="5"/>
      <c r="AA27" s="5">
        <v>551</v>
      </c>
      <c r="AB27" s="5"/>
      <c r="AC27" s="5"/>
      <c r="AD27" s="5"/>
      <c r="AE27" s="5"/>
      <c r="AF27" s="5">
        <v>1303</v>
      </c>
      <c r="AG27" s="5"/>
      <c r="AH27" s="5"/>
      <c r="AI27" s="5"/>
      <c r="AJ27" s="5"/>
      <c r="AK27" s="5"/>
      <c r="AL27" s="5"/>
      <c r="AM27" s="5"/>
      <c r="AN27" s="5"/>
      <c r="AO27" s="5"/>
    </row>
    <row r="28">
      <c r="A28" s="94">
        <v>44800</v>
      </c>
      <c r="B28" s="14"/>
      <c r="C28" s="14"/>
      <c r="D28" s="14"/>
      <c r="E28" s="14"/>
      <c r="F28" s="14"/>
      <c r="G28" s="14"/>
      <c r="H28" s="14"/>
      <c r="I28" s="14"/>
      <c r="J28" s="14">
        <v>173</v>
      </c>
      <c r="K28" s="14"/>
      <c r="L28" s="14"/>
      <c r="M28" s="14"/>
      <c r="N28" s="14"/>
      <c r="O28" s="14"/>
      <c r="P28" s="14"/>
      <c r="Q28" s="14"/>
      <c r="R28" s="14"/>
      <c r="S28" s="14"/>
      <c r="T28" s="87"/>
      <c r="U28" s="31"/>
      <c r="V28" s="88"/>
      <c r="W28" s="11">
        <v>44800</v>
      </c>
      <c r="X28" s="14"/>
      <c r="Y28" s="14"/>
      <c r="Z28" s="14"/>
      <c r="AA28" s="14"/>
      <c r="AB28" s="14"/>
      <c r="AC28" s="14"/>
      <c r="AD28" s="14"/>
      <c r="AE28" s="14"/>
      <c r="AF28" s="14"/>
      <c r="AG28" s="14"/>
      <c r="AH28" s="14"/>
      <c r="AI28" s="14"/>
      <c r="AJ28" s="14"/>
      <c r="AK28" s="14"/>
      <c r="AL28" s="14"/>
      <c r="AM28" s="14"/>
      <c r="AN28" s="14"/>
      <c r="AO28" s="14"/>
    </row>
    <row r="29">
      <c r="A29" s="94">
        <v>44801</v>
      </c>
      <c r="B29" s="5"/>
      <c r="C29" s="5">
        <v>239.97999999999999</v>
      </c>
      <c r="D29" s="5"/>
      <c r="E29" s="5"/>
      <c r="F29" s="5"/>
      <c r="G29" s="5"/>
      <c r="H29" s="5"/>
      <c r="I29" s="5"/>
      <c r="J29" s="5"/>
      <c r="K29" s="5"/>
      <c r="L29" s="5"/>
      <c r="M29" s="5"/>
      <c r="N29" s="5"/>
      <c r="O29" s="5"/>
      <c r="P29" s="5"/>
      <c r="Q29" s="5"/>
      <c r="R29" s="5"/>
      <c r="S29" s="5"/>
      <c r="T29" s="87"/>
      <c r="U29" s="31"/>
      <c r="V29" s="88"/>
      <c r="W29" s="11">
        <v>44801</v>
      </c>
      <c r="X29" s="5"/>
      <c r="Y29" s="5"/>
      <c r="Z29" s="5"/>
      <c r="AA29" s="5"/>
      <c r="AB29" s="5"/>
      <c r="AC29" s="5"/>
      <c r="AD29" s="5"/>
      <c r="AE29" s="5"/>
      <c r="AF29" s="5"/>
      <c r="AG29" s="5"/>
      <c r="AH29" s="5"/>
      <c r="AI29" s="5"/>
      <c r="AJ29" s="5"/>
      <c r="AK29" s="5"/>
      <c r="AL29" s="5"/>
      <c r="AM29" s="5"/>
      <c r="AN29" s="5"/>
      <c r="AO29" s="5"/>
    </row>
    <row r="30">
      <c r="A30" s="11">
        <v>44802</v>
      </c>
      <c r="B30" s="22"/>
      <c r="C30" s="22">
        <v>770.88</v>
      </c>
      <c r="D30" s="22"/>
      <c r="E30" s="22"/>
      <c r="F30" s="22"/>
      <c r="G30" s="22">
        <v>14700</v>
      </c>
      <c r="H30" s="22"/>
      <c r="I30" s="22"/>
      <c r="J30" s="22"/>
      <c r="K30" s="22"/>
      <c r="L30" s="22"/>
      <c r="M30" s="22"/>
      <c r="N30" s="22"/>
      <c r="O30" s="22"/>
      <c r="P30" s="22"/>
      <c r="Q30" s="22"/>
      <c r="R30" s="22"/>
      <c r="S30" s="22"/>
      <c r="T30" s="87"/>
      <c r="U30" s="31"/>
      <c r="V30" s="88"/>
      <c r="W30" s="11">
        <v>44802</v>
      </c>
      <c r="X30" s="22"/>
      <c r="Y30" s="22"/>
      <c r="Z30" s="22"/>
      <c r="AA30" s="22"/>
      <c r="AB30" s="22"/>
      <c r="AC30" s="22"/>
      <c r="AD30" s="22"/>
      <c r="AE30" s="22"/>
      <c r="AF30" s="22"/>
      <c r="AG30" s="22"/>
      <c r="AH30" s="22"/>
      <c r="AI30" s="22"/>
      <c r="AJ30" s="22"/>
      <c r="AK30" s="22"/>
      <c r="AL30" s="22">
        <v>4870</v>
      </c>
      <c r="AM30" s="22"/>
      <c r="AN30" s="22"/>
      <c r="AO30" s="22"/>
    </row>
    <row r="31">
      <c r="A31" s="11">
        <v>44803</v>
      </c>
      <c r="B31" s="5">
        <v>60</v>
      </c>
      <c r="C31" s="5"/>
      <c r="D31" s="5">
        <f>63+4</f>
        <v>67</v>
      </c>
      <c r="E31" s="5"/>
      <c r="F31" s="5"/>
      <c r="G31" s="5"/>
      <c r="H31" s="5"/>
      <c r="I31" s="5"/>
      <c r="J31" s="5"/>
      <c r="K31" s="5"/>
      <c r="L31" s="5"/>
      <c r="M31" s="5"/>
      <c r="N31" s="5"/>
      <c r="O31" s="5"/>
      <c r="P31" s="5"/>
      <c r="Q31" s="5"/>
      <c r="R31" s="5"/>
      <c r="S31" s="5"/>
      <c r="T31" s="87"/>
      <c r="U31" s="31"/>
      <c r="V31" s="88"/>
      <c r="W31" s="11">
        <v>44803</v>
      </c>
      <c r="X31" s="5"/>
      <c r="Y31" s="5">
        <v>306.97000000000003</v>
      </c>
      <c r="Z31" s="5"/>
      <c r="AA31" s="5"/>
      <c r="AB31" s="5"/>
      <c r="AC31" s="5"/>
      <c r="AD31" s="5"/>
      <c r="AE31" s="5"/>
      <c r="AF31" s="5"/>
      <c r="AG31" s="5"/>
      <c r="AH31" s="5"/>
      <c r="AI31" s="5"/>
      <c r="AJ31" s="5"/>
      <c r="AK31" s="5"/>
      <c r="AL31" s="5">
        <f>320+162</f>
        <v>482</v>
      </c>
      <c r="AM31" s="5"/>
      <c r="AN31" s="5"/>
      <c r="AO31" s="5"/>
    </row>
    <row r="32">
      <c r="A32" s="11">
        <v>44804</v>
      </c>
      <c r="B32" s="22"/>
      <c r="C32" s="22"/>
      <c r="D32" s="22"/>
      <c r="E32" s="22"/>
      <c r="F32" s="22"/>
      <c r="G32" s="22">
        <v>49</v>
      </c>
      <c r="H32" s="22"/>
      <c r="I32" s="22"/>
      <c r="J32" s="22">
        <v>166</v>
      </c>
      <c r="K32" s="22"/>
      <c r="L32" s="22">
        <v>2195.8299999999999</v>
      </c>
      <c r="M32" s="22"/>
      <c r="N32" s="22"/>
      <c r="O32" s="22"/>
      <c r="P32" s="22"/>
      <c r="Q32" s="22"/>
      <c r="R32" s="22"/>
      <c r="S32" s="22"/>
      <c r="T32" s="87"/>
      <c r="U32" s="31"/>
      <c r="V32" s="88"/>
      <c r="W32" s="11">
        <v>44804</v>
      </c>
      <c r="X32" s="22">
        <f>25+25</f>
        <v>50</v>
      </c>
      <c r="Y32" s="22">
        <f>42.99+87.98</f>
        <v>130.97</v>
      </c>
      <c r="Z32" s="22"/>
      <c r="AA32" s="22"/>
      <c r="AB32" s="22"/>
      <c r="AC32" s="22"/>
      <c r="AD32" s="22"/>
      <c r="AE32" s="22"/>
      <c r="AF32" s="22">
        <v>80</v>
      </c>
      <c r="AG32" s="22"/>
      <c r="AH32" s="22"/>
      <c r="AI32" s="22"/>
      <c r="AJ32" s="22"/>
      <c r="AK32" s="22"/>
      <c r="AL32" s="22"/>
      <c r="AM32" s="22"/>
      <c r="AN32" s="22"/>
      <c r="AO32" s="22"/>
    </row>
    <row r="33">
      <c r="A33" s="74"/>
      <c r="B33" s="75">
        <f t="shared" ref="B33:R33" si="126">SUM(B2:B32)</f>
        <v>840</v>
      </c>
      <c r="C33" s="75">
        <f t="shared" si="126"/>
        <v>4792.79</v>
      </c>
      <c r="D33" s="75">
        <f t="shared" si="126"/>
        <v>1243</v>
      </c>
      <c r="E33" s="75">
        <f t="shared" si="126"/>
        <v>2444</v>
      </c>
      <c r="F33" s="75">
        <f t="shared" si="126"/>
        <v>3000</v>
      </c>
      <c r="G33" s="75">
        <f t="shared" si="126"/>
        <v>21974.48</v>
      </c>
      <c r="H33" s="75">
        <f t="shared" si="126"/>
        <v>0</v>
      </c>
      <c r="I33" s="75">
        <f t="shared" si="126"/>
        <v>0</v>
      </c>
      <c r="J33" s="75">
        <f t="shared" si="126"/>
        <v>23397</v>
      </c>
      <c r="K33" s="75">
        <f t="shared" si="126"/>
        <v>0</v>
      </c>
      <c r="L33" s="75">
        <f t="shared" si="126"/>
        <v>3311.1599999999999</v>
      </c>
      <c r="M33" s="75">
        <f t="shared" si="126"/>
        <v>300</v>
      </c>
      <c r="N33" s="75">
        <f t="shared" si="126"/>
        <v>625</v>
      </c>
      <c r="O33" s="75">
        <f t="shared" si="126"/>
        <v>0</v>
      </c>
      <c r="P33" s="75">
        <f t="shared" si="126"/>
        <v>700</v>
      </c>
      <c r="Q33" s="75">
        <f t="shared" si="126"/>
        <v>0</v>
      </c>
      <c r="R33" s="75">
        <f t="shared" si="126"/>
        <v>1432</v>
      </c>
      <c r="S33" s="75">
        <f>SUM(B33:R33)+S15</f>
        <v>64059.430000000008</v>
      </c>
      <c r="T33" s="87"/>
      <c r="U33" s="31"/>
      <c r="V33" s="88"/>
      <c r="W33" s="74"/>
      <c r="X33" s="75">
        <f t="shared" ref="X33:AN33" si="127">SUM(X2:X32)</f>
        <v>2266.2600000000002</v>
      </c>
      <c r="Y33" s="75">
        <f t="shared" si="127"/>
        <v>5365.5600000000013</v>
      </c>
      <c r="Z33" s="75">
        <f t="shared" si="127"/>
        <v>0</v>
      </c>
      <c r="AA33" s="75">
        <f t="shared" si="127"/>
        <v>551</v>
      </c>
      <c r="AB33" s="75">
        <f t="shared" si="127"/>
        <v>0</v>
      </c>
      <c r="AC33" s="75">
        <f t="shared" si="127"/>
        <v>99</v>
      </c>
      <c r="AD33" s="75">
        <f t="shared" si="127"/>
        <v>143.99000000000001</v>
      </c>
      <c r="AE33" s="75">
        <f t="shared" si="127"/>
        <v>0</v>
      </c>
      <c r="AF33" s="75">
        <f t="shared" si="127"/>
        <v>5319.9899999999998</v>
      </c>
      <c r="AG33" s="75">
        <f t="shared" si="127"/>
        <v>0</v>
      </c>
      <c r="AH33" s="75">
        <f t="shared" si="127"/>
        <v>0</v>
      </c>
      <c r="AI33" s="75">
        <f t="shared" si="127"/>
        <v>0</v>
      </c>
      <c r="AJ33" s="75">
        <f t="shared" si="127"/>
        <v>350</v>
      </c>
      <c r="AK33" s="75">
        <f t="shared" si="127"/>
        <v>0</v>
      </c>
      <c r="AL33" s="75">
        <f t="shared" si="127"/>
        <v>8729</v>
      </c>
      <c r="AM33" s="75">
        <f t="shared" si="127"/>
        <v>0</v>
      </c>
      <c r="AN33" s="75">
        <f t="shared" si="127"/>
        <v>0</v>
      </c>
      <c r="AO33" s="75">
        <f>SUM(X33:AN33)</f>
        <v>22824.800000000003</v>
      </c>
    </row>
    <row r="34">
      <c r="A34" s="84"/>
      <c r="B34" s="84"/>
      <c r="C34" s="84"/>
      <c r="D34" s="84"/>
      <c r="E34" s="84"/>
      <c r="F34" s="84"/>
      <c r="G34" s="84"/>
      <c r="H34" s="84"/>
      <c r="I34" s="84"/>
      <c r="J34" s="84"/>
      <c r="K34" s="84"/>
      <c r="L34" s="84"/>
      <c r="M34" s="84"/>
      <c r="N34" s="84"/>
      <c r="O34" s="84"/>
      <c r="P34" s="84"/>
      <c r="Q34" s="84"/>
      <c r="R34" s="84"/>
      <c r="S34" s="84"/>
      <c r="T34" s="31"/>
      <c r="U34" s="31"/>
      <c r="V34" s="31"/>
      <c r="W34" s="84"/>
      <c r="X34" s="84"/>
      <c r="Y34" s="84"/>
      <c r="Z34" s="84"/>
      <c r="AA34" s="84"/>
      <c r="AB34" s="84"/>
      <c r="AC34" s="84"/>
      <c r="AD34" s="84"/>
      <c r="AE34" s="84"/>
      <c r="AF34" s="84"/>
      <c r="AG34" s="84"/>
      <c r="AH34" s="84"/>
      <c r="AI34" s="84"/>
      <c r="AJ34" s="84"/>
      <c r="AK34" s="84"/>
      <c r="AL34" s="84"/>
      <c r="AM34" s="84"/>
      <c r="AN34" s="84"/>
      <c r="AO34" s="84"/>
    </row>
    <row r="35">
      <c r="A35" s="85" t="s">
        <v>0</v>
      </c>
      <c r="B35" s="85" t="s">
        <v>50</v>
      </c>
      <c r="C35" s="85" t="s">
        <v>13</v>
      </c>
      <c r="D35" s="85" t="s">
        <v>11</v>
      </c>
      <c r="E35" s="85" t="s">
        <v>51</v>
      </c>
      <c r="F35" s="85" t="s">
        <v>52</v>
      </c>
      <c r="G35" s="85" t="s">
        <v>53</v>
      </c>
      <c r="H35" s="85" t="s">
        <v>54</v>
      </c>
      <c r="I35" s="85" t="s">
        <v>55</v>
      </c>
      <c r="J35" s="85" t="s">
        <v>61</v>
      </c>
      <c r="K35" s="85" t="s">
        <v>74</v>
      </c>
      <c r="L35" s="86"/>
      <c r="M35" s="86"/>
      <c r="N35" s="86"/>
      <c r="O35" s="86"/>
      <c r="P35" s="86"/>
      <c r="Q35" s="86"/>
      <c r="R35" s="86"/>
      <c r="S35" s="86"/>
      <c r="T35" s="87"/>
      <c r="U35" s="31"/>
      <c r="V35" s="88"/>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44774</v>
      </c>
      <c r="B36" s="14"/>
      <c r="C36" s="14"/>
      <c r="D36" s="14"/>
      <c r="E36" s="14"/>
      <c r="F36" s="14"/>
      <c r="G36" s="14"/>
      <c r="H36" s="14"/>
      <c r="I36" s="14"/>
      <c r="J36" s="22"/>
      <c r="K36" s="22"/>
      <c r="L36" s="22"/>
      <c r="M36" s="22"/>
      <c r="N36" s="22"/>
      <c r="O36" s="22"/>
      <c r="P36" s="22"/>
      <c r="Q36" s="22"/>
      <c r="R36" s="22"/>
      <c r="S36" s="22"/>
      <c r="T36" s="87"/>
      <c r="U36" s="31"/>
      <c r="V36" s="88"/>
      <c r="W36" s="11">
        <v>44774</v>
      </c>
      <c r="X36" s="14"/>
      <c r="Y36" s="14"/>
      <c r="Z36" s="14"/>
      <c r="AA36" s="14"/>
      <c r="AB36" s="14"/>
      <c r="AC36" s="14"/>
      <c r="AD36" s="14"/>
      <c r="AE36" s="14"/>
      <c r="AF36" s="22"/>
      <c r="AG36" s="22"/>
      <c r="AH36" s="22"/>
      <c r="AI36" s="22"/>
      <c r="AJ36" s="22"/>
      <c r="AK36" s="22"/>
      <c r="AL36" s="22"/>
      <c r="AM36" s="22"/>
      <c r="AN36" s="22"/>
      <c r="AO36" s="22"/>
    </row>
    <row r="37">
      <c r="A37" s="11">
        <v>44775</v>
      </c>
      <c r="B37" s="5"/>
      <c r="C37" s="5"/>
      <c r="D37" s="5"/>
      <c r="E37" s="5"/>
      <c r="F37" s="5"/>
      <c r="G37" s="5"/>
      <c r="H37" s="5"/>
      <c r="I37" s="5"/>
      <c r="J37" s="5"/>
      <c r="K37" s="5"/>
      <c r="L37" s="5"/>
      <c r="M37" s="5"/>
      <c r="N37" s="5"/>
      <c r="O37" s="5"/>
      <c r="P37" s="5"/>
      <c r="Q37" s="5"/>
      <c r="R37" s="5"/>
      <c r="S37" s="5"/>
      <c r="T37" s="87"/>
      <c r="U37" s="31"/>
      <c r="V37" s="88"/>
      <c r="W37" s="11">
        <v>44775</v>
      </c>
      <c r="X37" s="5"/>
      <c r="Y37" s="5"/>
      <c r="Z37" s="5"/>
      <c r="AA37" s="5"/>
      <c r="AB37" s="5"/>
      <c r="AC37" s="5"/>
      <c r="AD37" s="5"/>
      <c r="AE37" s="5"/>
      <c r="AF37" s="5"/>
      <c r="AG37" s="5"/>
      <c r="AH37" s="5"/>
      <c r="AI37" s="5"/>
      <c r="AJ37" s="5"/>
      <c r="AK37" s="5"/>
      <c r="AL37" s="5"/>
      <c r="AM37" s="5"/>
      <c r="AN37" s="5"/>
      <c r="AO37" s="5"/>
    </row>
    <row r="38">
      <c r="A38" s="11">
        <v>44776</v>
      </c>
      <c r="B38" s="14"/>
      <c r="C38" s="14"/>
      <c r="D38" s="14"/>
      <c r="E38" s="14"/>
      <c r="F38" s="14"/>
      <c r="G38" s="14"/>
      <c r="H38" s="14"/>
      <c r="I38" s="14"/>
      <c r="J38" s="22"/>
      <c r="K38" s="22"/>
      <c r="L38" s="22"/>
      <c r="M38" s="22"/>
      <c r="N38" s="22"/>
      <c r="O38" s="22"/>
      <c r="P38" s="22"/>
      <c r="Q38" s="22"/>
      <c r="R38" s="22"/>
      <c r="S38" s="22"/>
      <c r="T38" s="87"/>
      <c r="U38" s="31"/>
      <c r="V38" s="88"/>
      <c r="W38" s="11">
        <v>44776</v>
      </c>
      <c r="X38" s="14"/>
      <c r="Y38" s="14"/>
      <c r="Z38" s="14"/>
      <c r="AA38" s="14"/>
      <c r="AB38" s="14"/>
      <c r="AC38" s="14"/>
      <c r="AD38" s="14"/>
      <c r="AE38" s="14"/>
      <c r="AF38" s="22"/>
      <c r="AG38" s="22"/>
      <c r="AH38" s="22"/>
      <c r="AI38" s="22"/>
      <c r="AJ38" s="22"/>
      <c r="AK38" s="22"/>
      <c r="AL38" s="22"/>
      <c r="AM38" s="22"/>
      <c r="AN38" s="22"/>
      <c r="AO38" s="22"/>
    </row>
    <row r="39">
      <c r="A39" s="11">
        <v>44777</v>
      </c>
      <c r="B39" s="5"/>
      <c r="C39" s="5"/>
      <c r="D39" s="5"/>
      <c r="E39" s="71"/>
      <c r="F39" s="5"/>
      <c r="G39" s="5"/>
      <c r="H39" s="5"/>
      <c r="I39" s="5"/>
      <c r="J39" s="5"/>
      <c r="K39" s="5"/>
      <c r="L39" s="5"/>
      <c r="M39" s="5"/>
      <c r="N39" s="5"/>
      <c r="O39" s="5"/>
      <c r="P39" s="5"/>
      <c r="Q39" s="5"/>
      <c r="R39" s="5"/>
      <c r="S39" s="5"/>
      <c r="T39" s="87"/>
      <c r="U39" s="31"/>
      <c r="V39" s="88"/>
      <c r="W39" s="11">
        <v>44777</v>
      </c>
      <c r="X39" s="5"/>
      <c r="Y39" s="5"/>
      <c r="Z39" s="5"/>
      <c r="AA39" s="71"/>
      <c r="AB39" s="5"/>
      <c r="AC39" s="5"/>
      <c r="AD39" s="5"/>
      <c r="AE39" s="5"/>
      <c r="AF39" s="5"/>
      <c r="AG39" s="5"/>
      <c r="AH39" s="5"/>
      <c r="AI39" s="5"/>
      <c r="AJ39" s="5"/>
      <c r="AK39" s="5"/>
      <c r="AL39" s="5"/>
      <c r="AM39" s="5"/>
      <c r="AN39" s="5"/>
      <c r="AO39" s="5"/>
    </row>
    <row r="40">
      <c r="A40" s="11">
        <v>44778</v>
      </c>
      <c r="B40" s="14">
        <v>31177.200000000001</v>
      </c>
      <c r="C40" s="14"/>
      <c r="D40" s="14"/>
      <c r="E40" s="14"/>
      <c r="F40" s="14"/>
      <c r="G40" s="14"/>
      <c r="H40" s="14"/>
      <c r="I40" s="14"/>
      <c r="J40" s="14"/>
      <c r="K40" s="14"/>
      <c r="L40" s="14"/>
      <c r="M40" s="14"/>
      <c r="N40" s="14"/>
      <c r="O40" s="14"/>
      <c r="P40" s="14"/>
      <c r="Q40" s="14"/>
      <c r="R40" s="14"/>
      <c r="S40" s="14"/>
      <c r="T40" s="87"/>
      <c r="U40" s="31"/>
      <c r="V40" s="88"/>
      <c r="W40" s="11">
        <v>44778</v>
      </c>
      <c r="X40" s="14"/>
      <c r="Y40" s="14"/>
      <c r="Z40" s="14"/>
      <c r="AA40" s="14"/>
      <c r="AB40" s="14"/>
      <c r="AC40" s="14"/>
      <c r="AD40" s="14"/>
      <c r="AE40" s="14"/>
      <c r="AF40" s="14"/>
      <c r="AG40" s="14"/>
      <c r="AH40" s="14"/>
      <c r="AI40" s="14"/>
      <c r="AJ40" s="14"/>
      <c r="AK40" s="14"/>
      <c r="AL40" s="14"/>
      <c r="AM40" s="14"/>
      <c r="AN40" s="14"/>
      <c r="AO40" s="14"/>
    </row>
    <row r="41">
      <c r="A41" s="11">
        <v>44779</v>
      </c>
      <c r="B41" s="5"/>
      <c r="C41" s="5"/>
      <c r="D41" s="5"/>
      <c r="E41" s="5"/>
      <c r="F41" s="5"/>
      <c r="G41" s="5"/>
      <c r="H41" s="5"/>
      <c r="I41" s="5"/>
      <c r="J41" s="5"/>
      <c r="K41" s="5"/>
      <c r="L41" s="5"/>
      <c r="M41" s="5"/>
      <c r="N41" s="5"/>
      <c r="O41" s="5"/>
      <c r="P41" s="5"/>
      <c r="Q41" s="5"/>
      <c r="R41" s="5"/>
      <c r="S41" s="5"/>
      <c r="T41" s="87"/>
      <c r="U41" s="31"/>
      <c r="V41" s="88"/>
      <c r="W41" s="11">
        <v>44779</v>
      </c>
      <c r="X41" s="5"/>
      <c r="Y41" s="5"/>
      <c r="Z41" s="5"/>
      <c r="AA41" s="5"/>
      <c r="AB41" s="5"/>
      <c r="AC41" s="5"/>
      <c r="AD41" s="5"/>
      <c r="AE41" s="5"/>
      <c r="AF41" s="5"/>
      <c r="AG41" s="5"/>
      <c r="AH41" s="5"/>
      <c r="AI41" s="5"/>
      <c r="AJ41" s="5"/>
      <c r="AK41" s="5"/>
      <c r="AL41" s="5"/>
      <c r="AM41" s="5"/>
      <c r="AN41" s="5"/>
      <c r="AO41" s="5"/>
    </row>
    <row r="42">
      <c r="A42" s="11">
        <v>44780</v>
      </c>
      <c r="B42" s="14"/>
      <c r="C42" s="14"/>
      <c r="D42" s="14"/>
      <c r="E42" s="14"/>
      <c r="F42" s="14"/>
      <c r="G42" s="14"/>
      <c r="H42" s="14"/>
      <c r="I42" s="14"/>
      <c r="J42" s="14"/>
      <c r="K42" s="14"/>
      <c r="L42" s="14"/>
      <c r="M42" s="14"/>
      <c r="N42" s="14"/>
      <c r="O42" s="14"/>
      <c r="P42" s="14"/>
      <c r="Q42" s="14"/>
      <c r="R42" s="14"/>
      <c r="S42" s="14"/>
      <c r="T42" s="87"/>
      <c r="U42" s="31"/>
      <c r="V42" s="88"/>
      <c r="W42" s="11">
        <v>44780</v>
      </c>
      <c r="X42" s="14"/>
      <c r="Y42" s="14"/>
      <c r="Z42" s="14"/>
      <c r="AA42" s="14"/>
      <c r="AB42" s="14"/>
      <c r="AC42" s="14"/>
      <c r="AD42" s="14"/>
      <c r="AE42" s="14"/>
      <c r="AF42" s="14"/>
      <c r="AG42" s="14"/>
      <c r="AH42" s="14"/>
      <c r="AI42" s="14"/>
      <c r="AJ42" s="14"/>
      <c r="AK42" s="14"/>
      <c r="AL42" s="14"/>
      <c r="AM42" s="14"/>
      <c r="AN42" s="14"/>
      <c r="AO42" s="14"/>
    </row>
    <row r="43">
      <c r="A43" s="11">
        <v>44781</v>
      </c>
      <c r="B43" s="5"/>
      <c r="C43" s="5"/>
      <c r="D43" s="5"/>
      <c r="E43" s="5"/>
      <c r="F43" s="5"/>
      <c r="G43" s="5"/>
      <c r="H43" s="5"/>
      <c r="I43" s="5"/>
      <c r="J43" s="5"/>
      <c r="K43" s="5"/>
      <c r="L43" s="5"/>
      <c r="M43" s="5"/>
      <c r="N43" s="5"/>
      <c r="O43" s="5"/>
      <c r="P43" s="5"/>
      <c r="Q43" s="5"/>
      <c r="R43" s="5"/>
      <c r="S43" s="5"/>
      <c r="T43" s="87"/>
      <c r="U43" s="31"/>
      <c r="V43" s="88"/>
      <c r="W43" s="11">
        <v>44781</v>
      </c>
      <c r="X43" s="5"/>
      <c r="Y43" s="5"/>
      <c r="Z43" s="5"/>
      <c r="AA43" s="5"/>
      <c r="AB43" s="5"/>
      <c r="AC43" s="5"/>
      <c r="AD43" s="5"/>
      <c r="AE43" s="5"/>
      <c r="AF43" s="5"/>
      <c r="AG43" s="5"/>
      <c r="AH43" s="5"/>
      <c r="AI43" s="5"/>
      <c r="AJ43" s="5"/>
      <c r="AK43" s="5"/>
      <c r="AL43" s="5"/>
      <c r="AM43" s="5"/>
      <c r="AN43" s="5"/>
      <c r="AO43" s="5"/>
    </row>
    <row r="44">
      <c r="A44" s="11">
        <v>44782</v>
      </c>
      <c r="B44" s="79"/>
      <c r="C44" s="14"/>
      <c r="D44" s="14"/>
      <c r="E44" s="14"/>
      <c r="F44" s="14"/>
      <c r="G44" s="14"/>
      <c r="H44" s="14"/>
      <c r="I44" s="14"/>
      <c r="J44" s="14"/>
      <c r="K44" s="14"/>
      <c r="L44" s="14"/>
      <c r="M44" s="14"/>
      <c r="N44" s="14"/>
      <c r="O44" s="14"/>
      <c r="P44" s="14"/>
      <c r="Q44" s="14"/>
      <c r="R44" s="14"/>
      <c r="S44" s="14"/>
      <c r="T44" s="87"/>
      <c r="U44" s="31"/>
      <c r="V44" s="88"/>
      <c r="W44" s="11">
        <v>44782</v>
      </c>
      <c r="X44" s="79"/>
      <c r="Y44" s="14"/>
      <c r="Z44" s="14"/>
      <c r="AA44" s="14"/>
      <c r="AB44" s="14"/>
      <c r="AC44" s="14"/>
      <c r="AD44" s="14">
        <v>300</v>
      </c>
      <c r="AE44" s="14"/>
      <c r="AF44" s="14"/>
      <c r="AG44" s="14"/>
      <c r="AH44" s="14"/>
      <c r="AI44" s="14"/>
      <c r="AJ44" s="14"/>
      <c r="AK44" s="14"/>
      <c r="AL44" s="14"/>
      <c r="AM44" s="14"/>
      <c r="AN44" s="14"/>
      <c r="AO44" s="14"/>
    </row>
    <row r="45">
      <c r="A45" s="11">
        <v>44783</v>
      </c>
      <c r="B45" s="5"/>
      <c r="C45" s="5"/>
      <c r="D45" s="5"/>
      <c r="E45" s="5"/>
      <c r="F45" s="5"/>
      <c r="G45" s="5"/>
      <c r="H45" s="5"/>
      <c r="I45" s="5">
        <v>138</v>
      </c>
      <c r="J45" s="5"/>
      <c r="K45" s="5"/>
      <c r="L45" s="5"/>
      <c r="M45" s="5"/>
      <c r="N45" s="5"/>
      <c r="O45" s="5"/>
      <c r="P45" s="5"/>
      <c r="Q45" s="5"/>
      <c r="R45" s="5"/>
      <c r="S45" s="5"/>
      <c r="T45" s="87"/>
      <c r="U45" s="31"/>
      <c r="V45" s="88"/>
      <c r="W45" s="11">
        <v>44783</v>
      </c>
      <c r="X45" s="5"/>
      <c r="Y45" s="5"/>
      <c r="Z45" s="5"/>
      <c r="AA45" s="5"/>
      <c r="AB45" s="5"/>
      <c r="AC45" s="5"/>
      <c r="AD45" s="5"/>
      <c r="AE45" s="5"/>
      <c r="AF45" s="5"/>
      <c r="AG45" s="5"/>
      <c r="AH45" s="5"/>
      <c r="AI45" s="5"/>
      <c r="AJ45" s="5"/>
      <c r="AK45" s="5"/>
      <c r="AL45" s="5"/>
      <c r="AM45" s="5"/>
      <c r="AN45" s="5"/>
      <c r="AO45" s="5"/>
    </row>
    <row r="46">
      <c r="A46" s="11">
        <v>44784</v>
      </c>
      <c r="B46" s="14"/>
      <c r="C46" s="14"/>
      <c r="D46" s="14"/>
      <c r="E46" s="14"/>
      <c r="F46" s="14"/>
      <c r="G46" s="14"/>
      <c r="H46" s="14"/>
      <c r="I46" s="14"/>
      <c r="J46" s="14"/>
      <c r="K46" s="14"/>
      <c r="L46" s="14"/>
      <c r="M46" s="14"/>
      <c r="N46" s="14"/>
      <c r="O46" s="14"/>
      <c r="P46" s="14"/>
      <c r="Q46" s="14"/>
      <c r="R46" s="14"/>
      <c r="S46" s="14"/>
      <c r="T46" s="87"/>
      <c r="U46" s="31"/>
      <c r="V46" s="88"/>
      <c r="W46" s="11">
        <v>44784</v>
      </c>
      <c r="X46" s="14"/>
      <c r="Y46" s="14"/>
      <c r="Z46" s="14"/>
      <c r="AA46" s="14"/>
      <c r="AB46" s="14"/>
      <c r="AC46" s="14"/>
      <c r="AD46" s="14"/>
      <c r="AE46" s="14"/>
      <c r="AF46" s="14"/>
      <c r="AG46" s="14"/>
      <c r="AH46" s="14"/>
      <c r="AI46" s="14"/>
      <c r="AJ46" s="14"/>
      <c r="AK46" s="14"/>
      <c r="AL46" s="14"/>
      <c r="AM46" s="14"/>
      <c r="AN46" s="14"/>
      <c r="AO46" s="14"/>
    </row>
    <row r="47">
      <c r="A47" s="11">
        <v>44785</v>
      </c>
      <c r="B47" s="5"/>
      <c r="C47" s="5"/>
      <c r="D47" s="5"/>
      <c r="E47" s="5"/>
      <c r="F47" s="5"/>
      <c r="G47" s="5"/>
      <c r="H47" s="5"/>
      <c r="I47" s="5"/>
      <c r="J47" s="5"/>
      <c r="K47" s="5"/>
      <c r="L47" s="5"/>
      <c r="M47" s="5"/>
      <c r="N47" s="5"/>
      <c r="O47" s="5"/>
      <c r="P47" s="5"/>
      <c r="Q47" s="5"/>
      <c r="R47" s="5"/>
      <c r="S47" s="5"/>
      <c r="T47" s="87"/>
      <c r="U47" s="31"/>
      <c r="V47" s="88"/>
      <c r="W47" s="11">
        <v>44785</v>
      </c>
      <c r="X47" s="5">
        <v>13907.940000000001</v>
      </c>
      <c r="Y47" s="5"/>
      <c r="Z47" s="5"/>
      <c r="AA47" s="5"/>
      <c r="AB47" s="5"/>
      <c r="AC47" s="5"/>
      <c r="AD47" s="5"/>
      <c r="AE47" s="5"/>
      <c r="AF47" s="5"/>
      <c r="AG47" s="5"/>
      <c r="AH47" s="5"/>
      <c r="AI47" s="5"/>
      <c r="AJ47" s="5"/>
      <c r="AK47" s="5"/>
      <c r="AL47" s="5"/>
      <c r="AM47" s="5"/>
      <c r="AN47" s="5"/>
      <c r="AO47" s="5"/>
    </row>
    <row r="48">
      <c r="A48" s="11">
        <v>44786</v>
      </c>
      <c r="B48" s="14"/>
      <c r="C48" s="14"/>
      <c r="D48" s="14"/>
      <c r="E48" s="14"/>
      <c r="F48" s="14"/>
      <c r="G48" s="14"/>
      <c r="H48" s="14"/>
      <c r="I48" s="14"/>
      <c r="J48" s="14"/>
      <c r="K48" s="14"/>
      <c r="L48" s="14"/>
      <c r="M48" s="14"/>
      <c r="N48" s="14"/>
      <c r="O48" s="14"/>
      <c r="P48" s="14"/>
      <c r="Q48" s="14"/>
      <c r="R48" s="14"/>
      <c r="S48" s="14"/>
      <c r="T48" s="87"/>
      <c r="U48" s="31"/>
      <c r="V48" s="88"/>
      <c r="W48" s="11">
        <v>44786</v>
      </c>
      <c r="X48" s="14"/>
      <c r="Y48" s="14"/>
      <c r="Z48" s="14"/>
      <c r="AA48" s="14"/>
      <c r="AB48" s="14"/>
      <c r="AC48" s="14"/>
      <c r="AD48" s="14"/>
      <c r="AE48" s="14"/>
      <c r="AF48" s="14"/>
      <c r="AG48" s="14"/>
      <c r="AH48" s="14"/>
      <c r="AI48" s="14"/>
      <c r="AJ48" s="14"/>
      <c r="AK48" s="14"/>
      <c r="AL48" s="14"/>
      <c r="AM48" s="14"/>
      <c r="AN48" s="14"/>
      <c r="AO48" s="14"/>
    </row>
    <row r="49">
      <c r="A49" s="11">
        <v>44787</v>
      </c>
      <c r="B49" s="5"/>
      <c r="C49" s="5"/>
      <c r="D49" s="5"/>
      <c r="E49" s="5"/>
      <c r="F49" s="5"/>
      <c r="G49" s="5"/>
      <c r="H49" s="5"/>
      <c r="I49" s="5"/>
      <c r="J49" s="5"/>
      <c r="K49" s="5"/>
      <c r="L49" s="5"/>
      <c r="M49" s="5"/>
      <c r="N49" s="5"/>
      <c r="O49" s="5"/>
      <c r="P49" s="5"/>
      <c r="Q49" s="5"/>
      <c r="R49" s="5"/>
      <c r="S49" s="5"/>
      <c r="T49" s="87"/>
      <c r="U49" s="31"/>
      <c r="V49" s="88"/>
      <c r="W49" s="11">
        <v>44787</v>
      </c>
      <c r="X49" s="5"/>
      <c r="Y49" s="5"/>
      <c r="Z49" s="5"/>
      <c r="AA49" s="5"/>
      <c r="AB49" s="5"/>
      <c r="AC49" s="5"/>
      <c r="AD49" s="5"/>
      <c r="AE49" s="5"/>
      <c r="AF49" s="5"/>
      <c r="AG49" s="5"/>
      <c r="AH49" s="5"/>
      <c r="AI49" s="5"/>
      <c r="AJ49" s="5"/>
      <c r="AK49" s="5"/>
      <c r="AL49" s="5"/>
      <c r="AM49" s="5"/>
      <c r="AN49" s="5"/>
      <c r="AO49" s="5"/>
    </row>
    <row r="50">
      <c r="A50" s="11">
        <v>44788</v>
      </c>
      <c r="B50" s="14"/>
      <c r="C50" s="14"/>
      <c r="D50" s="14"/>
      <c r="E50" s="14"/>
      <c r="F50" s="14"/>
      <c r="G50" s="14"/>
      <c r="H50" s="14"/>
      <c r="I50" s="14"/>
      <c r="J50" s="14"/>
      <c r="K50" s="14"/>
      <c r="L50" s="14"/>
      <c r="M50" s="14"/>
      <c r="N50" s="14"/>
      <c r="O50" s="14"/>
      <c r="P50" s="14"/>
      <c r="Q50" s="14"/>
      <c r="R50" s="14"/>
      <c r="S50" s="14"/>
      <c r="T50" s="87"/>
      <c r="U50" s="31"/>
      <c r="V50" s="88"/>
      <c r="W50" s="11">
        <v>44788</v>
      </c>
      <c r="X50" s="14"/>
      <c r="Y50" s="14"/>
      <c r="Z50" s="14"/>
      <c r="AA50" s="14">
        <v>163.47</v>
      </c>
      <c r="AB50" s="14"/>
      <c r="AC50" s="14"/>
      <c r="AD50" s="14"/>
      <c r="AE50" s="14">
        <v>29</v>
      </c>
      <c r="AF50" s="14"/>
      <c r="AG50" s="14"/>
      <c r="AH50" s="14"/>
      <c r="AI50" s="14"/>
      <c r="AJ50" s="14"/>
      <c r="AK50" s="14"/>
      <c r="AL50" s="14"/>
      <c r="AM50" s="14"/>
      <c r="AN50" s="14"/>
      <c r="AO50" s="14"/>
    </row>
    <row r="51">
      <c r="A51" s="11">
        <v>44789</v>
      </c>
      <c r="B51" s="5"/>
      <c r="C51" s="5"/>
      <c r="D51" s="5"/>
      <c r="E51" s="5"/>
      <c r="F51" s="5"/>
      <c r="G51" s="5"/>
      <c r="H51" s="5"/>
      <c r="I51" s="5"/>
      <c r="J51" s="5"/>
      <c r="K51" s="5"/>
      <c r="L51" s="5"/>
      <c r="M51" s="5"/>
      <c r="N51" s="5"/>
      <c r="O51" s="5"/>
      <c r="P51" s="5"/>
      <c r="Q51" s="5"/>
      <c r="R51" s="5"/>
      <c r="S51" s="5"/>
      <c r="T51" s="87"/>
      <c r="U51" s="31"/>
      <c r="V51" s="88"/>
      <c r="W51" s="11">
        <v>44789</v>
      </c>
      <c r="X51" s="5"/>
      <c r="Y51" s="5"/>
      <c r="Z51" s="5"/>
      <c r="AA51" s="5"/>
      <c r="AB51" s="5"/>
      <c r="AC51" s="5"/>
      <c r="AD51" s="5">
        <v>200</v>
      </c>
      <c r="AE51" s="5"/>
      <c r="AF51" s="5"/>
      <c r="AG51" s="5"/>
      <c r="AH51" s="5"/>
      <c r="AI51" s="5"/>
      <c r="AJ51" s="5"/>
      <c r="AK51" s="5"/>
      <c r="AL51" s="5"/>
      <c r="AM51" s="5"/>
      <c r="AN51" s="5"/>
      <c r="AO51" s="5"/>
    </row>
    <row r="52">
      <c r="A52" s="11">
        <v>44790</v>
      </c>
      <c r="B52" s="14"/>
      <c r="C52" s="14"/>
      <c r="D52" s="14"/>
      <c r="E52" s="14"/>
      <c r="F52" s="14"/>
      <c r="G52" s="14"/>
      <c r="H52" s="14"/>
      <c r="I52" s="14"/>
      <c r="J52" s="14"/>
      <c r="K52" s="14"/>
      <c r="L52" s="14"/>
      <c r="M52" s="14"/>
      <c r="N52" s="14"/>
      <c r="O52" s="14"/>
      <c r="P52" s="14"/>
      <c r="Q52" s="14"/>
      <c r="R52" s="14"/>
      <c r="S52" s="14"/>
      <c r="T52" s="87"/>
      <c r="U52" s="31"/>
      <c r="V52" s="88"/>
      <c r="W52" s="11">
        <v>44790</v>
      </c>
      <c r="X52" s="14"/>
      <c r="Y52" s="14"/>
      <c r="Z52" s="14"/>
      <c r="AA52" s="14"/>
      <c r="AB52" s="14"/>
      <c r="AC52" s="14"/>
      <c r="AD52" s="14">
        <v>300</v>
      </c>
      <c r="AE52" s="14"/>
      <c r="AF52" s="14"/>
      <c r="AG52" s="14"/>
      <c r="AH52" s="14"/>
      <c r="AI52" s="14"/>
      <c r="AJ52" s="14"/>
      <c r="AK52" s="14"/>
      <c r="AL52" s="14"/>
      <c r="AM52" s="14"/>
      <c r="AN52" s="14"/>
      <c r="AO52" s="14"/>
    </row>
    <row r="53">
      <c r="A53" s="11">
        <v>44791</v>
      </c>
      <c r="B53" s="5"/>
      <c r="C53" s="5"/>
      <c r="D53" s="5"/>
      <c r="E53" s="5"/>
      <c r="F53" s="5"/>
      <c r="G53" s="5"/>
      <c r="H53" s="5"/>
      <c r="I53" s="5"/>
      <c r="J53" s="5"/>
      <c r="K53" s="5"/>
      <c r="L53" s="5"/>
      <c r="M53" s="5"/>
      <c r="N53" s="5"/>
      <c r="O53" s="5"/>
      <c r="P53" s="5"/>
      <c r="Q53" s="5"/>
      <c r="R53" s="5"/>
      <c r="S53" s="5"/>
      <c r="T53" s="87"/>
      <c r="U53" s="31"/>
      <c r="V53" s="88"/>
      <c r="W53" s="11">
        <v>44791</v>
      </c>
      <c r="X53" s="5"/>
      <c r="Y53" s="5"/>
      <c r="Z53" s="5"/>
      <c r="AA53" s="5"/>
      <c r="AB53" s="5"/>
      <c r="AC53" s="5"/>
      <c r="AD53" s="5"/>
      <c r="AE53" s="5"/>
      <c r="AF53" s="5"/>
      <c r="AG53" s="5"/>
      <c r="AH53" s="5"/>
      <c r="AI53" s="5"/>
      <c r="AJ53" s="5"/>
      <c r="AK53" s="5"/>
      <c r="AL53" s="5"/>
      <c r="AM53" s="5"/>
      <c r="AN53" s="5"/>
      <c r="AO53" s="5"/>
    </row>
    <row r="54">
      <c r="A54" s="11">
        <v>44792</v>
      </c>
      <c r="B54" s="14">
        <v>13977.35</v>
      </c>
      <c r="C54" s="14"/>
      <c r="D54" s="14"/>
      <c r="E54" s="14"/>
      <c r="F54" s="14"/>
      <c r="G54" s="14"/>
      <c r="H54" s="14"/>
      <c r="I54" s="14"/>
      <c r="J54" s="14"/>
      <c r="K54" s="14"/>
      <c r="L54" s="14"/>
      <c r="M54" s="14"/>
      <c r="N54" s="14"/>
      <c r="O54" s="14"/>
      <c r="P54" s="14"/>
      <c r="Q54" s="14"/>
      <c r="R54" s="14"/>
      <c r="S54" s="14"/>
      <c r="T54" s="87"/>
      <c r="U54" s="31"/>
      <c r="V54" s="88"/>
      <c r="W54" s="11">
        <v>44792</v>
      </c>
      <c r="X54" s="14"/>
      <c r="Y54" s="14"/>
      <c r="Z54" s="14"/>
      <c r="AA54" s="14"/>
      <c r="AB54" s="14"/>
      <c r="AC54" s="14"/>
      <c r="AD54" s="14"/>
      <c r="AE54" s="14"/>
      <c r="AF54" s="14"/>
      <c r="AG54" s="14"/>
      <c r="AH54" s="14"/>
      <c r="AI54" s="14"/>
      <c r="AJ54" s="14"/>
      <c r="AK54" s="14"/>
      <c r="AL54" s="14"/>
      <c r="AM54" s="14"/>
      <c r="AN54" s="14"/>
      <c r="AO54" s="14"/>
    </row>
    <row r="55">
      <c r="A55" s="11">
        <v>44793</v>
      </c>
      <c r="B55" s="5"/>
      <c r="C55" s="5"/>
      <c r="D55" s="5"/>
      <c r="E55" s="5"/>
      <c r="F55" s="5"/>
      <c r="G55" s="5"/>
      <c r="H55" s="5"/>
      <c r="I55" s="5"/>
      <c r="J55" s="5"/>
      <c r="K55" s="5"/>
      <c r="L55" s="5"/>
      <c r="M55" s="5"/>
      <c r="N55" s="5"/>
      <c r="O55" s="5"/>
      <c r="P55" s="5"/>
      <c r="Q55" s="5"/>
      <c r="R55" s="5"/>
      <c r="S55" s="5"/>
      <c r="T55" s="87"/>
      <c r="U55" s="31"/>
      <c r="V55" s="88"/>
      <c r="W55" s="11">
        <v>44793</v>
      </c>
      <c r="X55" s="5"/>
      <c r="Y55" s="5"/>
      <c r="Z55" s="5"/>
      <c r="AA55" s="5"/>
      <c r="AB55" s="5"/>
      <c r="AC55" s="5"/>
      <c r="AD55" s="5"/>
      <c r="AE55" s="5"/>
      <c r="AF55" s="5"/>
      <c r="AG55" s="5"/>
      <c r="AH55" s="5"/>
      <c r="AI55" s="5"/>
      <c r="AJ55" s="5"/>
      <c r="AK55" s="5"/>
      <c r="AL55" s="5"/>
      <c r="AM55" s="5"/>
      <c r="AN55" s="5"/>
      <c r="AO55" s="5"/>
    </row>
    <row r="56">
      <c r="A56" s="11">
        <v>44794</v>
      </c>
      <c r="B56" s="14"/>
      <c r="C56" s="14"/>
      <c r="D56" s="14"/>
      <c r="E56" s="14"/>
      <c r="F56" s="14"/>
      <c r="G56" s="14"/>
      <c r="H56" s="14"/>
      <c r="I56" s="14"/>
      <c r="J56" s="14"/>
      <c r="K56" s="14"/>
      <c r="L56" s="14"/>
      <c r="M56" s="14"/>
      <c r="N56" s="14"/>
      <c r="O56" s="14"/>
      <c r="P56" s="14"/>
      <c r="Q56" s="14"/>
      <c r="R56" s="14"/>
      <c r="S56" s="14"/>
      <c r="T56" s="87"/>
      <c r="U56" s="31"/>
      <c r="V56" s="88"/>
      <c r="W56" s="11">
        <v>44794</v>
      </c>
      <c r="X56" s="14"/>
      <c r="Y56" s="14"/>
      <c r="Z56" s="14"/>
      <c r="AA56" s="14"/>
      <c r="AB56" s="14"/>
      <c r="AC56" s="14"/>
      <c r="AD56" s="14"/>
      <c r="AE56" s="14"/>
      <c r="AF56" s="14"/>
      <c r="AG56" s="14"/>
      <c r="AH56" s="14"/>
      <c r="AI56" s="14"/>
      <c r="AJ56" s="14"/>
      <c r="AK56" s="14"/>
      <c r="AL56" s="14"/>
      <c r="AM56" s="14"/>
      <c r="AN56" s="14"/>
      <c r="AO56" s="14"/>
    </row>
    <row r="57">
      <c r="A57" s="11">
        <v>44795</v>
      </c>
      <c r="B57" s="5"/>
      <c r="C57" s="5"/>
      <c r="D57" s="5"/>
      <c r="E57" s="5"/>
      <c r="F57" s="5"/>
      <c r="G57" s="5"/>
      <c r="H57" s="5"/>
      <c r="I57" s="5"/>
      <c r="J57" s="5"/>
      <c r="K57" s="5"/>
      <c r="L57" s="5"/>
      <c r="M57" s="5"/>
      <c r="N57" s="5"/>
      <c r="O57" s="5"/>
      <c r="P57" s="5"/>
      <c r="Q57" s="5"/>
      <c r="R57" s="5"/>
      <c r="S57" s="5"/>
      <c r="T57" s="87"/>
      <c r="U57" s="31"/>
      <c r="V57" s="88"/>
      <c r="W57" s="11">
        <v>44795</v>
      </c>
      <c r="X57" s="5"/>
      <c r="Y57" s="5"/>
      <c r="Z57" s="5"/>
      <c r="AA57" s="5"/>
      <c r="AB57" s="5"/>
      <c r="AC57" s="5"/>
      <c r="AD57" s="5"/>
      <c r="AE57" s="5"/>
      <c r="AF57" s="5"/>
      <c r="AG57" s="5"/>
      <c r="AH57" s="5"/>
      <c r="AI57" s="5"/>
      <c r="AJ57" s="5"/>
      <c r="AK57" s="5"/>
      <c r="AL57" s="5"/>
      <c r="AM57" s="5"/>
      <c r="AN57" s="5"/>
      <c r="AO57" s="5"/>
    </row>
    <row r="58">
      <c r="A58" s="11">
        <v>44796</v>
      </c>
      <c r="B58" s="14"/>
      <c r="C58" s="14"/>
      <c r="D58" s="14"/>
      <c r="E58" s="14"/>
      <c r="F58" s="14"/>
      <c r="G58" s="14"/>
      <c r="H58" s="14"/>
      <c r="I58" s="14"/>
      <c r="J58" s="14"/>
      <c r="K58" s="14"/>
      <c r="L58" s="14"/>
      <c r="M58" s="14"/>
      <c r="N58" s="14"/>
      <c r="O58" s="14"/>
      <c r="P58" s="14"/>
      <c r="Q58" s="14"/>
      <c r="R58" s="14"/>
      <c r="S58" s="14"/>
      <c r="T58" s="87"/>
      <c r="U58" s="31"/>
      <c r="V58" s="88"/>
      <c r="W58" s="11">
        <v>44796</v>
      </c>
      <c r="X58" s="14"/>
      <c r="Y58" s="14"/>
      <c r="Z58" s="14"/>
      <c r="AA58" s="14"/>
      <c r="AB58" s="14"/>
      <c r="AC58" s="14"/>
      <c r="AD58" s="14"/>
      <c r="AE58" s="14"/>
      <c r="AF58" s="14"/>
      <c r="AG58" s="14"/>
      <c r="AH58" s="14"/>
      <c r="AI58" s="14"/>
      <c r="AJ58" s="14"/>
      <c r="AK58" s="14"/>
      <c r="AL58" s="14"/>
      <c r="AM58" s="14"/>
      <c r="AN58" s="14"/>
      <c r="AO58" s="14"/>
    </row>
    <row r="59">
      <c r="A59" s="11">
        <v>44797</v>
      </c>
      <c r="B59" s="5"/>
      <c r="C59" s="5"/>
      <c r="D59" s="5"/>
      <c r="E59" s="5"/>
      <c r="F59" s="5"/>
      <c r="G59" s="5"/>
      <c r="H59" s="5"/>
      <c r="I59" s="5"/>
      <c r="J59" s="5"/>
      <c r="K59" s="5"/>
      <c r="L59" s="5"/>
      <c r="M59" s="5"/>
      <c r="N59" s="5"/>
      <c r="O59" s="5"/>
      <c r="P59" s="5"/>
      <c r="Q59" s="5"/>
      <c r="R59" s="5"/>
      <c r="S59" s="5"/>
      <c r="T59" s="87"/>
      <c r="U59" s="31"/>
      <c r="V59" s="88"/>
      <c r="W59" s="11">
        <v>44797</v>
      </c>
      <c r="X59" s="5"/>
      <c r="Y59" s="5"/>
      <c r="Z59" s="5"/>
      <c r="AA59" s="5"/>
      <c r="AB59" s="5"/>
      <c r="AC59" s="5"/>
      <c r="AD59" s="5"/>
      <c r="AE59" s="5"/>
      <c r="AF59" s="5"/>
      <c r="AG59" s="5"/>
      <c r="AH59" s="5"/>
      <c r="AI59" s="5"/>
      <c r="AJ59" s="5"/>
      <c r="AK59" s="5"/>
      <c r="AL59" s="5"/>
      <c r="AM59" s="5"/>
      <c r="AN59" s="5"/>
      <c r="AO59" s="5"/>
    </row>
    <row r="60">
      <c r="A60" s="11">
        <v>44798</v>
      </c>
      <c r="B60" s="14"/>
      <c r="C60" s="14"/>
      <c r="D60" s="14"/>
      <c r="E60" s="14"/>
      <c r="F60" s="14"/>
      <c r="G60" s="14"/>
      <c r="H60" s="14"/>
      <c r="I60" s="14"/>
      <c r="J60" s="14"/>
      <c r="K60" s="14"/>
      <c r="L60" s="14"/>
      <c r="M60" s="14"/>
      <c r="N60" s="14"/>
      <c r="O60" s="14"/>
      <c r="P60" s="14"/>
      <c r="Q60" s="14"/>
      <c r="R60" s="14"/>
      <c r="S60" s="14"/>
      <c r="T60" s="87"/>
      <c r="U60" s="31"/>
      <c r="V60" s="88"/>
      <c r="W60" s="11">
        <v>44798</v>
      </c>
      <c r="X60" s="14"/>
      <c r="Y60" s="14"/>
      <c r="Z60" s="14"/>
      <c r="AA60" s="14"/>
      <c r="AB60" s="14"/>
      <c r="AC60" s="14"/>
      <c r="AD60" s="14"/>
      <c r="AE60" s="14"/>
      <c r="AF60" s="14"/>
      <c r="AG60" s="14"/>
      <c r="AH60" s="14"/>
      <c r="AI60" s="14"/>
      <c r="AJ60" s="14"/>
      <c r="AK60" s="14"/>
      <c r="AL60" s="14"/>
      <c r="AM60" s="14"/>
      <c r="AN60" s="14"/>
      <c r="AO60" s="14"/>
    </row>
    <row r="61">
      <c r="A61" s="11">
        <v>44799</v>
      </c>
      <c r="B61" s="5"/>
      <c r="C61" s="5"/>
      <c r="D61" s="5"/>
      <c r="E61" s="5"/>
      <c r="F61" s="5"/>
      <c r="G61" s="5"/>
      <c r="H61" s="5"/>
      <c r="I61" s="5"/>
      <c r="J61" s="5"/>
      <c r="K61" s="5"/>
      <c r="L61" s="5"/>
      <c r="M61" s="5"/>
      <c r="N61" s="5"/>
      <c r="O61" s="5"/>
      <c r="P61" s="5"/>
      <c r="Q61" s="5"/>
      <c r="R61" s="5"/>
      <c r="S61" s="5"/>
      <c r="T61" s="87"/>
      <c r="U61" s="31"/>
      <c r="V61" s="88"/>
      <c r="W61" s="11">
        <v>44799</v>
      </c>
      <c r="X61" s="5">
        <v>8406.6000000000004</v>
      </c>
      <c r="Y61" s="5"/>
      <c r="Z61" s="5"/>
      <c r="AA61" s="5"/>
      <c r="AB61" s="5"/>
      <c r="AC61" s="5"/>
      <c r="AD61" s="5"/>
      <c r="AE61" s="5"/>
      <c r="AF61" s="5"/>
      <c r="AG61" s="5"/>
      <c r="AH61" s="5"/>
      <c r="AI61" s="5"/>
      <c r="AJ61" s="5"/>
      <c r="AK61" s="5"/>
      <c r="AL61" s="5"/>
      <c r="AM61" s="5"/>
      <c r="AN61" s="5"/>
      <c r="AO61" s="5"/>
    </row>
    <row r="62">
      <c r="A62" s="11">
        <v>44800</v>
      </c>
      <c r="B62" s="14"/>
      <c r="C62" s="14"/>
      <c r="D62" s="14"/>
      <c r="E62" s="14"/>
      <c r="F62" s="14"/>
      <c r="G62" s="14"/>
      <c r="H62" s="14"/>
      <c r="I62" s="14"/>
      <c r="J62" s="14"/>
      <c r="K62" s="14"/>
      <c r="L62" s="14"/>
      <c r="M62" s="14"/>
      <c r="N62" s="14"/>
      <c r="O62" s="14"/>
      <c r="P62" s="14"/>
      <c r="Q62" s="14"/>
      <c r="R62" s="14"/>
      <c r="S62" s="14"/>
      <c r="T62" s="87"/>
      <c r="U62" s="31"/>
      <c r="V62" s="88"/>
      <c r="W62" s="11">
        <v>44800</v>
      </c>
      <c r="X62" s="14"/>
      <c r="Y62" s="14"/>
      <c r="Z62" s="14"/>
      <c r="AA62" s="14"/>
      <c r="AB62" s="14"/>
      <c r="AC62" s="14"/>
      <c r="AD62" s="14"/>
      <c r="AE62" s="14"/>
      <c r="AF62" s="14"/>
      <c r="AG62" s="14"/>
      <c r="AH62" s="14"/>
      <c r="AI62" s="14"/>
      <c r="AJ62" s="14"/>
      <c r="AK62" s="14"/>
      <c r="AL62" s="14"/>
      <c r="AM62" s="14"/>
      <c r="AN62" s="14"/>
      <c r="AO62" s="14"/>
    </row>
    <row r="63">
      <c r="A63" s="11">
        <v>44801</v>
      </c>
      <c r="B63" s="5"/>
      <c r="C63" s="5"/>
      <c r="D63" s="5"/>
      <c r="E63" s="5"/>
      <c r="F63" s="5"/>
      <c r="G63" s="5"/>
      <c r="H63" s="5"/>
      <c r="I63" s="5"/>
      <c r="J63" s="5"/>
      <c r="K63" s="5"/>
      <c r="L63" s="5"/>
      <c r="M63" s="5"/>
      <c r="N63" s="5"/>
      <c r="O63" s="5"/>
      <c r="P63" s="5"/>
      <c r="Q63" s="5"/>
      <c r="R63" s="48"/>
      <c r="S63" s="5"/>
      <c r="T63" s="87"/>
      <c r="U63" s="31"/>
      <c r="V63" s="88"/>
      <c r="W63" s="11">
        <v>44801</v>
      </c>
      <c r="X63" s="5"/>
      <c r="Y63" s="5"/>
      <c r="Z63" s="5"/>
      <c r="AA63" s="5"/>
      <c r="AB63" s="5"/>
      <c r="AC63" s="5"/>
      <c r="AD63" s="5">
        <v>600</v>
      </c>
      <c r="AE63" s="5"/>
      <c r="AF63" s="5"/>
      <c r="AG63" s="5"/>
      <c r="AH63" s="5"/>
      <c r="AI63" s="5"/>
      <c r="AJ63" s="5"/>
      <c r="AK63" s="5"/>
      <c r="AL63" s="5"/>
      <c r="AM63" s="5"/>
      <c r="AN63" s="48"/>
      <c r="AO63" s="5"/>
    </row>
    <row r="64">
      <c r="A64" s="11">
        <v>44802</v>
      </c>
      <c r="B64" s="22"/>
      <c r="C64" s="22"/>
      <c r="D64" s="22"/>
      <c r="E64" s="22"/>
      <c r="F64" s="22"/>
      <c r="G64" s="22"/>
      <c r="H64" s="22"/>
      <c r="I64" s="22"/>
      <c r="J64" s="14"/>
      <c r="K64" s="14"/>
      <c r="L64" s="14"/>
      <c r="M64" s="14"/>
      <c r="N64" s="14"/>
      <c r="O64" s="14"/>
      <c r="P64" s="14"/>
      <c r="Q64" s="14"/>
      <c r="R64" s="80"/>
      <c r="S64" s="14"/>
      <c r="T64" s="87"/>
      <c r="U64" s="31"/>
      <c r="V64" s="88"/>
      <c r="W64" s="11">
        <v>44802</v>
      </c>
      <c r="X64" s="22"/>
      <c r="Y64" s="22"/>
      <c r="Z64" s="22"/>
      <c r="AA64" s="22"/>
      <c r="AB64" s="22"/>
      <c r="AC64" s="22"/>
      <c r="AD64" s="22">
        <v>650</v>
      </c>
      <c r="AE64" s="22"/>
      <c r="AF64" s="14"/>
      <c r="AG64" s="14"/>
      <c r="AH64" s="14"/>
      <c r="AI64" s="14"/>
      <c r="AJ64" s="14"/>
      <c r="AK64" s="14"/>
      <c r="AL64" s="14"/>
      <c r="AM64" s="14"/>
      <c r="AN64" s="80"/>
      <c r="AO64" s="14"/>
    </row>
    <row r="65">
      <c r="A65" s="11">
        <v>44803</v>
      </c>
      <c r="B65" s="5"/>
      <c r="C65" s="5"/>
      <c r="D65" s="5"/>
      <c r="E65" s="5"/>
      <c r="F65" s="5"/>
      <c r="G65" s="5"/>
      <c r="H65" s="5"/>
      <c r="I65" s="5"/>
      <c r="J65" s="5"/>
      <c r="K65" s="5"/>
      <c r="L65" s="5"/>
      <c r="M65" s="5"/>
      <c r="N65" s="5"/>
      <c r="O65" s="5"/>
      <c r="P65" s="5"/>
      <c r="Q65" s="5"/>
      <c r="R65" s="48"/>
      <c r="S65" s="5"/>
      <c r="T65" s="87"/>
      <c r="U65" s="31"/>
      <c r="V65" s="88"/>
      <c r="W65" s="11">
        <v>44803</v>
      </c>
      <c r="X65" s="5"/>
      <c r="Y65" s="5"/>
      <c r="Z65" s="5"/>
      <c r="AA65" s="5"/>
      <c r="AB65" s="5"/>
      <c r="AC65" s="5"/>
      <c r="AD65" s="5"/>
      <c r="AE65" s="5"/>
      <c r="AF65" s="5"/>
      <c r="AG65" s="5"/>
      <c r="AH65" s="5"/>
      <c r="AI65" s="5"/>
      <c r="AJ65" s="5"/>
      <c r="AK65" s="5"/>
      <c r="AL65" s="5"/>
      <c r="AM65" s="5"/>
      <c r="AN65" s="48"/>
      <c r="AO65" s="5"/>
    </row>
    <row r="66">
      <c r="A66" s="11">
        <v>44804</v>
      </c>
      <c r="B66" s="22"/>
      <c r="C66" s="22"/>
      <c r="D66" s="22"/>
      <c r="E66" s="22">
        <f>624.45+624.45</f>
        <v>1248.9000000000001</v>
      </c>
      <c r="F66" s="22"/>
      <c r="G66" s="22"/>
      <c r="H66" s="22"/>
      <c r="I66" s="22"/>
      <c r="J66" s="14"/>
      <c r="K66" s="14"/>
      <c r="L66" s="14"/>
      <c r="M66" s="14"/>
      <c r="N66" s="14"/>
      <c r="O66" s="14"/>
      <c r="P66" s="14"/>
      <c r="Q66" s="14"/>
      <c r="R66" s="80"/>
      <c r="S66" s="14"/>
      <c r="T66" s="87"/>
      <c r="U66" s="31"/>
      <c r="V66" s="88"/>
      <c r="W66" s="11">
        <v>44804</v>
      </c>
      <c r="X66" s="22"/>
      <c r="Y66" s="22"/>
      <c r="Z66" s="22"/>
      <c r="AA66" s="22"/>
      <c r="AB66" s="22"/>
      <c r="AC66" s="22"/>
      <c r="AD66" s="22"/>
      <c r="AE66" s="22"/>
      <c r="AF66" s="14"/>
      <c r="AG66" s="14"/>
      <c r="AH66" s="14"/>
      <c r="AI66" s="14"/>
      <c r="AJ66" s="14"/>
      <c r="AK66" s="14"/>
      <c r="AL66" s="14"/>
      <c r="AM66" s="14"/>
      <c r="AN66" s="80"/>
      <c r="AO66" s="14"/>
    </row>
    <row r="67">
      <c r="A67" s="74"/>
      <c r="B67" s="75">
        <f t="shared" ref="B67:R67" si="128">SUM(B36:B66)</f>
        <v>45154.550000000003</v>
      </c>
      <c r="C67" s="75">
        <f t="shared" si="128"/>
        <v>0</v>
      </c>
      <c r="D67" s="75">
        <f t="shared" si="128"/>
        <v>0</v>
      </c>
      <c r="E67" s="75">
        <f t="shared" si="128"/>
        <v>1248.9000000000001</v>
      </c>
      <c r="F67" s="75">
        <f t="shared" si="128"/>
        <v>0</v>
      </c>
      <c r="G67" s="75">
        <f t="shared" si="128"/>
        <v>0</v>
      </c>
      <c r="H67" s="75">
        <f t="shared" si="128"/>
        <v>0</v>
      </c>
      <c r="I67" s="75">
        <f t="shared" si="128"/>
        <v>138</v>
      </c>
      <c r="J67" s="75">
        <f t="shared" si="128"/>
        <v>0</v>
      </c>
      <c r="K67" s="75">
        <f t="shared" si="128"/>
        <v>0</v>
      </c>
      <c r="L67" s="75">
        <f t="shared" si="128"/>
        <v>0</v>
      </c>
      <c r="M67" s="75">
        <f t="shared" si="128"/>
        <v>0</v>
      </c>
      <c r="N67" s="75">
        <f t="shared" si="128"/>
        <v>0</v>
      </c>
      <c r="O67" s="75">
        <f t="shared" si="128"/>
        <v>0</v>
      </c>
      <c r="P67" s="75">
        <f t="shared" si="128"/>
        <v>0</v>
      </c>
      <c r="Q67" s="75">
        <f t="shared" si="128"/>
        <v>0</v>
      </c>
      <c r="R67" s="75">
        <f t="shared" si="128"/>
        <v>0</v>
      </c>
      <c r="S67" s="75">
        <f>SUM(B67:R67)</f>
        <v>46541.450000000004</v>
      </c>
      <c r="T67" s="87"/>
      <c r="U67" s="31"/>
      <c r="V67" s="88"/>
      <c r="W67" s="74"/>
      <c r="X67" s="75">
        <f t="shared" ref="X67:AN67" si="129">SUM(X36:X66)</f>
        <v>22314.540000000001</v>
      </c>
      <c r="Y67" s="75">
        <f t="shared" si="129"/>
        <v>0</v>
      </c>
      <c r="Z67" s="75">
        <f t="shared" si="129"/>
        <v>0</v>
      </c>
      <c r="AA67" s="75">
        <f t="shared" si="129"/>
        <v>163.47</v>
      </c>
      <c r="AB67" s="75">
        <f t="shared" si="129"/>
        <v>0</v>
      </c>
      <c r="AC67" s="75">
        <f t="shared" si="129"/>
        <v>0</v>
      </c>
      <c r="AD67" s="75">
        <f t="shared" si="129"/>
        <v>2050</v>
      </c>
      <c r="AE67" s="75">
        <f t="shared" si="129"/>
        <v>29</v>
      </c>
      <c r="AF67" s="75">
        <f t="shared" si="129"/>
        <v>0</v>
      </c>
      <c r="AG67" s="75">
        <f t="shared" si="129"/>
        <v>0</v>
      </c>
      <c r="AH67" s="75">
        <f t="shared" si="129"/>
        <v>0</v>
      </c>
      <c r="AI67" s="75">
        <f t="shared" si="129"/>
        <v>0</v>
      </c>
      <c r="AJ67" s="75">
        <f t="shared" si="129"/>
        <v>0</v>
      </c>
      <c r="AK67" s="75">
        <f t="shared" si="129"/>
        <v>0</v>
      </c>
      <c r="AL67" s="75">
        <f t="shared" si="129"/>
        <v>0</v>
      </c>
      <c r="AM67" s="75">
        <f t="shared" si="129"/>
        <v>0</v>
      </c>
      <c r="AN67" s="75">
        <f t="shared" si="129"/>
        <v>0</v>
      </c>
      <c r="AO67" s="75">
        <f>SUM(X67:AN67)</f>
        <v>24557.010000000002</v>
      </c>
    </row>
    <row r="68">
      <c r="A68" s="84"/>
      <c r="B68" s="84"/>
      <c r="C68" s="84"/>
      <c r="D68" s="84"/>
      <c r="E68" s="84"/>
      <c r="F68" s="84"/>
      <c r="G68" s="84"/>
      <c r="H68" s="84"/>
      <c r="I68" s="84"/>
      <c r="J68" s="84"/>
      <c r="K68" s="84"/>
      <c r="L68" s="84"/>
      <c r="M68" s="84"/>
      <c r="N68" s="84"/>
      <c r="O68" s="84"/>
      <c r="P68" s="84"/>
      <c r="Q68" s="84"/>
      <c r="R68" s="84"/>
      <c r="S68" s="84"/>
      <c r="T68" s="31"/>
      <c r="U68" s="31"/>
      <c r="V68" s="31"/>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row>
    <row r="70">
      <c r="A70" s="5" t="s">
        <v>68</v>
      </c>
      <c r="B70" s="71">
        <f>21000-344+2039+(23000-23000)-344-344+8164.1-4600-3300+(3000-3000)+80000+2000+(5500-5500)+(5650-5100)+1000+300</f>
        <v>106121.10000000001</v>
      </c>
      <c r="C70" s="5"/>
      <c r="D70" s="5"/>
      <c r="E70" s="5"/>
      <c r="F70" s="5"/>
      <c r="G70" s="5"/>
      <c r="H70" s="5"/>
      <c r="I70" s="5"/>
      <c r="J70" s="5"/>
      <c r="K70" s="5"/>
      <c r="L70" s="5"/>
      <c r="M70" s="5"/>
      <c r="N70" s="5"/>
      <c r="O70" s="5"/>
      <c r="P70" s="5"/>
      <c r="Q70" s="5"/>
      <c r="R70" s="5"/>
      <c r="S70" s="5"/>
    </row>
    <row r="71">
      <c r="A71" s="5" t="s">
        <v>76</v>
      </c>
      <c r="B71" s="5">
        <v>3000</v>
      </c>
      <c r="C71" s="5"/>
      <c r="D71" s="5"/>
      <c r="E71" s="5"/>
      <c r="F71" s="5"/>
      <c r="G71" s="5"/>
      <c r="H71" s="5"/>
      <c r="I71" s="5"/>
      <c r="J71" s="5"/>
      <c r="K71" s="5"/>
      <c r="L71" s="5"/>
      <c r="M71" s="5"/>
      <c r="N71" s="5"/>
      <c r="O71" s="5"/>
      <c r="P71" s="5"/>
      <c r="Q71" s="5"/>
      <c r="R71" s="5"/>
      <c r="S71" s="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 zoomScale="100" workbookViewId="0">
      <selection activeCell="A59" activeCellId="0" sqref="A59:A60"/>
    </sheetView>
  </sheetViews>
  <sheetFormatPr defaultRowHeight="14.25"/>
  <cols>
    <col customWidth="1" min="1" max="1" width="14.28515625"/>
    <col customWidth="1" min="11" max="11" width="10.5703125"/>
    <col customWidth="1" min="20" max="20" width="2.85546875"/>
    <col customWidth="1" min="21" max="21" width="1.85546875"/>
    <col customWidth="1" min="22" max="22" width="2.140625"/>
    <col customWidth="1" min="23" max="23" width="12.28515625"/>
  </cols>
  <sheetData>
    <row r="1">
      <c r="A1" s="95" t="s">
        <v>0</v>
      </c>
      <c r="B1" s="83" t="s">
        <v>70</v>
      </c>
      <c r="C1" s="83" t="s">
        <v>71</v>
      </c>
      <c r="D1" s="83" t="s">
        <v>72</v>
      </c>
      <c r="E1" s="83" t="s">
        <v>3</v>
      </c>
      <c r="F1" s="83" t="s">
        <v>4</v>
      </c>
      <c r="G1" s="83" t="s">
        <v>79</v>
      </c>
      <c r="H1" s="83" t="s">
        <v>6</v>
      </c>
      <c r="I1" s="83" t="s">
        <v>7</v>
      </c>
      <c r="J1" s="83" t="s">
        <v>8</v>
      </c>
      <c r="K1" s="83" t="s">
        <v>9</v>
      </c>
      <c r="L1" s="83" t="s">
        <v>10</v>
      </c>
      <c r="M1" s="83" t="s">
        <v>11</v>
      </c>
      <c r="N1" s="83" t="s">
        <v>12</v>
      </c>
      <c r="O1" s="83" t="s">
        <v>13</v>
      </c>
      <c r="P1" s="83" t="s">
        <v>19</v>
      </c>
      <c r="Q1" s="83" t="s">
        <v>20</v>
      </c>
      <c r="R1" s="83" t="s">
        <v>73</v>
      </c>
      <c r="S1" s="83" t="s">
        <v>62</v>
      </c>
      <c r="T1" s="87"/>
      <c r="U1" s="31"/>
      <c r="V1" s="88"/>
      <c r="W1" s="82" t="s">
        <v>0</v>
      </c>
      <c r="X1" s="83" t="s">
        <v>70</v>
      </c>
      <c r="Y1" s="83" t="s">
        <v>71</v>
      </c>
      <c r="Z1" s="83" t="s">
        <v>72</v>
      </c>
      <c r="AA1" s="83" t="s">
        <v>3</v>
      </c>
      <c r="AB1" s="83" t="s">
        <v>4</v>
      </c>
      <c r="AC1" s="83" t="s">
        <v>5</v>
      </c>
      <c r="AD1" s="83" t="s">
        <v>6</v>
      </c>
      <c r="AE1" s="83" t="s">
        <v>7</v>
      </c>
      <c r="AF1" s="83" t="s">
        <v>8</v>
      </c>
      <c r="AG1" s="83" t="s">
        <v>9</v>
      </c>
      <c r="AH1" s="83" t="s">
        <v>10</v>
      </c>
      <c r="AI1" s="83" t="s">
        <v>11</v>
      </c>
      <c r="AJ1" s="83" t="s">
        <v>12</v>
      </c>
      <c r="AK1" s="83" t="s">
        <v>13</v>
      </c>
      <c r="AL1" s="83" t="s">
        <v>80</v>
      </c>
      <c r="AM1" s="83" t="s">
        <v>20</v>
      </c>
      <c r="AN1" s="83" t="s">
        <v>73</v>
      </c>
      <c r="AO1" s="83" t="s">
        <v>62</v>
      </c>
    </row>
    <row r="2">
      <c r="A2" s="11">
        <v>44805</v>
      </c>
      <c r="B2" s="14">
        <v>60</v>
      </c>
      <c r="C2" s="14">
        <v>89.569999999999993</v>
      </c>
      <c r="D2" s="14">
        <f>79+81</f>
        <v>160</v>
      </c>
      <c r="E2" s="14"/>
      <c r="F2" s="14"/>
      <c r="G2" s="14"/>
      <c r="H2" s="14"/>
      <c r="I2" s="14"/>
      <c r="J2" s="14"/>
      <c r="K2" s="14"/>
      <c r="L2" s="14"/>
      <c r="M2" s="14"/>
      <c r="N2" s="14">
        <v>625</v>
      </c>
      <c r="O2" s="14"/>
      <c r="P2" s="14"/>
      <c r="Q2" s="14"/>
      <c r="R2" s="14"/>
      <c r="S2" s="14"/>
      <c r="T2" s="87"/>
      <c r="U2" s="31"/>
      <c r="V2" s="88"/>
      <c r="W2" s="11">
        <v>44805</v>
      </c>
      <c r="X2" s="14"/>
      <c r="Y2" s="14"/>
      <c r="Z2" s="14"/>
      <c r="AA2" s="14"/>
      <c r="AB2" s="14"/>
      <c r="AC2" s="14"/>
      <c r="AD2" s="14"/>
      <c r="AE2" s="14"/>
      <c r="AF2" s="14"/>
      <c r="AG2" s="14"/>
      <c r="AH2" s="14"/>
      <c r="AI2" s="14"/>
      <c r="AJ2" s="14"/>
      <c r="AK2" s="14"/>
      <c r="AL2" s="14"/>
      <c r="AM2" s="14"/>
      <c r="AN2" s="14"/>
      <c r="AO2" s="14"/>
    </row>
    <row r="3">
      <c r="A3" s="11">
        <v>44806</v>
      </c>
      <c r="B3" s="5"/>
      <c r="C3" s="5">
        <v>422.17000000000002</v>
      </c>
      <c r="D3" s="5"/>
      <c r="E3" s="5"/>
      <c r="F3" s="5"/>
      <c r="G3" s="5"/>
      <c r="H3" s="5"/>
      <c r="I3" s="5"/>
      <c r="J3" s="5"/>
      <c r="K3" s="5"/>
      <c r="L3" s="5"/>
      <c r="M3" s="5"/>
      <c r="N3" s="5"/>
      <c r="O3" s="5"/>
      <c r="P3" s="5"/>
      <c r="Q3" s="5"/>
      <c r="R3" s="5"/>
      <c r="S3" s="5"/>
      <c r="T3" s="87"/>
      <c r="U3" s="31"/>
      <c r="V3" s="88"/>
      <c r="W3" s="11">
        <v>44806</v>
      </c>
      <c r="X3" s="5">
        <v>50</v>
      </c>
      <c r="Y3" s="5">
        <v>425.93000000000001</v>
      </c>
      <c r="Z3" s="5"/>
      <c r="AA3" s="5"/>
      <c r="AB3" s="5"/>
      <c r="AC3" s="5"/>
      <c r="AD3" s="5"/>
      <c r="AE3" s="5"/>
      <c r="AF3" s="5"/>
      <c r="AG3" s="5"/>
      <c r="AH3" s="5"/>
      <c r="AI3" s="5"/>
      <c r="AJ3" s="5"/>
      <c r="AK3" s="5"/>
      <c r="AL3" s="5"/>
      <c r="AM3" s="5"/>
      <c r="AN3" s="5"/>
      <c r="AO3" s="5"/>
    </row>
    <row r="4">
      <c r="A4" s="96">
        <v>44807</v>
      </c>
      <c r="B4" s="14"/>
      <c r="C4" s="14">
        <v>46</v>
      </c>
      <c r="D4" s="14"/>
      <c r="E4" s="14"/>
      <c r="F4" s="14"/>
      <c r="G4" s="14"/>
      <c r="H4" s="14"/>
      <c r="I4" s="14"/>
      <c r="J4" s="14">
        <v>83</v>
      </c>
      <c r="K4" s="14"/>
      <c r="L4" s="14"/>
      <c r="M4" s="14"/>
      <c r="N4" s="14"/>
      <c r="O4" s="14"/>
      <c r="P4" s="14"/>
      <c r="Q4" s="14"/>
      <c r="R4" s="14"/>
      <c r="S4" s="14"/>
      <c r="T4" s="87"/>
      <c r="U4" s="31"/>
      <c r="V4" s="88"/>
      <c r="W4" s="11">
        <v>44807</v>
      </c>
      <c r="X4" s="14"/>
      <c r="Y4" s="14"/>
      <c r="Z4" s="14"/>
      <c r="AA4" s="14"/>
      <c r="AB4" s="14"/>
      <c r="AC4" s="14"/>
      <c r="AD4" s="14"/>
      <c r="AE4" s="14"/>
      <c r="AF4" s="14">
        <f>141+754</f>
        <v>895</v>
      </c>
      <c r="AG4" s="14"/>
      <c r="AH4" s="14"/>
      <c r="AI4" s="14"/>
      <c r="AJ4" s="14"/>
      <c r="AK4" s="14"/>
      <c r="AL4" s="14">
        <f>4440+387+655</f>
        <v>5482</v>
      </c>
      <c r="AM4" s="14"/>
      <c r="AN4" s="14"/>
      <c r="AO4" s="14"/>
    </row>
    <row r="5">
      <c r="A5" s="96">
        <v>44808</v>
      </c>
      <c r="B5" s="5"/>
      <c r="C5" s="5">
        <f>227.98+552.38</f>
        <v>780.36000000000001</v>
      </c>
      <c r="D5" s="5"/>
      <c r="E5" s="5"/>
      <c r="F5" s="5"/>
      <c r="G5" s="5"/>
      <c r="H5" s="5"/>
      <c r="I5" s="5"/>
      <c r="J5" s="5">
        <v>-172</v>
      </c>
      <c r="K5" s="5"/>
      <c r="L5" s="5"/>
      <c r="M5" s="5"/>
      <c r="N5" s="5"/>
      <c r="O5" s="5"/>
      <c r="P5" s="5"/>
      <c r="Q5" s="5"/>
      <c r="R5" s="5"/>
      <c r="S5" s="5"/>
      <c r="T5" s="87"/>
      <c r="U5" s="31"/>
      <c r="V5" s="88"/>
      <c r="W5" s="11">
        <v>44808</v>
      </c>
      <c r="X5" s="5"/>
      <c r="Y5" s="5">
        <v>34.990000000000002</v>
      </c>
      <c r="Z5" s="5"/>
      <c r="AA5" s="5"/>
      <c r="AB5" s="5"/>
      <c r="AC5" s="5"/>
      <c r="AD5" s="5"/>
      <c r="AE5" s="5"/>
      <c r="AF5" s="5"/>
      <c r="AG5" s="5"/>
      <c r="AH5" s="5"/>
      <c r="AI5" s="5"/>
      <c r="AJ5" s="5">
        <v>350</v>
      </c>
      <c r="AK5" s="5"/>
      <c r="AL5" s="5">
        <v>450</v>
      </c>
      <c r="AM5" s="5"/>
      <c r="AN5" s="5"/>
      <c r="AO5" s="5"/>
    </row>
    <row r="6">
      <c r="A6" s="11">
        <v>44809</v>
      </c>
      <c r="B6" s="14">
        <v>60</v>
      </c>
      <c r="C6" s="14"/>
      <c r="D6" s="14">
        <v>62</v>
      </c>
      <c r="E6" s="14"/>
      <c r="F6" s="14"/>
      <c r="G6" s="14"/>
      <c r="H6" s="14"/>
      <c r="I6" s="14"/>
      <c r="J6" s="14"/>
      <c r="K6" s="14"/>
      <c r="L6" s="14">
        <f>277.2+2088.87</f>
        <v>2366.0699999999997</v>
      </c>
      <c r="M6" s="14"/>
      <c r="N6" s="14"/>
      <c r="O6" s="14"/>
      <c r="P6" s="14"/>
      <c r="Q6" s="14"/>
      <c r="R6" s="14"/>
      <c r="S6" s="14"/>
      <c r="T6" s="87"/>
      <c r="U6" s="31"/>
      <c r="V6" s="88"/>
      <c r="W6" s="11">
        <v>44809</v>
      </c>
      <c r="X6" s="14"/>
      <c r="Y6" s="14"/>
      <c r="Z6" s="14"/>
      <c r="AA6" s="14"/>
      <c r="AB6" s="14"/>
      <c r="AC6" s="14"/>
      <c r="AD6" s="14"/>
      <c r="AE6" s="14"/>
      <c r="AF6" s="14"/>
      <c r="AG6" s="14"/>
      <c r="AH6" s="14"/>
      <c r="AI6" s="14"/>
      <c r="AJ6" s="14"/>
      <c r="AK6" s="14"/>
      <c r="AL6" s="14">
        <v>-650</v>
      </c>
      <c r="AM6" s="14"/>
      <c r="AN6" s="14"/>
      <c r="AO6" s="14"/>
    </row>
    <row r="7">
      <c r="A7" s="11">
        <v>44810</v>
      </c>
      <c r="B7" s="5"/>
      <c r="C7" s="5">
        <v>129.99000000000001</v>
      </c>
      <c r="D7" s="5"/>
      <c r="E7" s="5">
        <v>729</v>
      </c>
      <c r="F7" s="5"/>
      <c r="G7" s="5">
        <f>165.09+9</f>
        <v>174.09</v>
      </c>
      <c r="H7" s="5"/>
      <c r="I7" s="5"/>
      <c r="J7" s="5"/>
      <c r="K7" s="5"/>
      <c r="L7" s="5"/>
      <c r="M7" s="5"/>
      <c r="N7" s="5"/>
      <c r="O7" s="5"/>
      <c r="P7" s="5"/>
      <c r="Q7" s="5"/>
      <c r="R7" s="5"/>
      <c r="S7" s="5"/>
      <c r="T7" s="87"/>
      <c r="U7" s="31"/>
      <c r="V7" s="88"/>
      <c r="W7" s="11">
        <v>44810</v>
      </c>
      <c r="X7" s="5"/>
      <c r="Y7" s="5"/>
      <c r="Z7" s="5"/>
      <c r="AA7" s="5"/>
      <c r="AB7" s="5"/>
      <c r="AC7" s="5"/>
      <c r="AD7" s="5"/>
      <c r="AE7" s="5"/>
      <c r="AF7" s="5"/>
      <c r="AG7" s="5"/>
      <c r="AH7" s="5"/>
      <c r="AI7" s="5"/>
      <c r="AJ7" s="5"/>
      <c r="AK7" s="5"/>
      <c r="AL7" s="5"/>
      <c r="AM7" s="5"/>
      <c r="AN7" s="5"/>
      <c r="AO7" s="5"/>
    </row>
    <row r="8">
      <c r="A8" s="11">
        <v>44811</v>
      </c>
      <c r="B8" s="14">
        <v>60</v>
      </c>
      <c r="C8" s="14">
        <v>30.989999999999998</v>
      </c>
      <c r="D8" s="14">
        <v>73</v>
      </c>
      <c r="E8" s="14"/>
      <c r="F8" s="14"/>
      <c r="G8" s="14">
        <v>10</v>
      </c>
      <c r="H8" s="14"/>
      <c r="I8" s="14"/>
      <c r="J8" s="14"/>
      <c r="K8" s="14"/>
      <c r="L8" s="14"/>
      <c r="M8" s="14"/>
      <c r="N8" s="14"/>
      <c r="O8" s="14"/>
      <c r="P8" s="14"/>
      <c r="Q8" s="14"/>
      <c r="R8" s="14"/>
      <c r="S8" s="14"/>
      <c r="T8" s="87"/>
      <c r="U8" s="31"/>
      <c r="V8" s="88"/>
      <c r="W8" s="11">
        <v>44811</v>
      </c>
      <c r="X8" s="14"/>
      <c r="Y8" s="14"/>
      <c r="Z8" s="14"/>
      <c r="AA8" s="14"/>
      <c r="AB8" s="14"/>
      <c r="AC8" s="14"/>
      <c r="AD8" s="14"/>
      <c r="AE8" s="14"/>
      <c r="AF8" s="14"/>
      <c r="AG8" s="14"/>
      <c r="AH8" s="14"/>
      <c r="AI8" s="14"/>
      <c r="AJ8" s="14"/>
      <c r="AK8" s="14"/>
      <c r="AL8" s="14">
        <v>737</v>
      </c>
      <c r="AM8" s="14"/>
      <c r="AN8" s="14"/>
      <c r="AO8" s="14"/>
    </row>
    <row r="9">
      <c r="A9" s="11">
        <v>44812</v>
      </c>
      <c r="B9" s="5"/>
      <c r="C9" s="5"/>
      <c r="D9" s="5"/>
      <c r="E9" s="5">
        <v>380</v>
      </c>
      <c r="F9" s="5"/>
      <c r="G9" s="5"/>
      <c r="H9" s="5"/>
      <c r="I9" s="5"/>
      <c r="J9" s="5"/>
      <c r="K9" s="5"/>
      <c r="L9" s="5"/>
      <c r="M9" s="5"/>
      <c r="N9" s="5"/>
      <c r="O9" s="5"/>
      <c r="P9" s="5"/>
      <c r="Q9" s="5"/>
      <c r="R9" s="5"/>
      <c r="S9" s="5"/>
      <c r="T9" s="87"/>
      <c r="U9" s="31"/>
      <c r="V9" s="88"/>
      <c r="W9" s="11">
        <v>44812</v>
      </c>
      <c r="X9" s="5"/>
      <c r="Y9" s="5"/>
      <c r="Z9" s="5"/>
      <c r="AA9" s="5"/>
      <c r="AB9" s="5"/>
      <c r="AC9" s="5"/>
      <c r="AD9" s="5"/>
      <c r="AE9" s="5"/>
      <c r="AF9" s="5"/>
      <c r="AG9" s="5"/>
      <c r="AH9" s="5"/>
      <c r="AI9" s="5"/>
      <c r="AJ9" s="5"/>
      <c r="AK9" s="5"/>
      <c r="AL9" s="5">
        <v>2972</v>
      </c>
      <c r="AM9" s="5"/>
      <c r="AN9" s="5"/>
      <c r="AO9" s="5"/>
    </row>
    <row r="10">
      <c r="A10" s="11">
        <v>44813</v>
      </c>
      <c r="B10" s="14"/>
      <c r="C10" s="14">
        <v>272.98000000000002</v>
      </c>
      <c r="D10" s="14">
        <v>81</v>
      </c>
      <c r="E10" s="14"/>
      <c r="F10" s="14"/>
      <c r="G10" s="14"/>
      <c r="H10" s="14"/>
      <c r="I10" s="14"/>
      <c r="J10" s="14"/>
      <c r="K10" s="14"/>
      <c r="L10" s="14"/>
      <c r="M10" s="14"/>
      <c r="N10" s="14"/>
      <c r="O10" s="14"/>
      <c r="P10" s="14"/>
      <c r="Q10" s="14"/>
      <c r="R10" s="14"/>
      <c r="S10" s="14"/>
      <c r="T10" s="87"/>
      <c r="U10" s="31"/>
      <c r="V10" s="88"/>
      <c r="W10" s="11">
        <v>44813</v>
      </c>
      <c r="X10" s="14"/>
      <c r="Y10" s="14"/>
      <c r="Z10" s="14"/>
      <c r="AA10" s="14"/>
      <c r="AB10" s="14"/>
      <c r="AC10" s="14"/>
      <c r="AD10" s="14"/>
      <c r="AE10" s="14"/>
      <c r="AF10" s="14"/>
      <c r="AG10" s="14"/>
      <c r="AH10" s="14"/>
      <c r="AI10" s="14"/>
      <c r="AJ10" s="14"/>
      <c r="AK10" s="14"/>
      <c r="AL10" s="14"/>
      <c r="AM10" s="14"/>
      <c r="AN10" s="14"/>
      <c r="AO10" s="14"/>
    </row>
    <row r="11">
      <c r="A11" s="96">
        <v>44814</v>
      </c>
      <c r="B11" s="5">
        <v>2129.4299999999998</v>
      </c>
      <c r="C11" s="5"/>
      <c r="D11" s="5"/>
      <c r="E11" s="5"/>
      <c r="F11" s="5"/>
      <c r="G11" s="5"/>
      <c r="H11" s="5"/>
      <c r="I11" s="5"/>
      <c r="J11" s="5"/>
      <c r="K11" s="5"/>
      <c r="L11" s="5"/>
      <c r="M11" s="5"/>
      <c r="N11" s="5"/>
      <c r="O11" s="5"/>
      <c r="P11" s="5"/>
      <c r="Q11" s="5"/>
      <c r="R11" s="5"/>
      <c r="S11" s="5"/>
      <c r="T11" s="87"/>
      <c r="U11" s="31"/>
      <c r="V11" s="88"/>
      <c r="W11" s="11">
        <v>44814</v>
      </c>
      <c r="X11" s="5"/>
      <c r="Y11" s="5"/>
      <c r="Z11" s="5"/>
      <c r="AA11" s="5"/>
      <c r="AB11" s="5"/>
      <c r="AC11" s="5"/>
      <c r="AD11" s="5"/>
      <c r="AE11" s="5"/>
      <c r="AF11" s="5"/>
      <c r="AG11" s="5"/>
      <c r="AH11" s="5"/>
      <c r="AI11" s="5"/>
      <c r="AJ11" s="5"/>
      <c r="AK11" s="5"/>
      <c r="AL11" s="5"/>
      <c r="AM11" s="5"/>
      <c r="AN11" s="5"/>
      <c r="AO11" s="5"/>
    </row>
    <row r="12">
      <c r="A12" s="96">
        <v>44815</v>
      </c>
      <c r="B12" s="14"/>
      <c r="C12" s="14">
        <v>411.94999999999999</v>
      </c>
      <c r="D12" s="14"/>
      <c r="E12" s="14"/>
      <c r="F12" s="14"/>
      <c r="G12" s="14"/>
      <c r="H12" s="14"/>
      <c r="I12" s="14"/>
      <c r="J12" s="14"/>
      <c r="K12" s="14"/>
      <c r="L12" s="14"/>
      <c r="M12" s="14"/>
      <c r="N12" s="14"/>
      <c r="O12" s="14"/>
      <c r="P12" s="14"/>
      <c r="Q12" s="14"/>
      <c r="R12" s="14"/>
      <c r="S12" s="14"/>
      <c r="T12" s="87"/>
      <c r="U12" s="31"/>
      <c r="V12" s="88"/>
      <c r="W12" s="11">
        <v>44815</v>
      </c>
      <c r="X12" s="14"/>
      <c r="Y12" s="14"/>
      <c r="Z12" s="14"/>
      <c r="AA12" s="14"/>
      <c r="AB12" s="14"/>
      <c r="AC12" s="14"/>
      <c r="AD12" s="14"/>
      <c r="AE12" s="14"/>
      <c r="AF12" s="14"/>
      <c r="AG12" s="14"/>
      <c r="AH12" s="14"/>
      <c r="AI12" s="14"/>
      <c r="AJ12" s="14"/>
      <c r="AK12" s="14"/>
      <c r="AL12" s="14"/>
      <c r="AM12" s="14"/>
      <c r="AN12" s="14"/>
      <c r="AO12" s="14"/>
    </row>
    <row r="13">
      <c r="A13" s="11">
        <v>44816</v>
      </c>
      <c r="B13" s="5"/>
      <c r="C13" s="5">
        <v>170.97999999999999</v>
      </c>
      <c r="D13" s="5"/>
      <c r="E13" s="5"/>
      <c r="F13" s="5">
        <v>300</v>
      </c>
      <c r="G13" s="5"/>
      <c r="H13" s="5"/>
      <c r="I13" s="5"/>
      <c r="J13" s="5"/>
      <c r="K13" s="5"/>
      <c r="L13" s="5"/>
      <c r="M13" s="5"/>
      <c r="N13" s="5"/>
      <c r="O13" s="5"/>
      <c r="P13" s="5"/>
      <c r="Q13" s="5"/>
      <c r="R13" s="5"/>
      <c r="S13" s="5"/>
      <c r="T13" s="87"/>
      <c r="U13" s="31"/>
      <c r="V13" s="88"/>
      <c r="W13" s="11">
        <v>44816</v>
      </c>
      <c r="X13" s="5"/>
      <c r="Y13" s="5"/>
      <c r="Z13" s="5"/>
      <c r="AA13" s="5"/>
      <c r="AB13" s="5"/>
      <c r="AC13" s="5"/>
      <c r="AD13" s="5"/>
      <c r="AE13" s="5"/>
      <c r="AF13" s="5"/>
      <c r="AG13" s="5"/>
      <c r="AH13" s="5"/>
      <c r="AI13" s="5"/>
      <c r="AJ13" s="5"/>
      <c r="AK13" s="5"/>
      <c r="AL13" s="5"/>
      <c r="AM13" s="5"/>
      <c r="AN13" s="5"/>
      <c r="AO13" s="5"/>
    </row>
    <row r="14">
      <c r="A14" s="11">
        <v>44817</v>
      </c>
      <c r="B14" s="14">
        <v>60</v>
      </c>
      <c r="C14" s="14"/>
      <c r="D14" s="14">
        <f>72+5</f>
        <v>77</v>
      </c>
      <c r="E14" s="14"/>
      <c r="F14" s="14"/>
      <c r="G14" s="14">
        <v>300</v>
      </c>
      <c r="H14" s="14"/>
      <c r="I14" s="14"/>
      <c r="J14" s="14"/>
      <c r="K14" s="14"/>
      <c r="L14" s="14"/>
      <c r="M14" s="14"/>
      <c r="N14" s="14"/>
      <c r="O14" s="14"/>
      <c r="P14" s="14"/>
      <c r="Q14" s="14"/>
      <c r="R14" s="14"/>
      <c r="S14" s="14"/>
      <c r="T14" s="87"/>
      <c r="U14" s="31"/>
      <c r="V14" s="88"/>
      <c r="W14" s="11">
        <v>44817</v>
      </c>
      <c r="X14" s="14"/>
      <c r="Y14" s="14"/>
      <c r="Z14" s="14"/>
      <c r="AA14" s="14"/>
      <c r="AB14" s="14"/>
      <c r="AC14" s="14"/>
      <c r="AD14" s="14"/>
      <c r="AE14" s="14"/>
      <c r="AF14" s="14"/>
      <c r="AG14" s="14"/>
      <c r="AH14" s="14"/>
      <c r="AI14" s="14"/>
      <c r="AJ14" s="14"/>
      <c r="AK14" s="14"/>
      <c r="AL14" s="14"/>
      <c r="AM14" s="14"/>
      <c r="AN14" s="14"/>
      <c r="AO14" s="14"/>
    </row>
    <row r="15">
      <c r="A15" s="11">
        <v>44818</v>
      </c>
      <c r="B15" s="5"/>
      <c r="C15" s="5"/>
      <c r="D15" s="5"/>
      <c r="E15" s="5"/>
      <c r="F15" s="5"/>
      <c r="G15" s="5">
        <v>30</v>
      </c>
      <c r="H15" s="5"/>
      <c r="I15" s="5"/>
      <c r="J15" s="5">
        <v>639.97000000000003</v>
      </c>
      <c r="K15" s="5"/>
      <c r="L15" s="5">
        <f>19139.56-15000</f>
        <v>4139.5600000000013</v>
      </c>
      <c r="M15" s="5"/>
      <c r="N15" s="5"/>
      <c r="O15" s="5"/>
      <c r="P15" s="5"/>
      <c r="Q15" s="5"/>
      <c r="R15" s="5"/>
      <c r="S15" s="5"/>
      <c r="T15" s="87"/>
      <c r="U15" s="31"/>
      <c r="V15" s="88"/>
      <c r="W15" s="11">
        <v>44818</v>
      </c>
      <c r="X15" s="5"/>
      <c r="Y15" s="5"/>
      <c r="Z15" s="5"/>
      <c r="AA15" s="5"/>
      <c r="AB15" s="5"/>
      <c r="AC15" s="5"/>
      <c r="AD15" s="5"/>
      <c r="AE15" s="5"/>
      <c r="AF15" s="5"/>
      <c r="AG15" s="5"/>
      <c r="AH15" s="5"/>
      <c r="AI15" s="5"/>
      <c r="AJ15" s="5"/>
      <c r="AK15" s="5"/>
      <c r="AL15" s="5"/>
      <c r="AM15" s="5"/>
      <c r="AN15" s="5"/>
      <c r="AO15" s="5"/>
    </row>
    <row r="16">
      <c r="A16" s="11">
        <v>44819</v>
      </c>
      <c r="B16" s="14">
        <f>161+167</f>
        <v>328</v>
      </c>
      <c r="C16" s="97"/>
      <c r="D16" s="14">
        <v>64</v>
      </c>
      <c r="E16" s="14"/>
      <c r="F16" s="14"/>
      <c r="G16" s="14"/>
      <c r="H16" s="14"/>
      <c r="I16" s="14"/>
      <c r="J16" s="14"/>
      <c r="K16" s="14"/>
      <c r="L16" s="14"/>
      <c r="M16" s="14"/>
      <c r="N16" s="14"/>
      <c r="O16" s="14"/>
      <c r="P16" s="14"/>
      <c r="Q16" s="14"/>
      <c r="R16" s="14"/>
      <c r="S16" s="14"/>
      <c r="T16" s="87"/>
      <c r="U16" s="31"/>
      <c r="V16" s="88"/>
      <c r="W16" s="11">
        <v>44819</v>
      </c>
      <c r="X16" s="14"/>
      <c r="Y16" s="14"/>
      <c r="Z16" s="14"/>
      <c r="AA16" s="14"/>
      <c r="AB16" s="14"/>
      <c r="AC16" s="14"/>
      <c r="AD16" s="14"/>
      <c r="AE16" s="14"/>
      <c r="AF16" s="14"/>
      <c r="AG16" s="14"/>
      <c r="AH16" s="14"/>
      <c r="AI16" s="14"/>
      <c r="AJ16" s="14"/>
      <c r="AK16" s="14"/>
      <c r="AL16" s="14"/>
      <c r="AM16" s="14"/>
      <c r="AN16" s="14"/>
      <c r="AO16" s="14"/>
    </row>
    <row r="17">
      <c r="A17" s="11">
        <v>44820</v>
      </c>
      <c r="B17" s="5">
        <v>210</v>
      </c>
      <c r="C17" s="6"/>
      <c r="D17" s="5"/>
      <c r="E17" s="5"/>
      <c r="F17" s="5">
        <f>11589+225.99</f>
        <v>11814.99</v>
      </c>
      <c r="G17" s="5"/>
      <c r="H17" s="5"/>
      <c r="I17" s="5"/>
      <c r="J17" s="5"/>
      <c r="K17" s="5"/>
      <c r="L17" s="5"/>
      <c r="M17" s="5"/>
      <c r="N17" s="5"/>
      <c r="O17" s="5"/>
      <c r="P17" s="5"/>
      <c r="Q17" s="5"/>
      <c r="R17" s="5"/>
      <c r="S17" s="5"/>
      <c r="T17" s="87"/>
      <c r="U17" s="31"/>
      <c r="V17" s="88"/>
      <c r="W17" s="11">
        <v>44820</v>
      </c>
      <c r="X17" s="5"/>
      <c r="Y17" s="5"/>
      <c r="Z17" s="5"/>
      <c r="AA17" s="5"/>
      <c r="AB17" s="5"/>
      <c r="AC17" s="5"/>
      <c r="AD17" s="5"/>
      <c r="AE17" s="5"/>
      <c r="AF17" s="5"/>
      <c r="AG17" s="5"/>
      <c r="AH17" s="5"/>
      <c r="AI17" s="5"/>
      <c r="AJ17" s="5"/>
      <c r="AK17" s="5"/>
      <c r="AL17" s="5"/>
      <c r="AM17" s="5"/>
      <c r="AN17" s="5"/>
      <c r="AO17" s="5"/>
    </row>
    <row r="18">
      <c r="A18" s="96">
        <v>44821</v>
      </c>
      <c r="B18" s="14"/>
      <c r="C18" s="14">
        <v>519.5</v>
      </c>
      <c r="D18" s="14"/>
      <c r="E18" s="14"/>
      <c r="F18" s="14"/>
      <c r="G18" s="14"/>
      <c r="H18" s="14"/>
      <c r="I18" s="14"/>
      <c r="J18" s="14"/>
      <c r="K18" s="14"/>
      <c r="L18" s="14"/>
      <c r="M18" s="14"/>
      <c r="N18" s="14"/>
      <c r="O18" s="14"/>
      <c r="P18" s="14"/>
      <c r="Q18" s="14"/>
      <c r="R18" s="14"/>
      <c r="S18" s="14"/>
      <c r="T18" s="87"/>
      <c r="U18" s="31"/>
      <c r="V18" s="88"/>
      <c r="W18" s="11">
        <v>44821</v>
      </c>
      <c r="X18" s="14"/>
      <c r="Y18" s="14"/>
      <c r="Z18" s="14"/>
      <c r="AA18" s="14"/>
      <c r="AB18" s="14"/>
      <c r="AC18" s="14"/>
      <c r="AD18" s="14"/>
      <c r="AE18" s="14"/>
      <c r="AF18" s="14"/>
      <c r="AG18" s="14"/>
      <c r="AH18" s="14"/>
      <c r="AI18" s="14"/>
      <c r="AJ18" s="14"/>
      <c r="AK18" s="14"/>
      <c r="AL18" s="14"/>
      <c r="AM18" s="14"/>
      <c r="AN18" s="14"/>
      <c r="AO18" s="14"/>
    </row>
    <row r="19">
      <c r="A19" s="96">
        <v>44822</v>
      </c>
      <c r="B19" s="5"/>
      <c r="C19" s="5"/>
      <c r="D19" s="5"/>
      <c r="E19" s="5"/>
      <c r="F19" s="5"/>
      <c r="G19" s="5">
        <v>99</v>
      </c>
      <c r="H19" s="5"/>
      <c r="I19" s="5"/>
      <c r="J19" s="5"/>
      <c r="K19" s="5"/>
      <c r="L19" s="5"/>
      <c r="M19" s="5"/>
      <c r="N19" s="5"/>
      <c r="O19" s="5"/>
      <c r="P19" s="5"/>
      <c r="Q19" s="5"/>
      <c r="R19" s="6"/>
      <c r="S19" s="5"/>
      <c r="T19" s="87"/>
      <c r="U19" s="31"/>
      <c r="V19" s="88"/>
      <c r="W19" s="11">
        <v>44822</v>
      </c>
      <c r="X19" s="5"/>
      <c r="Y19" s="5"/>
      <c r="Z19" s="5"/>
      <c r="AA19" s="5"/>
      <c r="AB19" s="5"/>
      <c r="AC19" s="5"/>
      <c r="AD19" s="5"/>
      <c r="AE19" s="5"/>
      <c r="AF19" s="5"/>
      <c r="AG19" s="5"/>
      <c r="AH19" s="5"/>
      <c r="AI19" s="5"/>
      <c r="AJ19" s="5"/>
      <c r="AK19" s="5"/>
      <c r="AL19" s="5"/>
      <c r="AM19" s="5"/>
      <c r="AN19" s="5"/>
      <c r="AO19" s="5"/>
    </row>
    <row r="20">
      <c r="A20" s="11">
        <v>44823</v>
      </c>
      <c r="B20" s="14">
        <v>60</v>
      </c>
      <c r="C20" s="14">
        <v>777.72000000000003</v>
      </c>
      <c r="D20" s="14">
        <v>74</v>
      </c>
      <c r="E20" s="14">
        <v>569</v>
      </c>
      <c r="F20" s="14"/>
      <c r="G20" s="14"/>
      <c r="H20" s="14"/>
      <c r="I20" s="14"/>
      <c r="J20" s="14"/>
      <c r="K20" s="14"/>
      <c r="L20" s="14"/>
      <c r="M20" s="14"/>
      <c r="N20" s="14"/>
      <c r="O20" s="14"/>
      <c r="P20" s="34"/>
      <c r="Q20" s="14"/>
      <c r="R20" s="14"/>
      <c r="S20" s="14"/>
      <c r="T20" s="87"/>
      <c r="U20" s="31"/>
      <c r="V20" s="88"/>
      <c r="W20" s="11">
        <v>44823</v>
      </c>
      <c r="X20" s="14"/>
      <c r="Y20" s="14"/>
      <c r="Z20" s="14"/>
      <c r="AA20" s="14"/>
      <c r="AB20" s="14"/>
      <c r="AC20" s="14"/>
      <c r="AD20" s="14"/>
      <c r="AE20" s="14"/>
      <c r="AF20" s="14"/>
      <c r="AG20" s="14"/>
      <c r="AH20" s="14"/>
      <c r="AI20" s="14"/>
      <c r="AJ20" s="14"/>
      <c r="AK20" s="14"/>
      <c r="AL20" s="34"/>
      <c r="AM20" s="14"/>
      <c r="AN20" s="14"/>
      <c r="AO20" s="14"/>
    </row>
    <row r="21">
      <c r="A21" s="11">
        <v>44824</v>
      </c>
      <c r="B21" s="69"/>
      <c r="C21" s="6"/>
      <c r="D21" s="5"/>
      <c r="E21" s="5"/>
      <c r="F21" s="5"/>
      <c r="G21" s="5"/>
      <c r="H21" s="5"/>
      <c r="I21" s="5"/>
      <c r="J21" s="5"/>
      <c r="K21" s="5"/>
      <c r="L21" s="5"/>
      <c r="M21" s="5"/>
      <c r="N21" s="5"/>
      <c r="O21" s="5"/>
      <c r="P21" s="5"/>
      <c r="Q21" s="5"/>
      <c r="R21" s="5"/>
      <c r="S21" s="5"/>
      <c r="T21" s="87"/>
      <c r="U21" s="31"/>
      <c r="V21" s="88"/>
      <c r="W21" s="11">
        <v>44824</v>
      </c>
      <c r="X21" s="69"/>
      <c r="Y21" s="5"/>
      <c r="Z21" s="5"/>
      <c r="AA21" s="5"/>
      <c r="AB21" s="5"/>
      <c r="AC21" s="5"/>
      <c r="AD21" s="5"/>
      <c r="AE21" s="5"/>
      <c r="AF21" s="5"/>
      <c r="AG21" s="5"/>
      <c r="AH21" s="5"/>
      <c r="AI21" s="5"/>
      <c r="AJ21" s="5"/>
      <c r="AK21" s="5"/>
      <c r="AL21" s="5"/>
      <c r="AM21" s="5"/>
      <c r="AN21" s="5"/>
      <c r="AO21" s="5"/>
    </row>
    <row r="22">
      <c r="A22" s="11">
        <v>44825</v>
      </c>
      <c r="B22" s="22">
        <v>60</v>
      </c>
      <c r="C22" s="14">
        <v>417</v>
      </c>
      <c r="D22" s="14">
        <v>82</v>
      </c>
      <c r="E22" s="14"/>
      <c r="F22" s="14"/>
      <c r="G22" s="14"/>
      <c r="H22" s="14"/>
      <c r="I22" s="14"/>
      <c r="J22" s="14"/>
      <c r="K22" s="14"/>
      <c r="L22" s="14"/>
      <c r="M22" s="14"/>
      <c r="N22" s="14"/>
      <c r="O22" s="14"/>
      <c r="P22" s="14"/>
      <c r="Q22" s="14"/>
      <c r="R22" s="14"/>
      <c r="S22" s="14"/>
      <c r="T22" s="87"/>
      <c r="U22" s="31"/>
      <c r="V22" s="88"/>
      <c r="W22" s="11">
        <v>44825</v>
      </c>
      <c r="X22" s="22"/>
      <c r="Y22" s="14"/>
      <c r="Z22" s="14"/>
      <c r="AA22" s="14"/>
      <c r="AB22" s="14"/>
      <c r="AC22" s="14"/>
      <c r="AD22" s="14"/>
      <c r="AE22" s="14"/>
      <c r="AF22" s="14"/>
      <c r="AG22" s="14"/>
      <c r="AH22" s="14"/>
      <c r="AI22" s="14"/>
      <c r="AJ22" s="14"/>
      <c r="AK22" s="14"/>
      <c r="AL22" s="14"/>
      <c r="AM22" s="14"/>
      <c r="AN22" s="14"/>
      <c r="AO22" s="14"/>
    </row>
    <row r="23">
      <c r="A23" s="11">
        <v>44826</v>
      </c>
      <c r="B23" s="5">
        <v>712.5</v>
      </c>
      <c r="C23" s="5"/>
      <c r="D23" s="5"/>
      <c r="E23" s="5"/>
      <c r="F23" s="5"/>
      <c r="G23" s="5"/>
      <c r="H23" s="5"/>
      <c r="I23" s="5"/>
      <c r="J23" s="5"/>
      <c r="K23" s="5"/>
      <c r="L23" s="5"/>
      <c r="M23" s="5"/>
      <c r="N23" s="5"/>
      <c r="O23" s="5"/>
      <c r="P23" s="5"/>
      <c r="Q23" s="5"/>
      <c r="R23" s="5"/>
      <c r="S23" s="5"/>
      <c r="T23" s="87"/>
      <c r="U23" s="31"/>
      <c r="V23" s="88"/>
      <c r="W23" s="11">
        <v>44826</v>
      </c>
      <c r="X23" s="5"/>
      <c r="Y23" s="5"/>
      <c r="Z23" s="5"/>
      <c r="AA23" s="5"/>
      <c r="AB23" s="5"/>
      <c r="AC23" s="5"/>
      <c r="AD23" s="5"/>
      <c r="AE23" s="5"/>
      <c r="AF23" s="5"/>
      <c r="AG23" s="5"/>
      <c r="AH23" s="5"/>
      <c r="AI23" s="5"/>
      <c r="AJ23" s="5"/>
      <c r="AK23" s="5"/>
      <c r="AL23" s="5"/>
      <c r="AM23" s="5"/>
      <c r="AN23" s="5"/>
      <c r="AO23" s="5"/>
    </row>
    <row r="24">
      <c r="A24" s="11">
        <v>44827</v>
      </c>
      <c r="B24" s="14">
        <v>60</v>
      </c>
      <c r="C24" s="14"/>
      <c r="D24" s="14"/>
      <c r="E24" s="14"/>
      <c r="F24" s="14"/>
      <c r="G24" s="14"/>
      <c r="H24" s="14"/>
      <c r="I24" s="14"/>
      <c r="J24" s="14"/>
      <c r="K24" s="14"/>
      <c r="L24" s="14"/>
      <c r="M24" s="14"/>
      <c r="N24" s="14"/>
      <c r="O24" s="14"/>
      <c r="P24" s="14"/>
      <c r="Q24" s="14"/>
      <c r="R24" s="14"/>
      <c r="S24" s="14"/>
      <c r="T24" s="87"/>
      <c r="U24" s="31"/>
      <c r="V24" s="88"/>
      <c r="W24" s="11">
        <v>44827</v>
      </c>
      <c r="X24" s="14"/>
      <c r="Y24" s="14"/>
      <c r="Z24" s="14"/>
      <c r="AA24" s="14"/>
      <c r="AB24" s="14"/>
      <c r="AC24" s="14"/>
      <c r="AD24" s="14"/>
      <c r="AE24" s="14"/>
      <c r="AF24" s="14"/>
      <c r="AG24" s="14"/>
      <c r="AH24" s="14"/>
      <c r="AI24" s="14"/>
      <c r="AJ24" s="14"/>
      <c r="AK24" s="14"/>
      <c r="AL24" s="14"/>
      <c r="AM24" s="14"/>
      <c r="AN24" s="14"/>
      <c r="AO24" s="14"/>
    </row>
    <row r="25">
      <c r="A25" s="96">
        <v>44828</v>
      </c>
      <c r="B25" s="28">
        <v>1314.5</v>
      </c>
      <c r="C25" s="5"/>
      <c r="D25" s="5"/>
      <c r="E25" s="5"/>
      <c r="F25" s="5"/>
      <c r="G25" s="5"/>
      <c r="H25" s="5"/>
      <c r="I25" s="5"/>
      <c r="J25" s="5"/>
      <c r="K25" s="5"/>
      <c r="L25" s="5"/>
      <c r="M25" s="5"/>
      <c r="N25" s="5">
        <v>30</v>
      </c>
      <c r="O25" s="5"/>
      <c r="P25" s="5"/>
      <c r="Q25" s="5"/>
      <c r="R25" s="5"/>
      <c r="S25" s="5"/>
      <c r="T25" s="87"/>
      <c r="U25" s="31"/>
      <c r="V25" s="88"/>
      <c r="W25" s="11">
        <v>44828</v>
      </c>
      <c r="X25" s="28"/>
      <c r="Y25" s="5"/>
      <c r="Z25" s="5"/>
      <c r="AA25" s="5"/>
      <c r="AB25" s="5"/>
      <c r="AC25" s="5"/>
      <c r="AD25" s="5"/>
      <c r="AE25" s="5"/>
      <c r="AF25" s="5"/>
      <c r="AG25" s="5"/>
      <c r="AH25" s="5"/>
      <c r="AI25" s="5"/>
      <c r="AJ25" s="5"/>
      <c r="AK25" s="5"/>
      <c r="AL25" s="5"/>
      <c r="AM25" s="5"/>
      <c r="AN25" s="5"/>
      <c r="AO25" s="5"/>
    </row>
    <row r="26">
      <c r="A26" s="96">
        <v>44829</v>
      </c>
      <c r="B26" s="14">
        <f>32500+51231</f>
        <v>83731</v>
      </c>
      <c r="C26" s="14"/>
      <c r="D26" s="14"/>
      <c r="E26" s="14"/>
      <c r="F26" s="14"/>
      <c r="G26" s="14"/>
      <c r="H26" s="14"/>
      <c r="I26" s="14"/>
      <c r="J26" s="14">
        <v>6294</v>
      </c>
      <c r="K26" s="14"/>
      <c r="L26" s="14"/>
      <c r="M26" s="14"/>
      <c r="N26" s="14"/>
      <c r="O26" s="14"/>
      <c r="P26" s="14"/>
      <c r="Q26" s="14"/>
      <c r="R26" s="14"/>
      <c r="S26" s="14"/>
      <c r="T26" s="87"/>
      <c r="U26" s="31"/>
      <c r="V26" s="88"/>
      <c r="W26" s="11">
        <v>44829</v>
      </c>
      <c r="X26" s="14"/>
      <c r="Y26" s="14"/>
      <c r="Z26" s="14"/>
      <c r="AA26" s="14"/>
      <c r="AB26" s="14"/>
      <c r="AC26" s="14"/>
      <c r="AD26" s="14"/>
      <c r="AE26" s="14"/>
      <c r="AF26" s="14"/>
      <c r="AG26" s="14"/>
      <c r="AH26" s="14"/>
      <c r="AI26" s="14"/>
      <c r="AJ26" s="14"/>
      <c r="AK26" s="14"/>
      <c r="AL26" s="14"/>
      <c r="AM26" s="14"/>
      <c r="AN26" s="14"/>
      <c r="AO26" s="14"/>
    </row>
    <row r="27">
      <c r="A27" s="11">
        <v>44830</v>
      </c>
      <c r="B27" s="5">
        <v>1798</v>
      </c>
      <c r="C27" s="6"/>
      <c r="D27" s="5"/>
      <c r="E27" s="5"/>
      <c r="F27" s="5"/>
      <c r="G27" s="5"/>
      <c r="H27" s="5"/>
      <c r="I27" s="5"/>
      <c r="J27" s="5"/>
      <c r="K27" s="5"/>
      <c r="L27" s="5"/>
      <c r="M27" s="5"/>
      <c r="N27" s="5"/>
      <c r="O27" s="5"/>
      <c r="P27" s="5"/>
      <c r="Q27" s="5"/>
      <c r="R27" s="5"/>
      <c r="S27" s="5"/>
      <c r="T27" s="87"/>
      <c r="U27" s="31"/>
      <c r="V27" s="88"/>
      <c r="W27" s="11">
        <v>44830</v>
      </c>
      <c r="X27" s="5"/>
      <c r="Y27" s="5"/>
      <c r="Z27" s="5"/>
      <c r="AA27" s="5"/>
      <c r="AB27" s="5"/>
      <c r="AC27" s="5"/>
      <c r="AD27" s="5"/>
      <c r="AE27" s="5"/>
      <c r="AF27" s="5"/>
      <c r="AG27" s="5"/>
      <c r="AH27" s="5"/>
      <c r="AI27" s="5"/>
      <c r="AJ27" s="5"/>
      <c r="AK27" s="5"/>
      <c r="AL27" s="5"/>
      <c r="AM27" s="5"/>
      <c r="AN27" s="5"/>
      <c r="AO27" s="5"/>
    </row>
    <row r="28">
      <c r="A28" s="11">
        <v>44831</v>
      </c>
      <c r="B28" s="14"/>
      <c r="C28" s="14"/>
      <c r="D28" s="14"/>
      <c r="E28" s="14"/>
      <c r="F28" s="14"/>
      <c r="G28" s="14"/>
      <c r="H28" s="14"/>
      <c r="I28" s="14"/>
      <c r="J28" s="14"/>
      <c r="K28" s="14"/>
      <c r="L28" s="14"/>
      <c r="M28" s="14"/>
      <c r="N28" s="14"/>
      <c r="O28" s="14"/>
      <c r="P28" s="14"/>
      <c r="Q28" s="14"/>
      <c r="R28" s="14"/>
      <c r="S28" s="14"/>
      <c r="T28" s="87"/>
      <c r="U28" s="31"/>
      <c r="V28" s="88"/>
      <c r="W28" s="11">
        <v>44831</v>
      </c>
      <c r="X28" s="14"/>
      <c r="Y28" s="14"/>
      <c r="Z28" s="14"/>
      <c r="AA28" s="14"/>
      <c r="AB28" s="14"/>
      <c r="AC28" s="14"/>
      <c r="AD28" s="14"/>
      <c r="AE28" s="14"/>
      <c r="AF28" s="14"/>
      <c r="AG28" s="14"/>
      <c r="AH28" s="14"/>
      <c r="AI28" s="14"/>
      <c r="AJ28" s="14"/>
      <c r="AK28" s="14"/>
      <c r="AL28" s="14"/>
      <c r="AM28" s="14"/>
      <c r="AN28" s="14"/>
      <c r="AO28" s="14"/>
    </row>
    <row r="29">
      <c r="A29" s="11">
        <v>44832</v>
      </c>
      <c r="B29" s="5"/>
      <c r="C29" s="5"/>
      <c r="D29" s="5"/>
      <c r="E29" s="5"/>
      <c r="F29" s="5"/>
      <c r="G29" s="5"/>
      <c r="H29" s="5"/>
      <c r="I29" s="5"/>
      <c r="J29" s="5"/>
      <c r="K29" s="5"/>
      <c r="L29" s="5"/>
      <c r="M29" s="5"/>
      <c r="N29" s="5"/>
      <c r="O29" s="5"/>
      <c r="P29" s="5"/>
      <c r="Q29" s="5"/>
      <c r="R29" s="5"/>
      <c r="S29" s="5"/>
      <c r="T29" s="87"/>
      <c r="U29" s="31"/>
      <c r="V29" s="88"/>
      <c r="W29" s="11">
        <v>44832</v>
      </c>
      <c r="X29" s="5"/>
      <c r="Y29" s="5"/>
      <c r="Z29" s="5"/>
      <c r="AA29" s="5"/>
      <c r="AB29" s="5"/>
      <c r="AC29" s="5"/>
      <c r="AD29" s="5"/>
      <c r="AE29" s="5"/>
      <c r="AF29" s="5"/>
      <c r="AG29" s="5"/>
      <c r="AH29" s="5"/>
      <c r="AI29" s="5"/>
      <c r="AJ29" s="5"/>
      <c r="AK29" s="5"/>
      <c r="AL29" s="5"/>
      <c r="AM29" s="5"/>
      <c r="AN29" s="5"/>
      <c r="AO29" s="5"/>
    </row>
    <row r="30">
      <c r="A30" s="11">
        <v>44833</v>
      </c>
      <c r="B30" s="22"/>
      <c r="C30" s="22"/>
      <c r="D30" s="22"/>
      <c r="E30" s="22"/>
      <c r="F30" s="22"/>
      <c r="G30" s="22"/>
      <c r="H30" s="22"/>
      <c r="I30" s="22"/>
      <c r="J30" s="22"/>
      <c r="K30" s="22"/>
      <c r="L30" s="22"/>
      <c r="M30" s="22"/>
      <c r="N30" s="22"/>
      <c r="O30" s="22"/>
      <c r="P30" s="22"/>
      <c r="Q30" s="22"/>
      <c r="R30" s="22"/>
      <c r="S30" s="22"/>
      <c r="T30" s="87"/>
      <c r="U30" s="31"/>
      <c r="V30" s="88"/>
      <c r="W30" s="11">
        <v>44833</v>
      </c>
      <c r="X30" s="22"/>
      <c r="Y30" s="22"/>
      <c r="Z30" s="22"/>
      <c r="AA30" s="22"/>
      <c r="AB30" s="22"/>
      <c r="AC30" s="22"/>
      <c r="AD30" s="22"/>
      <c r="AE30" s="22"/>
      <c r="AF30" s="22"/>
      <c r="AG30" s="22"/>
      <c r="AH30" s="22"/>
      <c r="AI30" s="22"/>
      <c r="AJ30" s="22"/>
      <c r="AK30" s="22"/>
      <c r="AL30" s="22"/>
      <c r="AM30" s="22"/>
      <c r="AN30" s="22"/>
      <c r="AO30" s="22"/>
    </row>
    <row r="31">
      <c r="A31" s="11">
        <v>44834</v>
      </c>
      <c r="B31" s="5"/>
      <c r="C31" s="5"/>
      <c r="D31" s="5"/>
      <c r="E31" s="5"/>
      <c r="F31" s="5"/>
      <c r="G31" s="5"/>
      <c r="H31" s="5"/>
      <c r="I31" s="5"/>
      <c r="J31" s="5"/>
      <c r="K31" s="5"/>
      <c r="L31" s="5"/>
      <c r="M31" s="5"/>
      <c r="N31" s="5"/>
      <c r="O31" s="5"/>
      <c r="P31" s="5"/>
      <c r="Q31" s="5"/>
      <c r="R31" s="5"/>
      <c r="S31" s="5"/>
      <c r="T31" s="87"/>
      <c r="U31" s="31"/>
      <c r="V31" s="88"/>
      <c r="W31" s="11">
        <v>44834</v>
      </c>
      <c r="X31" s="5"/>
      <c r="Y31" s="5"/>
      <c r="Z31" s="5"/>
      <c r="AA31" s="5"/>
      <c r="AB31" s="5"/>
      <c r="AC31" s="5"/>
      <c r="AD31" s="5"/>
      <c r="AE31" s="5"/>
      <c r="AF31" s="5"/>
      <c r="AG31" s="5"/>
      <c r="AH31" s="5"/>
      <c r="AI31" s="5"/>
      <c r="AJ31" s="5"/>
      <c r="AK31" s="5"/>
      <c r="AL31" s="5"/>
      <c r="AM31" s="5"/>
      <c r="AN31" s="5"/>
      <c r="AO31" s="5"/>
    </row>
    <row r="32">
      <c r="A32" s="11"/>
      <c r="B32" s="22"/>
      <c r="C32" s="22"/>
      <c r="D32" s="22"/>
      <c r="E32" s="22"/>
      <c r="F32" s="22"/>
      <c r="G32" s="22"/>
      <c r="H32" s="22"/>
      <c r="I32" s="22"/>
      <c r="J32" s="22"/>
      <c r="K32" s="22"/>
      <c r="L32" s="22"/>
      <c r="M32" s="22"/>
      <c r="N32" s="22"/>
      <c r="O32" s="22"/>
      <c r="P32" s="22"/>
      <c r="Q32" s="22"/>
      <c r="R32" s="22"/>
      <c r="S32" s="22"/>
      <c r="T32" s="87"/>
      <c r="U32" s="31"/>
      <c r="V32" s="88"/>
      <c r="W32" s="11"/>
      <c r="X32" s="22"/>
      <c r="Y32" s="22"/>
      <c r="Z32" s="22"/>
      <c r="AA32" s="22"/>
      <c r="AB32" s="22"/>
      <c r="AC32" s="22"/>
      <c r="AD32" s="22"/>
      <c r="AE32" s="22"/>
      <c r="AF32" s="22"/>
      <c r="AG32" s="22"/>
      <c r="AH32" s="22"/>
      <c r="AI32" s="22"/>
      <c r="AJ32" s="22"/>
      <c r="AK32" s="22"/>
      <c r="AL32" s="22"/>
      <c r="AM32" s="22"/>
      <c r="AN32" s="22"/>
      <c r="AO32" s="22"/>
    </row>
    <row r="33">
      <c r="A33" s="74"/>
      <c r="B33" s="75">
        <f t="shared" ref="B33:R33" si="130">SUM(B2:B32)</f>
        <v>90643.429999999993</v>
      </c>
      <c r="C33" s="75">
        <f t="shared" si="130"/>
        <v>4069.21</v>
      </c>
      <c r="D33" s="75">
        <f t="shared" si="130"/>
        <v>673</v>
      </c>
      <c r="E33" s="75">
        <f t="shared" si="130"/>
        <v>1678</v>
      </c>
      <c r="F33" s="75">
        <f t="shared" si="130"/>
        <v>12114.99</v>
      </c>
      <c r="G33" s="75">
        <f t="shared" si="130"/>
        <v>613.09000000000003</v>
      </c>
      <c r="H33" s="75">
        <f t="shared" si="130"/>
        <v>0</v>
      </c>
      <c r="I33" s="75">
        <f t="shared" si="130"/>
        <v>0</v>
      </c>
      <c r="J33" s="75">
        <f t="shared" si="130"/>
        <v>6844.9700000000003</v>
      </c>
      <c r="K33" s="75">
        <f t="shared" si="130"/>
        <v>0</v>
      </c>
      <c r="L33" s="75">
        <f t="shared" si="130"/>
        <v>6505.630000000001</v>
      </c>
      <c r="M33" s="75">
        <f t="shared" si="130"/>
        <v>0</v>
      </c>
      <c r="N33" s="75">
        <f t="shared" si="130"/>
        <v>655</v>
      </c>
      <c r="O33" s="75">
        <f t="shared" si="130"/>
        <v>0</v>
      </c>
      <c r="P33" s="75">
        <f t="shared" si="130"/>
        <v>0</v>
      </c>
      <c r="Q33" s="75">
        <f t="shared" si="130"/>
        <v>0</v>
      </c>
      <c r="R33" s="75">
        <f t="shared" si="130"/>
        <v>0</v>
      </c>
      <c r="S33" s="75">
        <f>SUM(B33:R33)+S15</f>
        <v>123797.32000000001</v>
      </c>
      <c r="T33" s="87"/>
      <c r="U33" s="31"/>
      <c r="V33" s="88"/>
      <c r="W33" s="74"/>
      <c r="X33" s="75">
        <f t="shared" ref="X33:AN33" si="131">SUM(X2:X32)</f>
        <v>50</v>
      </c>
      <c r="Y33" s="75">
        <f t="shared" si="131"/>
        <v>460.92000000000002</v>
      </c>
      <c r="Z33" s="75">
        <f t="shared" si="131"/>
        <v>0</v>
      </c>
      <c r="AA33" s="75">
        <f t="shared" si="131"/>
        <v>0</v>
      </c>
      <c r="AB33" s="75">
        <f t="shared" si="131"/>
        <v>0</v>
      </c>
      <c r="AC33" s="75">
        <f t="shared" si="131"/>
        <v>0</v>
      </c>
      <c r="AD33" s="75">
        <f t="shared" si="131"/>
        <v>0</v>
      </c>
      <c r="AE33" s="75">
        <f t="shared" si="131"/>
        <v>0</v>
      </c>
      <c r="AF33" s="75">
        <f t="shared" si="131"/>
        <v>895</v>
      </c>
      <c r="AG33" s="75">
        <f t="shared" si="131"/>
        <v>0</v>
      </c>
      <c r="AH33" s="75">
        <f t="shared" si="131"/>
        <v>0</v>
      </c>
      <c r="AI33" s="75">
        <f t="shared" si="131"/>
        <v>0</v>
      </c>
      <c r="AJ33" s="75">
        <f t="shared" si="131"/>
        <v>350</v>
      </c>
      <c r="AK33" s="75">
        <f t="shared" si="131"/>
        <v>0</v>
      </c>
      <c r="AL33" s="75">
        <f t="shared" si="131"/>
        <v>8991</v>
      </c>
      <c r="AM33" s="75">
        <f t="shared" si="131"/>
        <v>0</v>
      </c>
      <c r="AN33" s="75">
        <f t="shared" si="131"/>
        <v>0</v>
      </c>
      <c r="AO33" s="75">
        <f>SUM(X33:AN33)</f>
        <v>10746.92</v>
      </c>
    </row>
    <row r="34">
      <c r="A34" s="84"/>
      <c r="B34" s="84"/>
      <c r="C34" s="84"/>
      <c r="D34" s="84"/>
      <c r="E34" s="84"/>
      <c r="F34" s="84"/>
      <c r="G34" s="84"/>
      <c r="H34" s="84"/>
      <c r="I34" s="84"/>
      <c r="J34" s="84"/>
      <c r="K34" s="84"/>
      <c r="L34" s="84"/>
      <c r="M34" s="84"/>
      <c r="N34" s="84"/>
      <c r="O34" s="84"/>
      <c r="P34" s="84"/>
      <c r="Q34" s="84"/>
      <c r="R34" s="84"/>
      <c r="S34" s="84"/>
      <c r="T34" s="31"/>
      <c r="U34" s="31"/>
      <c r="V34" s="31"/>
      <c r="W34" s="84"/>
      <c r="X34" s="84"/>
      <c r="Y34" s="84"/>
      <c r="Z34" s="84"/>
      <c r="AA34" s="84"/>
      <c r="AB34" s="84"/>
      <c r="AC34" s="84"/>
      <c r="AD34" s="84"/>
      <c r="AE34" s="84"/>
      <c r="AF34" s="84"/>
      <c r="AG34" s="84"/>
      <c r="AH34" s="84"/>
      <c r="AI34" s="84"/>
      <c r="AJ34" s="84"/>
      <c r="AK34" s="84"/>
      <c r="AL34" s="84"/>
      <c r="AM34" s="84"/>
      <c r="AN34" s="84"/>
      <c r="AO34" s="84"/>
    </row>
    <row r="35">
      <c r="A35" s="98" t="s">
        <v>0</v>
      </c>
      <c r="B35" s="98" t="s">
        <v>50</v>
      </c>
      <c r="C35" s="98" t="s">
        <v>13</v>
      </c>
      <c r="D35" s="98" t="s">
        <v>11</v>
      </c>
      <c r="E35" s="98" t="s">
        <v>51</v>
      </c>
      <c r="F35" s="98" t="s">
        <v>52</v>
      </c>
      <c r="G35" s="98" t="s">
        <v>53</v>
      </c>
      <c r="H35" s="98" t="s">
        <v>54</v>
      </c>
      <c r="I35" s="98" t="s">
        <v>55</v>
      </c>
      <c r="J35" s="98" t="s">
        <v>61</v>
      </c>
      <c r="K35" s="98" t="s">
        <v>74</v>
      </c>
      <c r="L35" s="99"/>
      <c r="M35" s="99"/>
      <c r="N35" s="99"/>
      <c r="O35" s="99"/>
      <c r="P35" s="99"/>
      <c r="Q35" s="99"/>
      <c r="R35" s="99"/>
      <c r="S35" s="99"/>
      <c r="T35" s="87"/>
      <c r="U35" s="31"/>
      <c r="V35" s="88"/>
      <c r="W35" s="85" t="s">
        <v>0</v>
      </c>
      <c r="X35" s="85" t="s">
        <v>50</v>
      </c>
      <c r="Y35" s="85" t="s">
        <v>13</v>
      </c>
      <c r="Z35" s="85" t="s">
        <v>11</v>
      </c>
      <c r="AA35" s="85" t="s">
        <v>51</v>
      </c>
      <c r="AB35" s="85" t="s">
        <v>52</v>
      </c>
      <c r="AC35" s="85" t="s">
        <v>53</v>
      </c>
      <c r="AD35" s="85" t="s">
        <v>54</v>
      </c>
      <c r="AE35" s="85" t="s">
        <v>55</v>
      </c>
      <c r="AF35" s="85" t="s">
        <v>61</v>
      </c>
      <c r="AG35" s="85" t="s">
        <v>74</v>
      </c>
      <c r="AH35" s="86"/>
      <c r="AI35" s="86"/>
      <c r="AJ35" s="86"/>
      <c r="AK35" s="86"/>
      <c r="AL35" s="86"/>
      <c r="AM35" s="86"/>
      <c r="AN35" s="86"/>
      <c r="AO35" s="86"/>
    </row>
    <row r="36">
      <c r="A36" s="11">
        <v>44805</v>
      </c>
      <c r="B36" s="14"/>
      <c r="C36" s="14"/>
      <c r="D36" s="14"/>
      <c r="E36" s="14"/>
      <c r="F36" s="14"/>
      <c r="G36" s="14"/>
      <c r="H36" s="14"/>
      <c r="I36" s="14"/>
      <c r="J36" s="22"/>
      <c r="K36" s="22"/>
      <c r="L36" s="22"/>
      <c r="M36" s="22"/>
      <c r="N36" s="22"/>
      <c r="O36" s="22"/>
      <c r="P36" s="22"/>
      <c r="Q36" s="22"/>
      <c r="R36" s="22"/>
      <c r="S36" s="22"/>
      <c r="T36" s="87"/>
      <c r="U36" s="31"/>
      <c r="V36" s="88"/>
      <c r="W36" s="11">
        <v>44805</v>
      </c>
      <c r="X36" s="14"/>
      <c r="Y36" s="14"/>
      <c r="Z36" s="14"/>
      <c r="AA36" s="14"/>
      <c r="AB36" s="14"/>
      <c r="AC36" s="14"/>
      <c r="AD36" s="14">
        <v>600</v>
      </c>
      <c r="AE36" s="14"/>
      <c r="AF36" s="22"/>
      <c r="AG36" s="22"/>
      <c r="AH36" s="22"/>
      <c r="AI36" s="22"/>
      <c r="AJ36" s="22"/>
      <c r="AK36" s="22"/>
      <c r="AL36" s="22"/>
      <c r="AM36" s="22"/>
      <c r="AN36" s="22"/>
      <c r="AO36" s="22"/>
    </row>
    <row r="37">
      <c r="A37" s="11">
        <v>44806</v>
      </c>
      <c r="B37" s="5"/>
      <c r="C37" s="5"/>
      <c r="D37" s="5"/>
      <c r="E37" s="5"/>
      <c r="F37" s="5"/>
      <c r="G37" s="5"/>
      <c r="H37" s="5"/>
      <c r="I37" s="5"/>
      <c r="J37" s="5"/>
      <c r="K37" s="5"/>
      <c r="L37" s="5"/>
      <c r="M37" s="5"/>
      <c r="N37" s="5"/>
      <c r="O37" s="5"/>
      <c r="P37" s="5"/>
      <c r="Q37" s="5"/>
      <c r="R37" s="5"/>
      <c r="S37" s="5"/>
      <c r="T37" s="87"/>
      <c r="U37" s="31"/>
      <c r="V37" s="88"/>
      <c r="W37" s="11">
        <v>44806</v>
      </c>
      <c r="X37" s="5"/>
      <c r="Y37" s="5"/>
      <c r="Z37" s="5"/>
      <c r="AA37" s="5"/>
      <c r="AB37" s="5"/>
      <c r="AC37" s="5"/>
      <c r="AD37" s="5">
        <v>600</v>
      </c>
      <c r="AE37" s="5"/>
      <c r="AF37" s="5"/>
      <c r="AG37" s="5"/>
      <c r="AH37" s="5"/>
      <c r="AI37" s="5"/>
      <c r="AJ37" s="5"/>
      <c r="AK37" s="5"/>
      <c r="AL37" s="5"/>
      <c r="AM37" s="5"/>
      <c r="AN37" s="5"/>
      <c r="AO37" s="5"/>
    </row>
    <row r="38">
      <c r="A38" s="96">
        <v>44807</v>
      </c>
      <c r="B38" s="14"/>
      <c r="C38" s="14"/>
      <c r="D38" s="14"/>
      <c r="E38" s="14"/>
      <c r="F38" s="14"/>
      <c r="G38" s="14"/>
      <c r="H38" s="14"/>
      <c r="I38" s="14"/>
      <c r="J38" s="22"/>
      <c r="K38" s="22"/>
      <c r="L38" s="22"/>
      <c r="M38" s="22"/>
      <c r="N38" s="22"/>
      <c r="O38" s="22"/>
      <c r="P38" s="22"/>
      <c r="Q38" s="22"/>
      <c r="R38" s="22"/>
      <c r="S38" s="22"/>
      <c r="T38" s="87"/>
      <c r="U38" s="31"/>
      <c r="V38" s="88"/>
      <c r="W38" s="11">
        <v>44807</v>
      </c>
      <c r="X38" s="14"/>
      <c r="Y38" s="14"/>
      <c r="Z38" s="14"/>
      <c r="AA38" s="14"/>
      <c r="AB38" s="14"/>
      <c r="AC38" s="14"/>
      <c r="AD38" s="14"/>
      <c r="AE38" s="14"/>
      <c r="AF38" s="22"/>
      <c r="AG38" s="22"/>
      <c r="AH38" s="22"/>
      <c r="AI38" s="22"/>
      <c r="AJ38" s="22"/>
      <c r="AK38" s="22"/>
      <c r="AL38" s="22"/>
      <c r="AM38" s="22"/>
      <c r="AN38" s="22"/>
      <c r="AO38" s="22"/>
    </row>
    <row r="39">
      <c r="A39" s="96">
        <v>44808</v>
      </c>
      <c r="B39" s="5"/>
      <c r="C39" s="5"/>
      <c r="D39" s="5"/>
      <c r="E39" s="71"/>
      <c r="F39" s="5"/>
      <c r="G39" s="5"/>
      <c r="H39" s="5"/>
      <c r="I39" s="5"/>
      <c r="J39" s="5"/>
      <c r="K39" s="5"/>
      <c r="L39" s="5"/>
      <c r="M39" s="5"/>
      <c r="N39" s="5"/>
      <c r="O39" s="5"/>
      <c r="P39" s="5"/>
      <c r="Q39" s="5"/>
      <c r="R39" s="5"/>
      <c r="S39" s="5"/>
      <c r="T39" s="87"/>
      <c r="U39" s="31"/>
      <c r="V39" s="88"/>
      <c r="W39" s="11">
        <v>44808</v>
      </c>
      <c r="X39" s="5"/>
      <c r="Y39" s="5"/>
      <c r="Z39" s="5"/>
      <c r="AA39" s="71"/>
      <c r="AB39" s="5"/>
      <c r="AC39" s="5"/>
      <c r="AD39" s="5">
        <v>600</v>
      </c>
      <c r="AE39" s="5"/>
      <c r="AF39" s="5"/>
      <c r="AG39" s="5"/>
      <c r="AH39" s="5"/>
      <c r="AI39" s="5"/>
      <c r="AJ39" s="5"/>
      <c r="AK39" s="5"/>
      <c r="AL39" s="5"/>
      <c r="AM39" s="5"/>
      <c r="AN39" s="5"/>
      <c r="AO39" s="5"/>
    </row>
    <row r="40">
      <c r="A40" s="11">
        <v>44809</v>
      </c>
      <c r="B40" s="14">
        <v>23023.57</v>
      </c>
      <c r="C40" s="14"/>
      <c r="D40" s="14"/>
      <c r="E40" s="14"/>
      <c r="F40" s="14"/>
      <c r="G40" s="14"/>
      <c r="H40" s="14"/>
      <c r="I40" s="14"/>
      <c r="J40" s="14"/>
      <c r="K40" s="14"/>
      <c r="L40" s="14"/>
      <c r="M40" s="14"/>
      <c r="N40" s="14"/>
      <c r="O40" s="14"/>
      <c r="P40" s="14"/>
      <c r="Q40" s="14"/>
      <c r="R40" s="14"/>
      <c r="S40" s="14"/>
      <c r="T40" s="87"/>
      <c r="U40" s="31"/>
      <c r="V40" s="88"/>
      <c r="W40" s="11">
        <v>44809</v>
      </c>
      <c r="X40" s="14"/>
      <c r="Y40" s="14"/>
      <c r="Z40" s="14"/>
      <c r="AA40" s="14"/>
      <c r="AB40" s="14"/>
      <c r="AC40" s="14"/>
      <c r="AD40" s="14"/>
      <c r="AE40" s="14"/>
      <c r="AF40" s="14"/>
      <c r="AG40" s="14"/>
      <c r="AH40" s="14"/>
      <c r="AI40" s="14"/>
      <c r="AJ40" s="14"/>
      <c r="AK40" s="14"/>
      <c r="AL40" s="14"/>
      <c r="AM40" s="14"/>
      <c r="AN40" s="14"/>
      <c r="AO40" s="14"/>
    </row>
    <row r="41">
      <c r="A41" s="11">
        <v>44810</v>
      </c>
      <c r="B41" s="5"/>
      <c r="C41" s="5"/>
      <c r="D41" s="5"/>
      <c r="E41" s="5">
        <v>0.01</v>
      </c>
      <c r="F41" s="5"/>
      <c r="G41" s="5"/>
      <c r="H41" s="5"/>
      <c r="I41" s="5"/>
      <c r="J41" s="5"/>
      <c r="K41" s="5"/>
      <c r="L41" s="5"/>
      <c r="M41" s="5"/>
      <c r="N41" s="5"/>
      <c r="O41" s="5"/>
      <c r="P41" s="5"/>
      <c r="Q41" s="5"/>
      <c r="R41" s="5"/>
      <c r="S41" s="5"/>
      <c r="T41" s="87"/>
      <c r="U41" s="31"/>
      <c r="V41" s="88"/>
      <c r="W41" s="11">
        <v>44810</v>
      </c>
      <c r="X41" s="5"/>
      <c r="Y41" s="5"/>
      <c r="Z41" s="5"/>
      <c r="AA41" s="5"/>
      <c r="AB41" s="5"/>
      <c r="AC41" s="5"/>
      <c r="AD41" s="5"/>
      <c r="AE41" s="5"/>
      <c r="AF41" s="5"/>
      <c r="AG41" s="5"/>
      <c r="AH41" s="5"/>
      <c r="AI41" s="5"/>
      <c r="AJ41" s="5"/>
      <c r="AK41" s="5"/>
      <c r="AL41" s="5"/>
      <c r="AM41" s="5"/>
      <c r="AN41" s="5"/>
      <c r="AO41" s="5"/>
    </row>
    <row r="42">
      <c r="A42" s="11">
        <v>44811</v>
      </c>
      <c r="B42" s="14"/>
      <c r="C42" s="14"/>
      <c r="D42" s="14"/>
      <c r="E42" s="14"/>
      <c r="F42" s="14"/>
      <c r="G42" s="14"/>
      <c r="H42" s="14"/>
      <c r="I42" s="14"/>
      <c r="J42" s="14"/>
      <c r="K42" s="14"/>
      <c r="L42" s="14"/>
      <c r="M42" s="14"/>
      <c r="N42" s="14"/>
      <c r="O42" s="14"/>
      <c r="P42" s="14"/>
      <c r="Q42" s="14"/>
      <c r="R42" s="14"/>
      <c r="S42" s="14"/>
      <c r="T42" s="87"/>
      <c r="U42" s="31"/>
      <c r="V42" s="88"/>
      <c r="W42" s="11">
        <v>44811</v>
      </c>
      <c r="X42" s="14"/>
      <c r="Y42" s="14"/>
      <c r="Z42" s="14"/>
      <c r="AA42" s="14"/>
      <c r="AB42" s="14"/>
      <c r="AC42" s="14"/>
      <c r="AD42" s="14"/>
      <c r="AE42" s="14"/>
      <c r="AF42" s="14"/>
      <c r="AG42" s="14"/>
      <c r="AH42" s="14"/>
      <c r="AI42" s="14"/>
      <c r="AJ42" s="14"/>
      <c r="AK42" s="14"/>
      <c r="AL42" s="14"/>
      <c r="AM42" s="14"/>
      <c r="AN42" s="14"/>
      <c r="AO42" s="14"/>
    </row>
    <row r="43">
      <c r="A43" s="11">
        <v>44812</v>
      </c>
      <c r="B43" s="5"/>
      <c r="C43" s="5"/>
      <c r="D43" s="5"/>
      <c r="E43" s="5"/>
      <c r="F43" s="5"/>
      <c r="G43" s="5"/>
      <c r="H43" s="5"/>
      <c r="I43" s="5"/>
      <c r="J43" s="5"/>
      <c r="K43" s="5"/>
      <c r="L43" s="5"/>
      <c r="M43" s="5"/>
      <c r="N43" s="5"/>
      <c r="O43" s="5"/>
      <c r="P43" s="5"/>
      <c r="Q43" s="5"/>
      <c r="R43" s="5"/>
      <c r="S43" s="5"/>
      <c r="T43" s="87"/>
      <c r="U43" s="31"/>
      <c r="V43" s="88"/>
      <c r="W43" s="11">
        <v>44812</v>
      </c>
      <c r="X43" s="5"/>
      <c r="Y43" s="5"/>
      <c r="Z43" s="5"/>
      <c r="AA43" s="5"/>
      <c r="AB43" s="5"/>
      <c r="AC43" s="5"/>
      <c r="AD43" s="5"/>
      <c r="AE43" s="5"/>
      <c r="AF43" s="5"/>
      <c r="AG43" s="5"/>
      <c r="AH43" s="5"/>
      <c r="AI43" s="5"/>
      <c r="AJ43" s="5"/>
      <c r="AK43" s="5"/>
      <c r="AL43" s="5"/>
      <c r="AM43" s="5"/>
      <c r="AN43" s="5"/>
      <c r="AO43" s="5"/>
    </row>
    <row r="44">
      <c r="A44" s="11">
        <v>44813</v>
      </c>
      <c r="B44" s="79"/>
      <c r="C44" s="14"/>
      <c r="D44" s="14"/>
      <c r="E44" s="14"/>
      <c r="F44" s="14"/>
      <c r="G44" s="14"/>
      <c r="H44" s="14"/>
      <c r="I44" s="14"/>
      <c r="J44" s="14"/>
      <c r="K44" s="14"/>
      <c r="L44" s="14"/>
      <c r="M44" s="14"/>
      <c r="N44" s="14"/>
      <c r="O44" s="14"/>
      <c r="P44" s="14"/>
      <c r="Q44" s="14"/>
      <c r="R44" s="14"/>
      <c r="S44" s="14"/>
      <c r="T44" s="87"/>
      <c r="U44" s="31"/>
      <c r="V44" s="88"/>
      <c r="W44" s="11">
        <v>44813</v>
      </c>
      <c r="X44" s="79"/>
      <c r="Y44" s="14"/>
      <c r="Z44" s="14"/>
      <c r="AA44" s="14"/>
      <c r="AB44" s="14"/>
      <c r="AC44" s="14"/>
      <c r="AD44" s="14"/>
      <c r="AE44" s="14"/>
      <c r="AF44" s="14"/>
      <c r="AG44" s="14"/>
      <c r="AH44" s="14"/>
      <c r="AI44" s="14"/>
      <c r="AJ44" s="14"/>
      <c r="AK44" s="14"/>
      <c r="AL44" s="14"/>
      <c r="AM44" s="14"/>
      <c r="AN44" s="14"/>
      <c r="AO44" s="14"/>
    </row>
    <row r="45">
      <c r="A45" s="96">
        <v>44814</v>
      </c>
      <c r="B45" s="5"/>
      <c r="C45" s="5"/>
      <c r="D45" s="5"/>
      <c r="E45" s="5"/>
      <c r="F45" s="5"/>
      <c r="G45" s="5"/>
      <c r="H45" s="5"/>
      <c r="I45" s="5">
        <v>70</v>
      </c>
      <c r="J45" s="5"/>
      <c r="K45" s="5"/>
      <c r="L45" s="5"/>
      <c r="M45" s="5"/>
      <c r="N45" s="5"/>
      <c r="O45" s="5"/>
      <c r="P45" s="5"/>
      <c r="Q45" s="5"/>
      <c r="R45" s="5"/>
      <c r="S45" s="5"/>
      <c r="T45" s="87"/>
      <c r="U45" s="31"/>
      <c r="V45" s="88"/>
      <c r="W45" s="11">
        <v>44814</v>
      </c>
      <c r="X45" s="5"/>
      <c r="Y45" s="5"/>
      <c r="Z45" s="5"/>
      <c r="AA45" s="5"/>
      <c r="AB45" s="5"/>
      <c r="AC45" s="5"/>
      <c r="AD45" s="5"/>
      <c r="AE45" s="5"/>
      <c r="AF45" s="5"/>
      <c r="AG45" s="5"/>
      <c r="AH45" s="5"/>
      <c r="AI45" s="5"/>
      <c r="AJ45" s="5"/>
      <c r="AK45" s="5"/>
      <c r="AL45" s="5"/>
      <c r="AM45" s="5"/>
      <c r="AN45" s="5"/>
      <c r="AO45" s="5"/>
    </row>
    <row r="46">
      <c r="A46" s="96">
        <v>44815</v>
      </c>
      <c r="B46" s="14"/>
      <c r="C46" s="14"/>
      <c r="D46" s="14"/>
      <c r="E46" s="14"/>
      <c r="F46" s="14"/>
      <c r="G46" s="14"/>
      <c r="H46" s="14"/>
      <c r="I46" s="14"/>
      <c r="J46" s="14"/>
      <c r="K46" s="14"/>
      <c r="L46" s="14"/>
      <c r="M46" s="14"/>
      <c r="N46" s="14"/>
      <c r="O46" s="14"/>
      <c r="P46" s="14"/>
      <c r="Q46" s="14"/>
      <c r="R46" s="14"/>
      <c r="S46" s="14"/>
      <c r="T46" s="87"/>
      <c r="U46" s="31"/>
      <c r="V46" s="88"/>
      <c r="W46" s="11">
        <v>44815</v>
      </c>
      <c r="X46" s="14"/>
      <c r="Y46" s="14"/>
      <c r="Z46" s="14"/>
      <c r="AA46" s="14"/>
      <c r="AB46" s="14"/>
      <c r="AC46" s="14"/>
      <c r="AD46" s="14"/>
      <c r="AE46" s="14"/>
      <c r="AF46" s="14"/>
      <c r="AG46" s="14"/>
      <c r="AH46" s="14"/>
      <c r="AI46" s="14"/>
      <c r="AJ46" s="14"/>
      <c r="AK46" s="14"/>
      <c r="AL46" s="14"/>
      <c r="AM46" s="14"/>
      <c r="AN46" s="14"/>
      <c r="AO46" s="14"/>
    </row>
    <row r="47">
      <c r="A47" s="11">
        <v>44816</v>
      </c>
      <c r="B47" s="5"/>
      <c r="C47" s="5"/>
      <c r="D47" s="5"/>
      <c r="E47" s="5"/>
      <c r="F47" s="5"/>
      <c r="G47" s="5"/>
      <c r="H47" s="5"/>
      <c r="I47" s="5"/>
      <c r="J47" s="5"/>
      <c r="K47" s="5"/>
      <c r="L47" s="5"/>
      <c r="M47" s="5"/>
      <c r="N47" s="5"/>
      <c r="O47" s="5"/>
      <c r="P47" s="5"/>
      <c r="Q47" s="5"/>
      <c r="R47" s="5"/>
      <c r="S47" s="5"/>
      <c r="T47" s="87"/>
      <c r="U47" s="31"/>
      <c r="V47" s="88"/>
      <c r="W47" s="11">
        <v>44816</v>
      </c>
      <c r="X47" s="5"/>
      <c r="Y47" s="5"/>
      <c r="Z47" s="5"/>
      <c r="AA47" s="5"/>
      <c r="AB47" s="5"/>
      <c r="AC47" s="5"/>
      <c r="AD47" s="5"/>
      <c r="AE47" s="5"/>
      <c r="AF47" s="5"/>
      <c r="AG47" s="5"/>
      <c r="AH47" s="5"/>
      <c r="AI47" s="5"/>
      <c r="AJ47" s="5"/>
      <c r="AK47" s="5"/>
      <c r="AL47" s="5"/>
      <c r="AM47" s="5"/>
      <c r="AN47" s="5"/>
      <c r="AO47" s="5"/>
    </row>
    <row r="48">
      <c r="A48" s="11">
        <v>44817</v>
      </c>
      <c r="B48" s="14"/>
      <c r="C48" s="14"/>
      <c r="D48" s="14"/>
      <c r="E48" s="14"/>
      <c r="F48" s="14"/>
      <c r="G48" s="14"/>
      <c r="H48" s="14"/>
      <c r="I48" s="14"/>
      <c r="J48" s="14"/>
      <c r="K48" s="14"/>
      <c r="L48" s="14"/>
      <c r="M48" s="14"/>
      <c r="N48" s="14"/>
      <c r="O48" s="14"/>
      <c r="P48" s="14"/>
      <c r="Q48" s="14"/>
      <c r="R48" s="14"/>
      <c r="S48" s="14"/>
      <c r="T48" s="87"/>
      <c r="U48" s="31"/>
      <c r="V48" s="88"/>
      <c r="W48" s="11">
        <v>44817</v>
      </c>
      <c r="X48" s="14"/>
      <c r="Y48" s="14"/>
      <c r="Z48" s="14"/>
      <c r="AA48" s="14"/>
      <c r="AB48" s="14"/>
      <c r="AC48" s="14"/>
      <c r="AD48" s="14"/>
      <c r="AE48" s="14"/>
      <c r="AF48" s="14"/>
      <c r="AG48" s="14"/>
      <c r="AH48" s="14"/>
      <c r="AI48" s="14"/>
      <c r="AJ48" s="14"/>
      <c r="AK48" s="14"/>
      <c r="AL48" s="14"/>
      <c r="AM48" s="14"/>
      <c r="AN48" s="14"/>
      <c r="AO48" s="14"/>
    </row>
    <row r="49">
      <c r="A49" s="11">
        <v>44818</v>
      </c>
      <c r="B49" s="5"/>
      <c r="C49" s="5"/>
      <c r="D49" s="5"/>
      <c r="E49" s="5"/>
      <c r="F49" s="5"/>
      <c r="G49" s="5"/>
      <c r="H49" s="5"/>
      <c r="I49" s="5"/>
      <c r="J49" s="5"/>
      <c r="K49" s="5"/>
      <c r="L49" s="5"/>
      <c r="M49" s="5"/>
      <c r="N49" s="5"/>
      <c r="O49" s="5"/>
      <c r="P49" s="5"/>
      <c r="Q49" s="5"/>
      <c r="R49" s="5"/>
      <c r="S49" s="5"/>
      <c r="T49" s="87"/>
      <c r="U49" s="31"/>
      <c r="V49" s="88"/>
      <c r="W49" s="11">
        <v>44818</v>
      </c>
      <c r="X49" s="5"/>
      <c r="Y49" s="5"/>
      <c r="Z49" s="5"/>
      <c r="AA49" s="5"/>
      <c r="AB49" s="5"/>
      <c r="AC49" s="5"/>
      <c r="AD49" s="5"/>
      <c r="AE49" s="5"/>
      <c r="AF49" s="5"/>
      <c r="AG49" s="5"/>
      <c r="AH49" s="5"/>
      <c r="AI49" s="5"/>
      <c r="AJ49" s="5"/>
      <c r="AK49" s="5"/>
      <c r="AL49" s="5"/>
      <c r="AM49" s="5"/>
      <c r="AN49" s="5"/>
      <c r="AO49" s="5"/>
    </row>
    <row r="50">
      <c r="A50" s="11">
        <v>44819</v>
      </c>
      <c r="B50" s="14"/>
      <c r="C50" s="14"/>
      <c r="D50" s="14"/>
      <c r="E50" s="14"/>
      <c r="F50" s="14"/>
      <c r="G50" s="14"/>
      <c r="H50" s="14"/>
      <c r="I50" s="14"/>
      <c r="J50" s="14"/>
      <c r="K50" s="14"/>
      <c r="L50" s="14"/>
      <c r="M50" s="14"/>
      <c r="N50" s="14"/>
      <c r="O50" s="14"/>
      <c r="P50" s="14"/>
      <c r="Q50" s="14"/>
      <c r="R50" s="14"/>
      <c r="S50" s="14"/>
      <c r="T50" s="87"/>
      <c r="U50" s="31"/>
      <c r="V50" s="88"/>
      <c r="W50" s="11">
        <v>44819</v>
      </c>
      <c r="X50" s="14"/>
      <c r="Y50" s="14"/>
      <c r="Z50" s="14"/>
      <c r="AA50" s="14"/>
      <c r="AB50" s="14"/>
      <c r="AC50" s="14"/>
      <c r="AD50" s="14"/>
      <c r="AE50" s="14"/>
      <c r="AF50" s="14"/>
      <c r="AG50" s="14"/>
      <c r="AH50" s="14"/>
      <c r="AI50" s="14"/>
      <c r="AJ50" s="14"/>
      <c r="AK50" s="14"/>
      <c r="AL50" s="14"/>
      <c r="AM50" s="14"/>
      <c r="AN50" s="14"/>
      <c r="AO50" s="14"/>
    </row>
    <row r="51">
      <c r="A51" s="11">
        <v>44820</v>
      </c>
      <c r="B51" s="5"/>
      <c r="C51" s="5"/>
      <c r="D51" s="5"/>
      <c r="E51" s="5"/>
      <c r="F51" s="5"/>
      <c r="G51" s="5"/>
      <c r="H51" s="5"/>
      <c r="I51" s="5"/>
      <c r="J51" s="5"/>
      <c r="K51" s="5"/>
      <c r="L51" s="5"/>
      <c r="M51" s="5"/>
      <c r="N51" s="5"/>
      <c r="O51" s="5"/>
      <c r="P51" s="5"/>
      <c r="Q51" s="5"/>
      <c r="R51" s="5"/>
      <c r="S51" s="5"/>
      <c r="T51" s="87"/>
      <c r="U51" s="31"/>
      <c r="V51" s="88"/>
      <c r="W51" s="11">
        <v>44820</v>
      </c>
      <c r="X51" s="5"/>
      <c r="Y51" s="5"/>
      <c r="Z51" s="5"/>
      <c r="AA51" s="5"/>
      <c r="AB51" s="5"/>
      <c r="AC51" s="5"/>
      <c r="AD51" s="5"/>
      <c r="AE51" s="5"/>
      <c r="AF51" s="5"/>
      <c r="AG51" s="5"/>
      <c r="AH51" s="5"/>
      <c r="AI51" s="5"/>
      <c r="AJ51" s="5"/>
      <c r="AK51" s="5"/>
      <c r="AL51" s="5"/>
      <c r="AM51" s="5"/>
      <c r="AN51" s="5"/>
      <c r="AO51" s="5"/>
    </row>
    <row r="52">
      <c r="A52" s="96">
        <v>44821</v>
      </c>
      <c r="B52" s="14"/>
      <c r="C52" s="14"/>
      <c r="D52" s="14"/>
      <c r="E52" s="14"/>
      <c r="F52" s="14"/>
      <c r="G52" s="14"/>
      <c r="H52" s="14"/>
      <c r="I52" s="14"/>
      <c r="J52" s="14"/>
      <c r="K52" s="14"/>
      <c r="L52" s="14"/>
      <c r="M52" s="14"/>
      <c r="N52" s="14"/>
      <c r="O52" s="14"/>
      <c r="P52" s="14"/>
      <c r="Q52" s="14"/>
      <c r="R52" s="14"/>
      <c r="S52" s="14"/>
      <c r="T52" s="87"/>
      <c r="U52" s="31"/>
      <c r="V52" s="88"/>
      <c r="W52" s="11">
        <v>44821</v>
      </c>
      <c r="X52" s="14"/>
      <c r="Y52" s="14"/>
      <c r="Z52" s="14"/>
      <c r="AA52" s="14"/>
      <c r="AB52" s="14"/>
      <c r="AC52" s="14"/>
      <c r="AD52" s="14"/>
      <c r="AE52" s="14"/>
      <c r="AF52" s="14"/>
      <c r="AG52" s="14"/>
      <c r="AH52" s="14"/>
      <c r="AI52" s="14"/>
      <c r="AJ52" s="14"/>
      <c r="AK52" s="14"/>
      <c r="AL52" s="14"/>
      <c r="AM52" s="14"/>
      <c r="AN52" s="14"/>
      <c r="AO52" s="14"/>
    </row>
    <row r="53">
      <c r="A53" s="96">
        <v>44822</v>
      </c>
      <c r="B53" s="5"/>
      <c r="C53" s="5"/>
      <c r="D53" s="5"/>
      <c r="E53" s="5"/>
      <c r="F53" s="5"/>
      <c r="G53" s="5"/>
      <c r="H53" s="5"/>
      <c r="I53" s="5"/>
      <c r="J53" s="5"/>
      <c r="K53" s="5"/>
      <c r="L53" s="5"/>
      <c r="M53" s="5"/>
      <c r="N53" s="5"/>
      <c r="O53" s="5"/>
      <c r="P53" s="5"/>
      <c r="Q53" s="5"/>
      <c r="R53" s="5"/>
      <c r="S53" s="5"/>
      <c r="T53" s="87"/>
      <c r="U53" s="31"/>
      <c r="V53" s="88"/>
      <c r="W53" s="11">
        <v>44822</v>
      </c>
      <c r="X53" s="5"/>
      <c r="Y53" s="5"/>
      <c r="Z53" s="5"/>
      <c r="AA53" s="5"/>
      <c r="AB53" s="5"/>
      <c r="AC53" s="5"/>
      <c r="AD53" s="5"/>
      <c r="AE53" s="5"/>
      <c r="AF53" s="5"/>
      <c r="AG53" s="5"/>
      <c r="AH53" s="5"/>
      <c r="AI53" s="5"/>
      <c r="AJ53" s="5"/>
      <c r="AK53" s="5"/>
      <c r="AL53" s="5"/>
      <c r="AM53" s="5"/>
      <c r="AN53" s="5"/>
      <c r="AO53" s="5"/>
    </row>
    <row r="54">
      <c r="A54" s="11">
        <v>44823</v>
      </c>
      <c r="B54" s="14"/>
      <c r="C54" s="14"/>
      <c r="D54" s="14"/>
      <c r="E54" s="14"/>
      <c r="F54" s="14"/>
      <c r="G54" s="14"/>
      <c r="H54" s="14"/>
      <c r="I54" s="14"/>
      <c r="J54" s="14"/>
      <c r="K54" s="14"/>
      <c r="L54" s="14"/>
      <c r="M54" s="14"/>
      <c r="N54" s="14"/>
      <c r="O54" s="14"/>
      <c r="P54" s="14"/>
      <c r="Q54" s="14"/>
      <c r="R54" s="14"/>
      <c r="S54" s="14"/>
      <c r="T54" s="87"/>
      <c r="U54" s="31"/>
      <c r="V54" s="88"/>
      <c r="W54" s="11">
        <v>44823</v>
      </c>
      <c r="X54" s="14"/>
      <c r="Y54" s="14"/>
      <c r="Z54" s="14"/>
      <c r="AA54" s="14"/>
      <c r="AB54" s="14"/>
      <c r="AC54" s="14"/>
      <c r="AD54" s="14"/>
      <c r="AE54" s="14"/>
      <c r="AF54" s="14"/>
      <c r="AG54" s="14"/>
      <c r="AH54" s="14"/>
      <c r="AI54" s="14"/>
      <c r="AJ54" s="14"/>
      <c r="AK54" s="14"/>
      <c r="AL54" s="14"/>
      <c r="AM54" s="14"/>
      <c r="AN54" s="14"/>
      <c r="AO54" s="14"/>
    </row>
    <row r="55">
      <c r="A55" s="11">
        <v>44824</v>
      </c>
      <c r="B55" s="5">
        <v>17875.73</v>
      </c>
      <c r="C55" s="5"/>
      <c r="D55" s="5"/>
      <c r="E55" s="5"/>
      <c r="F55" s="5"/>
      <c r="G55" s="5"/>
      <c r="H55" s="5"/>
      <c r="I55" s="5"/>
      <c r="J55" s="5"/>
      <c r="K55" s="5"/>
      <c r="L55" s="5"/>
      <c r="M55" s="5"/>
      <c r="N55" s="5"/>
      <c r="O55" s="5"/>
      <c r="P55" s="5"/>
      <c r="Q55" s="5"/>
      <c r="R55" s="5"/>
      <c r="S55" s="5"/>
      <c r="T55" s="87"/>
      <c r="U55" s="31"/>
      <c r="V55" s="88"/>
      <c r="W55" s="11">
        <v>44824</v>
      </c>
      <c r="X55" s="5"/>
      <c r="Y55" s="5"/>
      <c r="Z55" s="5"/>
      <c r="AA55" s="5"/>
      <c r="AB55" s="5"/>
      <c r="AC55" s="5"/>
      <c r="AD55" s="5"/>
      <c r="AE55" s="5"/>
      <c r="AF55" s="5"/>
      <c r="AG55" s="5"/>
      <c r="AH55" s="5"/>
      <c r="AI55" s="5"/>
      <c r="AJ55" s="5"/>
      <c r="AK55" s="5"/>
      <c r="AL55" s="5"/>
      <c r="AM55" s="5"/>
      <c r="AN55" s="5"/>
      <c r="AO55" s="5"/>
    </row>
    <row r="56">
      <c r="A56" s="11">
        <v>44825</v>
      </c>
      <c r="B56" s="14"/>
      <c r="C56" s="14"/>
      <c r="D56" s="14"/>
      <c r="E56" s="14"/>
      <c r="F56" s="14"/>
      <c r="G56" s="14"/>
      <c r="H56" s="14"/>
      <c r="I56" s="14"/>
      <c r="J56" s="14"/>
      <c r="K56" s="14"/>
      <c r="L56" s="14"/>
      <c r="M56" s="14"/>
      <c r="N56" s="14"/>
      <c r="O56" s="14"/>
      <c r="P56" s="14"/>
      <c r="Q56" s="14"/>
      <c r="R56" s="14"/>
      <c r="S56" s="14"/>
      <c r="T56" s="87"/>
      <c r="U56" s="31"/>
      <c r="V56" s="88"/>
      <c r="W56" s="11">
        <v>44825</v>
      </c>
      <c r="X56" s="14"/>
      <c r="Y56" s="14"/>
      <c r="Z56" s="14"/>
      <c r="AA56" s="14"/>
      <c r="AB56" s="14"/>
      <c r="AC56" s="14"/>
      <c r="AD56" s="14"/>
      <c r="AE56" s="14"/>
      <c r="AF56" s="14"/>
      <c r="AG56" s="14"/>
      <c r="AH56" s="14"/>
      <c r="AI56" s="14"/>
      <c r="AJ56" s="14"/>
      <c r="AK56" s="14"/>
      <c r="AL56" s="14"/>
      <c r="AM56" s="14"/>
      <c r="AN56" s="14"/>
      <c r="AO56" s="14"/>
    </row>
    <row r="57">
      <c r="A57" s="11">
        <v>44826</v>
      </c>
      <c r="B57" s="5"/>
      <c r="C57" s="5"/>
      <c r="D57" s="5"/>
      <c r="E57" s="5"/>
      <c r="F57" s="5"/>
      <c r="G57" s="5"/>
      <c r="H57" s="5"/>
      <c r="I57" s="5"/>
      <c r="J57" s="5"/>
      <c r="K57" s="5"/>
      <c r="L57" s="5"/>
      <c r="M57" s="5"/>
      <c r="N57" s="5"/>
      <c r="O57" s="5"/>
      <c r="P57" s="5"/>
      <c r="Q57" s="5"/>
      <c r="R57" s="5"/>
      <c r="S57" s="5"/>
      <c r="T57" s="87"/>
      <c r="U57" s="31"/>
      <c r="V57" s="88"/>
      <c r="W57" s="11">
        <v>44826</v>
      </c>
      <c r="X57" s="5"/>
      <c r="Y57" s="5"/>
      <c r="Z57" s="5"/>
      <c r="AA57" s="5"/>
      <c r="AB57" s="5"/>
      <c r="AC57" s="5"/>
      <c r="AD57" s="5"/>
      <c r="AE57" s="5"/>
      <c r="AF57" s="5"/>
      <c r="AG57" s="5"/>
      <c r="AH57" s="5"/>
      <c r="AI57" s="5"/>
      <c r="AJ57" s="5"/>
      <c r="AK57" s="5"/>
      <c r="AL57" s="5"/>
      <c r="AM57" s="5"/>
      <c r="AN57" s="5"/>
      <c r="AO57" s="5"/>
    </row>
    <row r="58">
      <c r="A58" s="11">
        <v>44827</v>
      </c>
      <c r="B58" s="14"/>
      <c r="C58" s="14"/>
      <c r="D58" s="14"/>
      <c r="E58" s="14"/>
      <c r="F58" s="14"/>
      <c r="G58" s="14"/>
      <c r="H58" s="14"/>
      <c r="I58" s="14"/>
      <c r="J58" s="14"/>
      <c r="K58" s="14"/>
      <c r="L58" s="14"/>
      <c r="M58" s="14"/>
      <c r="N58" s="14"/>
      <c r="O58" s="14"/>
      <c r="P58" s="14"/>
      <c r="Q58" s="14"/>
      <c r="R58" s="14"/>
      <c r="S58" s="14"/>
      <c r="T58" s="87"/>
      <c r="U58" s="31"/>
      <c r="V58" s="88"/>
      <c r="W58" s="11">
        <v>44827</v>
      </c>
      <c r="X58" s="14"/>
      <c r="Y58" s="14"/>
      <c r="Z58" s="14"/>
      <c r="AA58" s="14"/>
      <c r="AB58" s="14"/>
      <c r="AC58" s="14"/>
      <c r="AD58" s="14"/>
      <c r="AE58" s="14"/>
      <c r="AF58" s="14"/>
      <c r="AG58" s="14"/>
      <c r="AH58" s="14"/>
      <c r="AI58" s="14"/>
      <c r="AJ58" s="14"/>
      <c r="AK58" s="14"/>
      <c r="AL58" s="14"/>
      <c r="AM58" s="14"/>
      <c r="AN58" s="14"/>
      <c r="AO58" s="14"/>
    </row>
    <row r="59">
      <c r="A59" s="96">
        <v>44828</v>
      </c>
      <c r="B59" s="5"/>
      <c r="C59" s="5"/>
      <c r="D59" s="5"/>
      <c r="E59" s="5"/>
      <c r="F59" s="5"/>
      <c r="G59" s="5"/>
      <c r="H59" s="5"/>
      <c r="I59" s="5"/>
      <c r="J59" s="5"/>
      <c r="K59" s="5"/>
      <c r="L59" s="5"/>
      <c r="M59" s="5"/>
      <c r="N59" s="5"/>
      <c r="O59" s="5"/>
      <c r="P59" s="5"/>
      <c r="Q59" s="5"/>
      <c r="R59" s="5"/>
      <c r="S59" s="5"/>
      <c r="T59" s="87"/>
      <c r="U59" s="31"/>
      <c r="V59" s="88"/>
      <c r="W59" s="11">
        <v>44828</v>
      </c>
      <c r="X59" s="5"/>
      <c r="Y59" s="5"/>
      <c r="Z59" s="5"/>
      <c r="AA59" s="5"/>
      <c r="AB59" s="5"/>
      <c r="AC59" s="5"/>
      <c r="AD59" s="5"/>
      <c r="AE59" s="5"/>
      <c r="AF59" s="5"/>
      <c r="AG59" s="5"/>
      <c r="AH59" s="5"/>
      <c r="AI59" s="5"/>
      <c r="AJ59" s="5"/>
      <c r="AK59" s="5"/>
      <c r="AL59" s="5"/>
      <c r="AM59" s="5"/>
      <c r="AN59" s="5"/>
      <c r="AO59" s="5"/>
    </row>
    <row r="60">
      <c r="A60" s="96">
        <v>44829</v>
      </c>
      <c r="B60" s="14"/>
      <c r="C60" s="14"/>
      <c r="D60" s="14"/>
      <c r="E60" s="14"/>
      <c r="F60" s="14"/>
      <c r="G60" s="14"/>
      <c r="H60" s="14"/>
      <c r="I60" s="14"/>
      <c r="J60" s="14"/>
      <c r="K60" s="14"/>
      <c r="L60" s="14"/>
      <c r="M60" s="14"/>
      <c r="N60" s="14"/>
      <c r="O60" s="14"/>
      <c r="P60" s="14"/>
      <c r="Q60" s="14"/>
      <c r="R60" s="14"/>
      <c r="S60" s="14"/>
      <c r="T60" s="87"/>
      <c r="U60" s="31"/>
      <c r="V60" s="88"/>
      <c r="W60" s="11">
        <v>44829</v>
      </c>
      <c r="X60" s="14"/>
      <c r="Y60" s="14"/>
      <c r="Z60" s="14"/>
      <c r="AA60" s="14"/>
      <c r="AB60" s="14"/>
      <c r="AC60" s="14"/>
      <c r="AD60" s="14"/>
      <c r="AE60" s="14"/>
      <c r="AF60" s="14"/>
      <c r="AG60" s="14"/>
      <c r="AH60" s="14"/>
      <c r="AI60" s="14"/>
      <c r="AJ60" s="14"/>
      <c r="AK60" s="14"/>
      <c r="AL60" s="14"/>
      <c r="AM60" s="14"/>
      <c r="AN60" s="14"/>
      <c r="AO60" s="14"/>
    </row>
    <row r="61">
      <c r="A61" s="11">
        <v>44830</v>
      </c>
      <c r="B61" s="5"/>
      <c r="C61" s="5"/>
      <c r="D61" s="5"/>
      <c r="E61" s="5"/>
      <c r="F61" s="5"/>
      <c r="G61" s="5"/>
      <c r="H61" s="5"/>
      <c r="I61" s="5"/>
      <c r="J61" s="5"/>
      <c r="K61" s="5"/>
      <c r="L61" s="5"/>
      <c r="M61" s="5"/>
      <c r="N61" s="5"/>
      <c r="O61" s="5"/>
      <c r="P61" s="5"/>
      <c r="Q61" s="5"/>
      <c r="R61" s="5"/>
      <c r="S61" s="5"/>
      <c r="T61" s="87"/>
      <c r="U61" s="31"/>
      <c r="V61" s="88"/>
      <c r="W61" s="11">
        <v>44830</v>
      </c>
      <c r="X61" s="5"/>
      <c r="Y61" s="5"/>
      <c r="Z61" s="5"/>
      <c r="AA61" s="5"/>
      <c r="AB61" s="5"/>
      <c r="AC61" s="5"/>
      <c r="AD61" s="5"/>
      <c r="AE61" s="5"/>
      <c r="AF61" s="5"/>
      <c r="AG61" s="5"/>
      <c r="AH61" s="5"/>
      <c r="AI61" s="5"/>
      <c r="AJ61" s="5"/>
      <c r="AK61" s="5"/>
      <c r="AL61" s="5"/>
      <c r="AM61" s="5"/>
      <c r="AN61" s="5"/>
      <c r="AO61" s="5"/>
    </row>
    <row r="62">
      <c r="A62" s="11">
        <v>44831</v>
      </c>
      <c r="B62" s="14"/>
      <c r="C62" s="14"/>
      <c r="D62" s="14"/>
      <c r="E62" s="14"/>
      <c r="F62" s="14"/>
      <c r="G62" s="14"/>
      <c r="H62" s="14"/>
      <c r="I62" s="14"/>
      <c r="J62" s="14"/>
      <c r="K62" s="14"/>
      <c r="L62" s="14"/>
      <c r="M62" s="14"/>
      <c r="N62" s="14"/>
      <c r="O62" s="14"/>
      <c r="P62" s="14"/>
      <c r="Q62" s="14"/>
      <c r="R62" s="14"/>
      <c r="S62" s="14"/>
      <c r="T62" s="87"/>
      <c r="U62" s="31"/>
      <c r="V62" s="88"/>
      <c r="W62" s="11">
        <v>44831</v>
      </c>
      <c r="X62" s="14"/>
      <c r="Y62" s="14"/>
      <c r="Z62" s="14"/>
      <c r="AA62" s="14"/>
      <c r="AB62" s="14"/>
      <c r="AC62" s="14"/>
      <c r="AD62" s="14"/>
      <c r="AE62" s="14"/>
      <c r="AF62" s="14"/>
      <c r="AG62" s="14"/>
      <c r="AH62" s="14"/>
      <c r="AI62" s="14"/>
      <c r="AJ62" s="14"/>
      <c r="AK62" s="14"/>
      <c r="AL62" s="14"/>
      <c r="AM62" s="14"/>
      <c r="AN62" s="14"/>
      <c r="AO62" s="14"/>
    </row>
    <row r="63">
      <c r="A63" s="11">
        <v>44832</v>
      </c>
      <c r="B63" s="5"/>
      <c r="C63" s="5"/>
      <c r="D63" s="5"/>
      <c r="E63" s="5"/>
      <c r="F63" s="5"/>
      <c r="G63" s="5"/>
      <c r="H63" s="5"/>
      <c r="I63" s="5"/>
      <c r="J63" s="5"/>
      <c r="K63" s="5"/>
      <c r="L63" s="5"/>
      <c r="M63" s="5"/>
      <c r="N63" s="5"/>
      <c r="O63" s="5"/>
      <c r="P63" s="5"/>
      <c r="Q63" s="5"/>
      <c r="R63" s="48"/>
      <c r="S63" s="5"/>
      <c r="T63" s="87"/>
      <c r="U63" s="31"/>
      <c r="V63" s="88"/>
      <c r="W63" s="11">
        <v>44832</v>
      </c>
      <c r="X63" s="5"/>
      <c r="Y63" s="5"/>
      <c r="Z63" s="5"/>
      <c r="AA63" s="5"/>
      <c r="AB63" s="5"/>
      <c r="AC63" s="5"/>
      <c r="AD63" s="5"/>
      <c r="AE63" s="5"/>
      <c r="AF63" s="5"/>
      <c r="AG63" s="5"/>
      <c r="AH63" s="5"/>
      <c r="AI63" s="5"/>
      <c r="AJ63" s="5"/>
      <c r="AK63" s="5"/>
      <c r="AL63" s="5"/>
      <c r="AM63" s="5"/>
      <c r="AN63" s="48"/>
      <c r="AO63" s="5"/>
    </row>
    <row r="64">
      <c r="A64" s="11">
        <v>44833</v>
      </c>
      <c r="B64" s="22"/>
      <c r="C64" s="22"/>
      <c r="D64" s="22"/>
      <c r="E64" s="22"/>
      <c r="F64" s="22"/>
      <c r="G64" s="22"/>
      <c r="H64" s="22"/>
      <c r="I64" s="22"/>
      <c r="J64" s="14"/>
      <c r="K64" s="14"/>
      <c r="L64" s="14"/>
      <c r="M64" s="14"/>
      <c r="N64" s="14"/>
      <c r="O64" s="14"/>
      <c r="P64" s="14"/>
      <c r="Q64" s="14"/>
      <c r="R64" s="80"/>
      <c r="S64" s="14"/>
      <c r="T64" s="87"/>
      <c r="U64" s="31"/>
      <c r="V64" s="88"/>
      <c r="W64" s="11">
        <v>44833</v>
      </c>
      <c r="X64" s="22"/>
      <c r="Y64" s="22"/>
      <c r="Z64" s="22"/>
      <c r="AA64" s="22"/>
      <c r="AB64" s="22"/>
      <c r="AC64" s="22"/>
      <c r="AD64" s="22"/>
      <c r="AE64" s="22"/>
      <c r="AF64" s="14"/>
      <c r="AG64" s="14"/>
      <c r="AH64" s="14"/>
      <c r="AI64" s="14"/>
      <c r="AJ64" s="14"/>
      <c r="AK64" s="14"/>
      <c r="AL64" s="14"/>
      <c r="AM64" s="14"/>
      <c r="AN64" s="80"/>
      <c r="AO64" s="14"/>
    </row>
    <row r="65">
      <c r="A65" s="11">
        <v>44834</v>
      </c>
      <c r="B65" s="5"/>
      <c r="C65" s="5"/>
      <c r="D65" s="5"/>
      <c r="E65" s="5"/>
      <c r="F65" s="5"/>
      <c r="G65" s="5"/>
      <c r="H65" s="5"/>
      <c r="I65" s="5"/>
      <c r="J65" s="5"/>
      <c r="K65" s="5"/>
      <c r="L65" s="5"/>
      <c r="M65" s="5"/>
      <c r="N65" s="5"/>
      <c r="O65" s="5"/>
      <c r="P65" s="5"/>
      <c r="Q65" s="5"/>
      <c r="R65" s="48"/>
      <c r="S65" s="5"/>
      <c r="T65" s="87"/>
      <c r="U65" s="31"/>
      <c r="V65" s="88"/>
      <c r="W65" s="11">
        <v>44834</v>
      </c>
      <c r="X65" s="5"/>
      <c r="Y65" s="5"/>
      <c r="Z65" s="5"/>
      <c r="AA65" s="5"/>
      <c r="AB65" s="5"/>
      <c r="AC65" s="5"/>
      <c r="AD65" s="5"/>
      <c r="AE65" s="5"/>
      <c r="AF65" s="5"/>
      <c r="AG65" s="5"/>
      <c r="AH65" s="5"/>
      <c r="AI65" s="5"/>
      <c r="AJ65" s="5"/>
      <c r="AK65" s="5"/>
      <c r="AL65" s="5"/>
      <c r="AM65" s="5"/>
      <c r="AN65" s="48"/>
      <c r="AO65" s="5"/>
    </row>
    <row r="66">
      <c r="A66" s="11"/>
      <c r="B66" s="22"/>
      <c r="C66" s="22"/>
      <c r="D66" s="22"/>
      <c r="E66" s="22"/>
      <c r="F66" s="22"/>
      <c r="G66" s="22"/>
      <c r="H66" s="22"/>
      <c r="I66" s="22"/>
      <c r="J66" s="14"/>
      <c r="K66" s="14"/>
      <c r="L66" s="14"/>
      <c r="M66" s="14"/>
      <c r="N66" s="14"/>
      <c r="O66" s="14"/>
      <c r="P66" s="14"/>
      <c r="Q66" s="14"/>
      <c r="R66" s="80"/>
      <c r="S66" s="14"/>
      <c r="T66" s="87"/>
      <c r="U66" s="31"/>
      <c r="V66" s="88"/>
      <c r="W66" s="11"/>
      <c r="X66" s="22"/>
      <c r="Y66" s="22"/>
      <c r="Z66" s="22"/>
      <c r="AA66" s="22"/>
      <c r="AB66" s="22"/>
      <c r="AC66" s="22"/>
      <c r="AD66" s="22"/>
      <c r="AE66" s="22"/>
      <c r="AF66" s="14"/>
      <c r="AG66" s="14"/>
      <c r="AH66" s="14"/>
      <c r="AI66" s="14"/>
      <c r="AJ66" s="14"/>
      <c r="AK66" s="14"/>
      <c r="AL66" s="14"/>
      <c r="AM66" s="14"/>
      <c r="AN66" s="80"/>
      <c r="AO66" s="14"/>
    </row>
    <row r="67">
      <c r="A67" s="74"/>
      <c r="B67" s="75">
        <f t="shared" ref="B67:R67" si="132">SUM(B36:B66)</f>
        <v>40899.300000000003</v>
      </c>
      <c r="C67" s="75">
        <f t="shared" si="132"/>
        <v>0</v>
      </c>
      <c r="D67" s="75">
        <f t="shared" si="132"/>
        <v>0</v>
      </c>
      <c r="E67" s="75">
        <f t="shared" si="132"/>
        <v>0.01</v>
      </c>
      <c r="F67" s="75">
        <f t="shared" si="132"/>
        <v>0</v>
      </c>
      <c r="G67" s="75">
        <f t="shared" si="132"/>
        <v>0</v>
      </c>
      <c r="H67" s="75">
        <f t="shared" si="132"/>
        <v>0</v>
      </c>
      <c r="I67" s="75">
        <f t="shared" si="132"/>
        <v>70</v>
      </c>
      <c r="J67" s="75">
        <f t="shared" si="132"/>
        <v>0</v>
      </c>
      <c r="K67" s="75">
        <f t="shared" si="132"/>
        <v>0</v>
      </c>
      <c r="L67" s="75">
        <f t="shared" si="132"/>
        <v>0</v>
      </c>
      <c r="M67" s="75">
        <f t="shared" si="132"/>
        <v>0</v>
      </c>
      <c r="N67" s="75">
        <f t="shared" si="132"/>
        <v>0</v>
      </c>
      <c r="O67" s="75">
        <f t="shared" si="132"/>
        <v>0</v>
      </c>
      <c r="P67" s="75">
        <f t="shared" si="132"/>
        <v>0</v>
      </c>
      <c r="Q67" s="75">
        <f t="shared" si="132"/>
        <v>0</v>
      </c>
      <c r="R67" s="75">
        <f t="shared" si="132"/>
        <v>0</v>
      </c>
      <c r="S67" s="75">
        <f>SUM(B67:R67)</f>
        <v>40969.310000000005</v>
      </c>
      <c r="T67" s="87"/>
      <c r="U67" s="31"/>
      <c r="V67" s="88"/>
      <c r="W67" s="74"/>
      <c r="X67" s="75">
        <f t="shared" ref="X67:AN67" si="133">SUM(X36:X66)</f>
        <v>0</v>
      </c>
      <c r="Y67" s="75">
        <f t="shared" si="133"/>
        <v>0</v>
      </c>
      <c r="Z67" s="75">
        <f t="shared" si="133"/>
        <v>0</v>
      </c>
      <c r="AA67" s="75">
        <f t="shared" si="133"/>
        <v>0</v>
      </c>
      <c r="AB67" s="75">
        <f t="shared" si="133"/>
        <v>0</v>
      </c>
      <c r="AC67" s="75">
        <f t="shared" si="133"/>
        <v>0</v>
      </c>
      <c r="AD67" s="75">
        <f t="shared" si="133"/>
        <v>1800</v>
      </c>
      <c r="AE67" s="75">
        <f t="shared" si="133"/>
        <v>0</v>
      </c>
      <c r="AF67" s="75">
        <f t="shared" si="133"/>
        <v>0</v>
      </c>
      <c r="AG67" s="75">
        <f t="shared" si="133"/>
        <v>0</v>
      </c>
      <c r="AH67" s="75">
        <f t="shared" si="133"/>
        <v>0</v>
      </c>
      <c r="AI67" s="75">
        <f t="shared" si="133"/>
        <v>0</v>
      </c>
      <c r="AJ67" s="75">
        <f t="shared" si="133"/>
        <v>0</v>
      </c>
      <c r="AK67" s="75">
        <f t="shared" si="133"/>
        <v>0</v>
      </c>
      <c r="AL67" s="75">
        <f t="shared" si="133"/>
        <v>0</v>
      </c>
      <c r="AM67" s="75">
        <f t="shared" si="133"/>
        <v>0</v>
      </c>
      <c r="AN67" s="75">
        <f t="shared" si="133"/>
        <v>0</v>
      </c>
      <c r="AO67" s="75">
        <f>SUM(X67:AN67)</f>
        <v>1800</v>
      </c>
    </row>
    <row r="68">
      <c r="A68" s="84"/>
      <c r="B68" s="84"/>
      <c r="C68" s="84"/>
      <c r="D68" s="84"/>
      <c r="E68" s="84"/>
      <c r="F68" s="84"/>
      <c r="G68" s="84"/>
      <c r="H68" s="84"/>
      <c r="I68" s="84"/>
      <c r="J68" s="84"/>
      <c r="K68" s="84"/>
      <c r="L68" s="84"/>
      <c r="M68" s="84"/>
      <c r="N68" s="84"/>
      <c r="O68" s="84"/>
      <c r="P68" s="84"/>
      <c r="Q68" s="84"/>
      <c r="R68" s="84"/>
      <c r="S68" s="84"/>
      <c r="T68" s="31"/>
      <c r="U68" s="31"/>
      <c r="V68" s="31"/>
      <c r="W68" s="84"/>
      <c r="X68" s="84"/>
      <c r="Y68" s="84"/>
      <c r="Z68" s="84"/>
      <c r="AA68" s="84"/>
      <c r="AB68" s="84"/>
      <c r="AC68" s="84"/>
      <c r="AD68" s="84"/>
      <c r="AE68" s="84"/>
      <c r="AF68" s="84"/>
      <c r="AG68" s="84"/>
      <c r="AH68" s="84"/>
      <c r="AI68" s="84"/>
      <c r="AJ68" s="84"/>
      <c r="AK68" s="84"/>
      <c r="AL68" s="84"/>
      <c r="AM68" s="84"/>
      <c r="AN68" s="84"/>
      <c r="AO68" s="84"/>
    </row>
    <row r="69">
      <c r="A69" s="26" t="s">
        <v>67</v>
      </c>
      <c r="B69" s="26"/>
      <c r="C69" s="26"/>
      <c r="D69" s="26"/>
      <c r="E69" s="26"/>
      <c r="F69" s="26"/>
      <c r="G69" s="26"/>
      <c r="H69" s="26"/>
      <c r="I69" s="26"/>
      <c r="J69" s="26"/>
      <c r="K69" s="26"/>
      <c r="L69" s="26"/>
      <c r="M69" s="26"/>
      <c r="N69" s="26"/>
      <c r="O69" s="26"/>
      <c r="P69" s="26"/>
      <c r="Q69" s="26"/>
      <c r="R69" s="26"/>
      <c r="S69" s="26"/>
      <c r="T69" s="31"/>
      <c r="U69" s="31"/>
      <c r="V69" s="31"/>
      <c r="W69" s="31"/>
      <c r="X69" s="31"/>
      <c r="Y69" s="31"/>
      <c r="Z69" s="31"/>
      <c r="AA69" s="31"/>
      <c r="AB69" s="31"/>
      <c r="AC69" s="31"/>
      <c r="AD69" s="31"/>
      <c r="AE69" s="31"/>
      <c r="AF69" s="31"/>
      <c r="AG69" s="31"/>
      <c r="AH69" s="31"/>
      <c r="AI69" s="31"/>
      <c r="AJ69" s="31"/>
      <c r="AK69" s="31"/>
      <c r="AL69" s="31"/>
      <c r="AM69" s="31"/>
      <c r="AN69" s="31"/>
      <c r="AO69" s="31"/>
    </row>
    <row r="70">
      <c r="A70" s="5" t="s">
        <v>68</v>
      </c>
      <c r="B70" s="71">
        <f>21000-344+2039+(23000-23000)-344-344+8164.1-4600-3300+(3000-3000)+80000+2000+(5500-5500)+(5650-5100)+1000+300+300+11814.99</f>
        <v>118236.09000000001</v>
      </c>
      <c r="C70" s="5"/>
      <c r="D70" s="5"/>
      <c r="E70" s="5"/>
      <c r="F70" s="5"/>
      <c r="G70" s="5"/>
      <c r="H70" s="5"/>
      <c r="I70" s="5"/>
      <c r="J70" s="5"/>
      <c r="K70" s="5"/>
      <c r="L70" s="5"/>
      <c r="M70" s="5"/>
      <c r="N70" s="5"/>
      <c r="O70" s="5"/>
      <c r="P70" s="5"/>
      <c r="Q70" s="5"/>
      <c r="R70" s="5"/>
      <c r="S70" s="5"/>
      <c r="T70" s="31"/>
      <c r="U70" s="31"/>
      <c r="V70" s="31"/>
      <c r="W70" s="31"/>
      <c r="X70" s="31"/>
      <c r="Y70" s="31"/>
      <c r="Z70" s="31"/>
      <c r="AA70" s="31"/>
      <c r="AB70" s="31"/>
      <c r="AC70" s="31"/>
      <c r="AD70" s="31"/>
      <c r="AE70" s="31"/>
      <c r="AF70" s="31"/>
      <c r="AG70" s="31"/>
      <c r="AH70" s="31"/>
      <c r="AI70" s="31"/>
      <c r="AJ70" s="31"/>
      <c r="AK70" s="31"/>
      <c r="AL70" s="31"/>
      <c r="AM70" s="31"/>
      <c r="AN70" s="31"/>
      <c r="AO70" s="31"/>
    </row>
    <row r="71">
      <c r="A71" s="5" t="s">
        <v>76</v>
      </c>
      <c r="B71" s="5">
        <v>3000</v>
      </c>
      <c r="C71" s="5"/>
      <c r="D71" s="5"/>
      <c r="E71" s="5"/>
      <c r="F71" s="5"/>
      <c r="G71" s="5"/>
      <c r="H71" s="5"/>
      <c r="I71" s="5"/>
      <c r="J71" s="5"/>
      <c r="K71" s="5"/>
      <c r="L71" s="5"/>
      <c r="M71" s="5"/>
      <c r="N71" s="5"/>
      <c r="O71" s="5"/>
      <c r="P71" s="5"/>
      <c r="Q71" s="5"/>
      <c r="R71" s="5"/>
      <c r="S71" s="5"/>
      <c r="T71" s="31"/>
      <c r="U71" s="31"/>
      <c r="V71" s="31"/>
      <c r="W71" s="31"/>
      <c r="X71" s="31"/>
      <c r="Y71" s="31"/>
      <c r="Z71" s="31"/>
      <c r="AA71" s="31"/>
      <c r="AB71" s="31"/>
      <c r="AC71" s="31"/>
      <c r="AD71" s="31"/>
      <c r="AE71" s="31"/>
      <c r="AF71" s="31"/>
      <c r="AG71" s="31"/>
      <c r="AH71" s="31"/>
      <c r="AI71" s="31"/>
      <c r="AJ71" s="31"/>
      <c r="AK71" s="31"/>
      <c r="AL71" s="31"/>
      <c r="AM71" s="31"/>
      <c r="AN71" s="31"/>
      <c r="AO71" s="3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13.57421875"/>
    <col customWidth="1" min="10" max="10" width="10.140625"/>
  </cols>
  <sheetData>
    <row r="1" ht="28.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2" t="s">
        <v>86</v>
      </c>
    </row>
    <row r="2">
      <c r="A2" s="103">
        <v>44835</v>
      </c>
      <c r="B2" s="14"/>
      <c r="C2" s="14"/>
      <c r="D2" s="14"/>
      <c r="E2" s="14"/>
      <c r="F2" s="14"/>
      <c r="G2" s="14">
        <f>14000+50+100</f>
        <v>14150</v>
      </c>
      <c r="H2" s="14"/>
      <c r="I2" s="14"/>
      <c r="J2" s="14"/>
      <c r="K2" s="14"/>
      <c r="L2" s="14"/>
      <c r="M2" s="14"/>
      <c r="N2" s="14">
        <v>4700</v>
      </c>
      <c r="O2" s="14"/>
      <c r="P2" s="14"/>
      <c r="Q2" s="14"/>
      <c r="R2" s="14"/>
      <c r="S2" s="14">
        <v>2300</v>
      </c>
    </row>
    <row r="3">
      <c r="A3" s="103">
        <v>44836</v>
      </c>
      <c r="B3" s="5"/>
      <c r="C3" s="5">
        <v>1200</v>
      </c>
      <c r="D3" s="5"/>
      <c r="E3" s="5"/>
      <c r="F3" s="5"/>
      <c r="G3" s="5"/>
      <c r="H3" s="5"/>
      <c r="I3" s="5"/>
      <c r="J3" s="5"/>
      <c r="K3" s="5"/>
      <c r="L3" s="5"/>
      <c r="M3" s="5"/>
      <c r="N3" s="5"/>
      <c r="O3" s="5"/>
      <c r="P3" s="5"/>
      <c r="Q3" s="5"/>
      <c r="R3" s="5"/>
      <c r="S3" s="5"/>
    </row>
    <row r="4">
      <c r="A4" s="103">
        <v>44837</v>
      </c>
      <c r="B4" s="14">
        <v>200</v>
      </c>
      <c r="C4" s="14"/>
      <c r="D4" s="14"/>
      <c r="E4" s="14"/>
      <c r="F4" s="14"/>
      <c r="G4" s="14">
        <v>15000</v>
      </c>
      <c r="H4" s="14"/>
      <c r="I4" s="14"/>
      <c r="J4" s="14"/>
      <c r="K4" s="14"/>
      <c r="L4" s="14"/>
      <c r="M4" s="14"/>
      <c r="N4" s="14"/>
      <c r="O4" s="14"/>
      <c r="P4" s="14"/>
      <c r="Q4" s="14"/>
      <c r="R4" s="14"/>
      <c r="S4" s="14"/>
    </row>
    <row r="5">
      <c r="A5" s="103">
        <v>44838</v>
      </c>
      <c r="B5" s="5">
        <v>200</v>
      </c>
      <c r="C5" s="5">
        <v>590</v>
      </c>
      <c r="D5" s="5"/>
      <c r="E5" s="5"/>
      <c r="F5" s="5">
        <v>1000</v>
      </c>
      <c r="G5" s="5"/>
      <c r="H5" s="5"/>
      <c r="I5" s="5"/>
      <c r="J5" s="5"/>
      <c r="K5" s="5"/>
      <c r="L5" s="5"/>
      <c r="M5" s="5"/>
      <c r="N5" s="5"/>
      <c r="O5" s="5"/>
      <c r="P5" s="5"/>
      <c r="Q5" s="5"/>
      <c r="R5" s="5"/>
      <c r="S5" s="5"/>
    </row>
    <row r="6">
      <c r="A6" s="103">
        <v>44839</v>
      </c>
      <c r="B6" s="14">
        <v>200</v>
      </c>
      <c r="C6" s="14">
        <v>390</v>
      </c>
      <c r="D6" s="14">
        <v>2500</v>
      </c>
      <c r="E6" s="14"/>
      <c r="F6" s="14"/>
      <c r="G6" s="14"/>
      <c r="H6" s="14"/>
      <c r="I6" s="14"/>
      <c r="J6" s="14"/>
      <c r="K6" s="14"/>
      <c r="L6" s="14"/>
      <c r="M6" s="14"/>
      <c r="N6" s="14"/>
      <c r="O6" s="14"/>
      <c r="P6" s="14"/>
      <c r="Q6" s="14"/>
      <c r="R6" s="14"/>
      <c r="S6" s="14"/>
    </row>
    <row r="7">
      <c r="A7" s="103">
        <v>44840</v>
      </c>
      <c r="B7" s="5">
        <v>200</v>
      </c>
      <c r="C7" s="5"/>
      <c r="D7" s="5">
        <v>1470</v>
      </c>
      <c r="E7" s="5"/>
      <c r="F7" s="5"/>
      <c r="G7" s="5"/>
      <c r="H7" s="5"/>
      <c r="I7" s="5"/>
      <c r="J7" s="5"/>
      <c r="K7" s="5"/>
      <c r="L7" s="5"/>
      <c r="M7" s="5"/>
      <c r="N7" s="5"/>
      <c r="O7" s="5"/>
      <c r="P7" s="5"/>
      <c r="Q7" s="5"/>
      <c r="R7" s="5"/>
      <c r="S7" s="5"/>
    </row>
    <row r="8">
      <c r="A8" s="103">
        <v>44841</v>
      </c>
      <c r="B8" s="14">
        <v>200</v>
      </c>
      <c r="C8" s="14"/>
      <c r="D8" s="14">
        <v>1190</v>
      </c>
      <c r="E8" s="14"/>
      <c r="F8" s="14"/>
      <c r="G8" s="14"/>
      <c r="H8" s="14"/>
      <c r="I8" s="14"/>
      <c r="J8" s="14"/>
      <c r="K8" s="14"/>
      <c r="L8" s="14"/>
      <c r="M8" s="14"/>
      <c r="N8" s="14"/>
      <c r="O8" s="14"/>
      <c r="P8" s="14"/>
      <c r="Q8" s="14"/>
      <c r="R8" s="14"/>
      <c r="S8" s="14"/>
    </row>
    <row r="9">
      <c r="A9" s="103">
        <v>44842</v>
      </c>
      <c r="B9" s="5"/>
      <c r="C9" s="5"/>
      <c r="D9" s="5"/>
      <c r="E9" s="5"/>
      <c r="F9" s="5"/>
      <c r="G9" s="5"/>
      <c r="H9" s="5"/>
      <c r="I9" s="5"/>
      <c r="J9" s="5"/>
      <c r="K9" s="5"/>
      <c r="L9" s="5"/>
      <c r="M9" s="5"/>
      <c r="N9" s="5"/>
      <c r="O9" s="5"/>
      <c r="P9" s="5"/>
      <c r="Q9" s="5"/>
      <c r="R9" s="5"/>
      <c r="S9" s="5"/>
    </row>
    <row r="10">
      <c r="A10" s="103">
        <v>44843</v>
      </c>
      <c r="B10" s="14"/>
      <c r="C10" s="14"/>
      <c r="D10" s="14"/>
      <c r="E10" s="14"/>
      <c r="F10" s="14"/>
      <c r="G10" s="14"/>
      <c r="H10" s="14"/>
      <c r="I10" s="14"/>
      <c r="J10" s="14"/>
      <c r="K10" s="14"/>
      <c r="L10" s="14"/>
      <c r="M10" s="14"/>
      <c r="N10" s="14"/>
      <c r="O10" s="14"/>
      <c r="P10" s="14"/>
      <c r="Q10" s="14"/>
      <c r="R10" s="14"/>
      <c r="S10" s="14"/>
    </row>
    <row r="11">
      <c r="A11" s="103">
        <v>44844</v>
      </c>
      <c r="B11" s="5">
        <v>200</v>
      </c>
      <c r="C11" s="5">
        <f>500+260+440+390</f>
        <v>1590</v>
      </c>
      <c r="D11" s="5">
        <v>1260</v>
      </c>
      <c r="E11" s="5"/>
      <c r="F11" s="5"/>
      <c r="G11" s="5">
        <v>5000</v>
      </c>
      <c r="H11" s="5"/>
      <c r="I11" s="5"/>
      <c r="J11" s="5">
        <f>90+1870+1220</f>
        <v>3180</v>
      </c>
      <c r="K11" s="5"/>
      <c r="L11" s="5"/>
      <c r="M11" s="5"/>
      <c r="N11" s="5"/>
      <c r="O11" s="5"/>
      <c r="P11" s="5"/>
      <c r="Q11" s="5"/>
      <c r="R11" s="5"/>
      <c r="S11" s="5"/>
    </row>
    <row r="12">
      <c r="A12" s="103">
        <v>44845</v>
      </c>
      <c r="B12" s="14">
        <v>200</v>
      </c>
      <c r="C12" s="14">
        <v>550</v>
      </c>
      <c r="D12" s="14">
        <v>770</v>
      </c>
      <c r="E12" s="14"/>
      <c r="F12" s="14"/>
      <c r="G12" s="14"/>
      <c r="H12" s="14"/>
      <c r="I12" s="14"/>
      <c r="J12" s="14"/>
      <c r="K12" s="14"/>
      <c r="L12" s="14"/>
      <c r="M12" s="14"/>
      <c r="N12" s="14"/>
      <c r="O12" s="14"/>
      <c r="P12" s="14"/>
      <c r="Q12" s="14"/>
      <c r="R12" s="14"/>
      <c r="S12" s="14"/>
    </row>
    <row r="13">
      <c r="A13" s="103">
        <v>44846</v>
      </c>
      <c r="B13" s="5">
        <v>200</v>
      </c>
      <c r="C13" s="5"/>
      <c r="D13" s="5"/>
      <c r="E13" s="5"/>
      <c r="F13" s="5"/>
      <c r="G13" s="5">
        <v>14150</v>
      </c>
      <c r="H13" s="5"/>
      <c r="I13" s="5"/>
      <c r="J13" s="5"/>
      <c r="K13" s="5"/>
      <c r="L13" s="5"/>
      <c r="M13" s="5"/>
      <c r="N13" s="5"/>
      <c r="O13" s="5"/>
      <c r="P13" s="5"/>
      <c r="Q13" s="5"/>
      <c r="R13" s="5"/>
      <c r="S13" s="5"/>
    </row>
    <row r="14">
      <c r="A14" s="103">
        <v>44847</v>
      </c>
      <c r="B14" s="14">
        <v>200</v>
      </c>
      <c r="C14" s="14"/>
      <c r="D14" s="14">
        <v>1470</v>
      </c>
      <c r="E14" s="14"/>
      <c r="F14" s="14"/>
      <c r="G14" s="14"/>
      <c r="H14" s="14"/>
      <c r="I14" s="14"/>
      <c r="J14" s="14"/>
      <c r="K14" s="14">
        <v>7100</v>
      </c>
      <c r="L14" s="14"/>
      <c r="M14" s="14"/>
      <c r="N14" s="14"/>
      <c r="O14" s="14"/>
      <c r="P14" s="14"/>
      <c r="Q14" s="14"/>
      <c r="R14" s="14"/>
      <c r="S14" s="14"/>
    </row>
    <row r="15">
      <c r="A15" s="103">
        <v>44848</v>
      </c>
      <c r="B15" s="5"/>
      <c r="C15" s="5"/>
      <c r="D15" s="5"/>
      <c r="E15" s="5"/>
      <c r="F15" s="5"/>
      <c r="G15" s="5"/>
      <c r="H15" s="5"/>
      <c r="I15" s="5"/>
      <c r="J15" s="5"/>
      <c r="K15" s="5"/>
      <c r="L15" s="5"/>
      <c r="M15" s="5"/>
      <c r="N15" s="5"/>
      <c r="O15" s="5"/>
      <c r="P15" s="5"/>
      <c r="Q15" s="5"/>
      <c r="R15" s="5"/>
      <c r="S15" s="5"/>
    </row>
    <row r="16">
      <c r="A16" s="103">
        <v>44849</v>
      </c>
      <c r="B16" s="14"/>
      <c r="C16" s="97"/>
      <c r="D16" s="14"/>
      <c r="E16" s="14"/>
      <c r="F16" s="14"/>
      <c r="G16" s="14"/>
      <c r="H16" s="14"/>
      <c r="I16" s="14"/>
      <c r="J16" s="14"/>
      <c r="K16" s="14"/>
      <c r="L16" s="14"/>
      <c r="M16" s="14"/>
      <c r="N16" s="14"/>
      <c r="O16" s="14"/>
      <c r="P16" s="14"/>
      <c r="Q16" s="14"/>
      <c r="R16" s="14"/>
      <c r="S16" s="14"/>
    </row>
    <row r="17">
      <c r="A17" s="103">
        <v>44850</v>
      </c>
      <c r="B17" s="5"/>
      <c r="C17" s="6">
        <f>200+120+2020</f>
        <v>2340</v>
      </c>
      <c r="D17" s="5"/>
      <c r="E17" s="5"/>
      <c r="F17" s="5"/>
      <c r="G17" s="5"/>
      <c r="H17" s="5"/>
      <c r="I17" s="5"/>
      <c r="J17" s="5"/>
      <c r="K17" s="5"/>
      <c r="L17" s="5"/>
      <c r="M17" s="5"/>
      <c r="N17" s="5"/>
      <c r="O17" s="5"/>
      <c r="P17" s="5"/>
      <c r="Q17" s="5"/>
      <c r="R17" s="5"/>
      <c r="S17" s="5"/>
    </row>
    <row r="18">
      <c r="A18" s="103">
        <v>44851</v>
      </c>
      <c r="B18" s="14">
        <v>100</v>
      </c>
      <c r="C18" s="14"/>
      <c r="D18" s="14">
        <v>1250</v>
      </c>
      <c r="E18" s="14"/>
      <c r="F18" s="14"/>
      <c r="G18" s="14"/>
      <c r="H18" s="14"/>
      <c r="I18" s="14"/>
      <c r="J18" s="14"/>
      <c r="K18" s="14"/>
      <c r="L18" s="14"/>
      <c r="M18" s="14"/>
      <c r="N18" s="14"/>
      <c r="O18" s="14"/>
      <c r="P18" s="14"/>
      <c r="Q18" s="14"/>
      <c r="R18" s="14"/>
      <c r="S18" s="14"/>
    </row>
    <row r="19">
      <c r="A19" s="103">
        <v>44852</v>
      </c>
      <c r="B19" s="5">
        <v>100</v>
      </c>
      <c r="C19" s="5">
        <v>1395</v>
      </c>
      <c r="D19" s="5">
        <v>1370</v>
      </c>
      <c r="E19" s="5"/>
      <c r="F19" s="5"/>
      <c r="G19" s="5"/>
      <c r="H19" s="5"/>
      <c r="I19" s="5"/>
      <c r="J19" s="5"/>
      <c r="K19" s="5"/>
      <c r="L19" s="5"/>
      <c r="M19" s="5"/>
      <c r="N19" s="5"/>
      <c r="O19" s="5"/>
      <c r="P19" s="5"/>
      <c r="Q19" s="5"/>
      <c r="R19" s="6"/>
      <c r="S19" s="5"/>
    </row>
    <row r="20">
      <c r="A20" s="103">
        <v>44853</v>
      </c>
      <c r="B20" s="14">
        <v>100</v>
      </c>
      <c r="C20" s="14"/>
      <c r="D20" s="14"/>
      <c r="E20" s="14"/>
      <c r="F20" s="14"/>
      <c r="G20" s="14"/>
      <c r="H20" s="14"/>
      <c r="I20" s="14"/>
      <c r="J20" s="14"/>
      <c r="K20" s="14"/>
      <c r="L20" s="14"/>
      <c r="M20" s="14"/>
      <c r="N20" s="14"/>
      <c r="O20" s="14"/>
      <c r="P20" s="34"/>
      <c r="Q20" s="14"/>
      <c r="R20" s="14"/>
      <c r="S20" s="14"/>
    </row>
    <row r="21">
      <c r="A21" s="103">
        <v>44854</v>
      </c>
      <c r="B21" s="69">
        <v>100</v>
      </c>
      <c r="C21" s="6"/>
      <c r="D21" s="5">
        <v>1200</v>
      </c>
      <c r="E21" s="5"/>
      <c r="F21" s="5"/>
      <c r="G21" s="5"/>
      <c r="H21" s="5"/>
      <c r="I21" s="5"/>
      <c r="J21" s="5"/>
      <c r="K21" s="5"/>
      <c r="L21" s="5"/>
      <c r="M21" s="5"/>
      <c r="N21" s="5"/>
      <c r="O21" s="5"/>
      <c r="P21" s="5"/>
      <c r="Q21" s="5"/>
      <c r="R21" s="5"/>
      <c r="S21" s="5"/>
    </row>
    <row r="22">
      <c r="A22" s="103">
        <v>44855</v>
      </c>
      <c r="B22" s="22">
        <f>100+980</f>
        <v>1080</v>
      </c>
      <c r="C22" s="14"/>
      <c r="D22" s="14"/>
      <c r="E22" s="14"/>
      <c r="F22" s="14"/>
      <c r="G22" s="14"/>
      <c r="H22" s="14"/>
      <c r="I22" s="14"/>
      <c r="J22" s="14"/>
      <c r="K22" s="14"/>
      <c r="L22" s="14"/>
      <c r="M22" s="14"/>
      <c r="N22" s="14"/>
      <c r="O22" s="14"/>
      <c r="P22" s="14"/>
      <c r="Q22" s="14"/>
      <c r="R22" s="14"/>
      <c r="S22" s="14"/>
    </row>
    <row r="23">
      <c r="A23" s="103">
        <v>44856</v>
      </c>
      <c r="B23" s="5">
        <v>100</v>
      </c>
      <c r="C23" s="5"/>
      <c r="D23" s="5">
        <v>2700</v>
      </c>
      <c r="E23" s="5"/>
      <c r="F23" s="5"/>
      <c r="G23" s="5"/>
      <c r="H23" s="5"/>
      <c r="I23" s="5"/>
      <c r="J23" s="5"/>
      <c r="K23" s="5"/>
      <c r="L23" s="5"/>
      <c r="M23" s="5"/>
      <c r="N23" s="5"/>
      <c r="O23" s="5"/>
      <c r="P23" s="5"/>
      <c r="Q23" s="5"/>
      <c r="R23" s="5"/>
      <c r="S23" s="5"/>
    </row>
    <row r="24">
      <c r="A24" s="103">
        <v>44857</v>
      </c>
      <c r="B24" s="14">
        <v>100</v>
      </c>
      <c r="C24" s="14"/>
      <c r="D24" s="14"/>
      <c r="E24" s="14"/>
      <c r="F24" s="14"/>
      <c r="G24" s="14"/>
      <c r="H24" s="14"/>
      <c r="I24" s="14"/>
      <c r="J24" s="14"/>
      <c r="K24" s="14"/>
      <c r="L24" s="14"/>
      <c r="M24" s="14"/>
      <c r="N24" s="14"/>
      <c r="O24" s="14"/>
      <c r="P24" s="14"/>
      <c r="Q24" s="14"/>
      <c r="R24" s="14"/>
      <c r="S24" s="14"/>
    </row>
    <row r="25">
      <c r="A25" s="103">
        <v>44858</v>
      </c>
      <c r="B25" s="28">
        <v>100</v>
      </c>
      <c r="C25" s="5">
        <f>1430-1090</f>
        <v>340</v>
      </c>
      <c r="D25" s="5">
        <v>1200</v>
      </c>
      <c r="E25" s="5"/>
      <c r="F25" s="5"/>
      <c r="G25" s="5"/>
      <c r="H25" s="5"/>
      <c r="I25" s="5"/>
      <c r="J25" s="5">
        <v>1090</v>
      </c>
      <c r="K25" s="5"/>
      <c r="L25" s="5"/>
      <c r="M25" s="5"/>
      <c r="N25" s="5"/>
      <c r="O25" s="5"/>
      <c r="P25" s="5"/>
      <c r="Q25" s="5"/>
      <c r="R25" s="5"/>
      <c r="S25" s="5"/>
    </row>
    <row r="26">
      <c r="A26" s="103">
        <v>44859</v>
      </c>
      <c r="B26" s="14">
        <v>100</v>
      </c>
      <c r="C26" s="14"/>
      <c r="D26" s="14">
        <v>1200</v>
      </c>
      <c r="E26" s="14"/>
      <c r="F26" s="14"/>
      <c r="G26" s="14"/>
      <c r="H26" s="14"/>
      <c r="I26" s="14"/>
      <c r="J26" s="14"/>
      <c r="K26" s="14"/>
      <c r="L26" s="14"/>
      <c r="M26" s="14"/>
      <c r="N26" s="14"/>
      <c r="O26" s="14"/>
      <c r="P26" s="14"/>
      <c r="Q26" s="14"/>
      <c r="R26" s="14"/>
      <c r="S26" s="14"/>
    </row>
    <row r="27">
      <c r="A27" s="103">
        <v>44860</v>
      </c>
      <c r="B27" s="5">
        <v>200</v>
      </c>
      <c r="C27" s="6"/>
      <c r="D27" s="5">
        <v>1400</v>
      </c>
      <c r="E27" s="5"/>
      <c r="F27" s="5"/>
      <c r="G27" s="5"/>
      <c r="H27" s="5"/>
      <c r="I27" s="5"/>
      <c r="J27" s="5"/>
      <c r="K27" s="5"/>
      <c r="L27" s="5"/>
      <c r="M27" s="5"/>
      <c r="N27" s="5"/>
      <c r="O27" s="5"/>
      <c r="P27" s="5"/>
      <c r="Q27" s="5"/>
      <c r="R27" s="5"/>
      <c r="S27" s="5"/>
    </row>
    <row r="28">
      <c r="A28" s="103">
        <v>44861</v>
      </c>
      <c r="B28" s="14">
        <v>200</v>
      </c>
      <c r="C28" s="14"/>
      <c r="D28" s="14">
        <v>1200</v>
      </c>
      <c r="E28" s="14"/>
      <c r="F28" s="14"/>
      <c r="G28" s="14"/>
      <c r="H28" s="14"/>
      <c r="I28" s="14"/>
      <c r="J28" s="14"/>
      <c r="K28" s="14"/>
      <c r="L28" s="14"/>
      <c r="M28" s="14"/>
      <c r="N28" s="14">
        <v>5000</v>
      </c>
      <c r="O28" s="14"/>
      <c r="P28" s="14"/>
      <c r="Q28" s="14"/>
      <c r="R28" s="14"/>
      <c r="S28" s="14"/>
    </row>
    <row r="29">
      <c r="A29" s="103">
        <v>44862</v>
      </c>
      <c r="B29" s="5">
        <v>100</v>
      </c>
      <c r="C29" s="5"/>
      <c r="D29" s="5"/>
      <c r="E29" s="5"/>
      <c r="F29" s="5"/>
      <c r="G29" s="5"/>
      <c r="H29" s="5"/>
      <c r="I29" s="5"/>
      <c r="J29" s="5"/>
      <c r="K29" s="5"/>
      <c r="L29" s="5"/>
      <c r="M29" s="5"/>
      <c r="N29" s="5"/>
      <c r="O29" s="5"/>
      <c r="P29" s="5"/>
      <c r="Q29" s="5"/>
      <c r="R29" s="5"/>
      <c r="S29" s="5"/>
    </row>
    <row r="30">
      <c r="A30" s="103">
        <v>44863</v>
      </c>
      <c r="B30" s="22"/>
      <c r="C30" s="22"/>
      <c r="D30" s="22"/>
      <c r="E30" s="22"/>
      <c r="F30" s="22"/>
      <c r="G30" s="22"/>
      <c r="H30" s="22"/>
      <c r="I30" s="22"/>
      <c r="J30" s="22"/>
      <c r="K30" s="22"/>
      <c r="L30" s="22"/>
      <c r="M30" s="22"/>
      <c r="N30" s="22"/>
      <c r="O30" s="22"/>
      <c r="P30" s="22"/>
      <c r="Q30" s="22"/>
      <c r="R30" s="22"/>
      <c r="S30" s="22"/>
    </row>
    <row r="31">
      <c r="A31" s="103">
        <v>44864</v>
      </c>
      <c r="B31" s="5"/>
      <c r="C31" s="5">
        <f>2575+1430</f>
        <v>4005</v>
      </c>
      <c r="D31" s="5"/>
      <c r="E31" s="5"/>
      <c r="F31" s="5"/>
      <c r="G31" s="5"/>
      <c r="H31" s="5"/>
      <c r="I31" s="5">
        <v>7290</v>
      </c>
      <c r="J31" s="5"/>
      <c r="K31" s="5"/>
      <c r="L31" s="5"/>
      <c r="M31" s="5">
        <v>300</v>
      </c>
      <c r="N31" s="5"/>
      <c r="O31" s="5"/>
      <c r="P31" s="5"/>
      <c r="Q31" s="5"/>
      <c r="R31" s="5"/>
      <c r="S31" s="5"/>
    </row>
    <row r="32">
      <c r="A32" s="103">
        <v>44865</v>
      </c>
      <c r="B32" s="104">
        <v>100</v>
      </c>
      <c r="C32" s="104">
        <v>50000</v>
      </c>
      <c r="D32" s="104"/>
      <c r="E32" s="104"/>
      <c r="F32" s="104"/>
      <c r="G32" s="104"/>
      <c r="H32" s="104"/>
      <c r="I32" s="104"/>
      <c r="J32" s="104"/>
      <c r="K32" s="104"/>
      <c r="L32" s="104"/>
      <c r="M32" s="104"/>
      <c r="N32" s="104"/>
      <c r="O32" s="104"/>
      <c r="P32" s="104"/>
      <c r="Q32" s="104"/>
      <c r="R32" s="104"/>
      <c r="S32" s="104"/>
    </row>
    <row r="33">
      <c r="A33" s="105" t="s">
        <v>87</v>
      </c>
      <c r="B33" s="106">
        <f>SUM(B2:B32)</f>
        <v>4280</v>
      </c>
      <c r="C33" s="106">
        <f>SUM(C2:C32)</f>
        <v>62400</v>
      </c>
      <c r="D33" s="106">
        <f>SUM(D2:D32)</f>
        <v>20180</v>
      </c>
      <c r="E33" s="106">
        <f>SUM(E2:E32)</f>
        <v>0</v>
      </c>
      <c r="F33" s="106">
        <f>SUM(F2:F32)</f>
        <v>1000</v>
      </c>
      <c r="G33" s="106">
        <f>SUM(G2:G32)</f>
        <v>48300</v>
      </c>
      <c r="H33" s="106">
        <f>SUM(H2:H32)</f>
        <v>0</v>
      </c>
      <c r="I33" s="106">
        <f>SUM(I2:I32)</f>
        <v>7290</v>
      </c>
      <c r="J33" s="106">
        <f>SUM(J2:J32)</f>
        <v>4270</v>
      </c>
      <c r="K33" s="106">
        <f>SUM(K2:K32)</f>
        <v>7100</v>
      </c>
      <c r="L33" s="106">
        <f>SUM(L2:L32)</f>
        <v>0</v>
      </c>
      <c r="M33" s="106">
        <f>SUM(M2:M32)</f>
        <v>300</v>
      </c>
      <c r="N33" s="106">
        <f>SUM(N2:N32)</f>
        <v>9700</v>
      </c>
      <c r="O33" s="106">
        <f>SUM(O2:O32)</f>
        <v>0</v>
      </c>
      <c r="P33" s="106">
        <f>SUM(P2:P32)</f>
        <v>0</v>
      </c>
      <c r="Q33" s="106">
        <f>SUM(Q2:Q32)</f>
        <v>0</v>
      </c>
      <c r="R33" s="106">
        <f>SUM(R2:R32)</f>
        <v>0</v>
      </c>
      <c r="S33" s="106">
        <f>SUM(B33:R33)+SUM(S2:S32)</f>
        <v>167120</v>
      </c>
      <c r="T33" s="107" t="s">
        <v>88</v>
      </c>
    </row>
    <row r="34">
      <c r="A34" s="108" t="s">
        <v>89</v>
      </c>
      <c r="B34" s="109">
        <f>B33/'Сводная таблица'!B67</f>
        <v>977.16894977168954</v>
      </c>
      <c r="C34" s="109">
        <f>C33/'Сводная таблица'!B67</f>
        <v>14246.575342465754</v>
      </c>
      <c r="D34" s="109">
        <f>D33/'Сводная таблица'!B67</f>
        <v>4607.3059360730595</v>
      </c>
      <c r="E34" s="110">
        <f>E33/'Сводная таблица'!B67</f>
        <v>0</v>
      </c>
      <c r="F34" s="109">
        <f>F33/'Сводная таблица'!B67</f>
        <v>228.31050228310502</v>
      </c>
      <c r="G34" s="109">
        <f>G33/'Сводная таблица'!B67</f>
        <v>11027.397260273972</v>
      </c>
      <c r="H34" s="110">
        <f>H33/'Сводная таблица'!B67</f>
        <v>0</v>
      </c>
      <c r="I34" s="109">
        <f>I33/'Сводная таблица'!B67</f>
        <v>1664.3835616438357</v>
      </c>
      <c r="J34" s="109">
        <f>J33/'Сводная таблица'!B67</f>
        <v>974.88584474885852</v>
      </c>
      <c r="K34" s="109">
        <f>K33/'Сводная таблица'!B67</f>
        <v>1621.0045662100456</v>
      </c>
      <c r="L34" s="110">
        <f>L33/'Сводная таблица'!B67</f>
        <v>0</v>
      </c>
      <c r="M34" s="109">
        <f>M33/'Сводная таблица'!B67</f>
        <v>68.493150684931507</v>
      </c>
      <c r="N34" s="109">
        <f>N33/'Сводная таблица'!B67</f>
        <v>2214.6118721461189</v>
      </c>
      <c r="O34" s="110">
        <f>O33/'Сводная таблица'!B67</f>
        <v>0</v>
      </c>
      <c r="P34" s="110">
        <f>P33/'Сводная таблица'!B67</f>
        <v>0</v>
      </c>
      <c r="Q34" s="110">
        <f>Q33/'Сводная таблица'!B67</f>
        <v>0</v>
      </c>
      <c r="R34" s="110">
        <f>R33/'Сводная таблица'!B67</f>
        <v>0</v>
      </c>
      <c r="S34" s="109">
        <f>S33/'Сводная таблица'!B67</f>
        <v>38155.251141552515</v>
      </c>
      <c r="T34" s="107" t="s">
        <v>90</v>
      </c>
    </row>
    <row r="35" ht="28.5" customHeight="1">
      <c r="A35" s="111" t="s">
        <v>0</v>
      </c>
      <c r="B35" s="111" t="s">
        <v>50</v>
      </c>
      <c r="C35" s="111" t="s">
        <v>13</v>
      </c>
      <c r="D35" s="111" t="s">
        <v>11</v>
      </c>
      <c r="E35" s="111" t="s">
        <v>51</v>
      </c>
      <c r="F35" s="111" t="s">
        <v>52</v>
      </c>
      <c r="G35" s="111" t="s">
        <v>53</v>
      </c>
      <c r="H35" s="111" t="s">
        <v>54</v>
      </c>
      <c r="I35" s="111" t="s">
        <v>55</v>
      </c>
      <c r="J35" s="111" t="s">
        <v>61</v>
      </c>
      <c r="K35" s="111" t="s">
        <v>74</v>
      </c>
      <c r="L35" s="112"/>
      <c r="M35" s="112"/>
      <c r="N35" s="112"/>
      <c r="O35" s="112"/>
      <c r="P35" s="112"/>
      <c r="Q35" s="112"/>
      <c r="R35" s="112"/>
      <c r="S35" s="112"/>
    </row>
    <row r="36">
      <c r="A36" s="103">
        <v>44835</v>
      </c>
      <c r="B36" s="14"/>
      <c r="C36" s="14"/>
      <c r="D36" s="14"/>
      <c r="E36" s="14"/>
      <c r="F36" s="14"/>
      <c r="G36" s="14"/>
      <c r="H36" s="14"/>
      <c r="I36" s="14"/>
      <c r="J36" s="22"/>
      <c r="K36" s="22"/>
      <c r="L36" s="22"/>
      <c r="M36" s="22"/>
      <c r="N36" s="22"/>
      <c r="O36" s="22"/>
      <c r="P36" s="22"/>
      <c r="Q36" s="22"/>
      <c r="R36" s="22"/>
      <c r="S36" s="22"/>
    </row>
    <row r="37">
      <c r="A37" s="103">
        <v>44836</v>
      </c>
      <c r="B37" s="5"/>
      <c r="C37" s="5"/>
      <c r="D37" s="5"/>
      <c r="E37" s="5"/>
      <c r="F37" s="5"/>
      <c r="G37" s="5"/>
      <c r="H37" s="5"/>
      <c r="I37" s="5"/>
      <c r="J37" s="5"/>
      <c r="K37" s="5"/>
      <c r="L37" s="5"/>
      <c r="M37" s="5"/>
      <c r="N37" s="5"/>
      <c r="O37" s="5"/>
      <c r="P37" s="5"/>
      <c r="Q37" s="5"/>
      <c r="R37" s="5"/>
      <c r="S37" s="5"/>
    </row>
    <row r="38">
      <c r="A38" s="103">
        <v>44837</v>
      </c>
      <c r="B38" s="14"/>
      <c r="C38" s="14"/>
      <c r="D38" s="14"/>
      <c r="E38" s="14"/>
      <c r="F38" s="14"/>
      <c r="G38" s="14"/>
      <c r="H38" s="14"/>
      <c r="I38" s="14"/>
      <c r="J38" s="22"/>
      <c r="K38" s="22"/>
      <c r="L38" s="22"/>
      <c r="M38" s="22"/>
      <c r="N38" s="22"/>
      <c r="O38" s="22"/>
      <c r="P38" s="22"/>
      <c r="Q38" s="22"/>
      <c r="R38" s="22"/>
      <c r="S38" s="22"/>
    </row>
    <row r="39">
      <c r="A39" s="103">
        <v>44838</v>
      </c>
      <c r="B39" s="5"/>
      <c r="C39" s="5"/>
      <c r="D39" s="5"/>
      <c r="E39" s="71">
        <f>29.77-32.77</f>
        <v>-3.0000000000000036</v>
      </c>
      <c r="F39" s="5"/>
      <c r="G39" s="5"/>
      <c r="H39" s="5"/>
      <c r="I39" s="5"/>
      <c r="J39" s="5"/>
      <c r="K39" s="5"/>
      <c r="L39" s="5"/>
      <c r="M39" s="5"/>
      <c r="N39" s="5"/>
      <c r="O39" s="5"/>
      <c r="P39" s="5"/>
      <c r="Q39" s="5"/>
      <c r="R39" s="5"/>
      <c r="S39" s="5"/>
    </row>
    <row r="40">
      <c r="A40" s="103">
        <v>44839</v>
      </c>
      <c r="B40" s="14">
        <v>23809.549999999999</v>
      </c>
      <c r="C40" s="14"/>
      <c r="D40" s="14"/>
      <c r="E40" s="14"/>
      <c r="F40" s="14"/>
      <c r="G40" s="14"/>
      <c r="H40" s="14"/>
      <c r="I40" s="14">
        <f>62-59</f>
        <v>3</v>
      </c>
      <c r="J40" s="14"/>
      <c r="K40" s="14"/>
      <c r="L40" s="14"/>
      <c r="M40" s="14"/>
      <c r="N40" s="14"/>
      <c r="O40" s="14"/>
      <c r="P40" s="14"/>
      <c r="Q40" s="14"/>
      <c r="R40" s="14"/>
      <c r="S40" s="14"/>
    </row>
    <row r="41">
      <c r="A41" s="103">
        <v>44840</v>
      </c>
      <c r="B41" s="5"/>
      <c r="C41" s="5"/>
      <c r="D41" s="5"/>
      <c r="E41" s="5"/>
      <c r="F41" s="5"/>
      <c r="G41" s="5"/>
      <c r="H41" s="5"/>
      <c r="I41" s="5"/>
      <c r="J41" s="5"/>
      <c r="K41" s="5"/>
      <c r="L41" s="5"/>
      <c r="M41" s="5"/>
      <c r="N41" s="5"/>
      <c r="O41" s="5"/>
      <c r="P41" s="5"/>
      <c r="Q41" s="5"/>
      <c r="R41" s="5"/>
      <c r="S41" s="5"/>
    </row>
    <row r="42">
      <c r="A42" s="103">
        <v>44841</v>
      </c>
      <c r="B42" s="14"/>
      <c r="C42" s="14"/>
      <c r="D42" s="14"/>
      <c r="E42" s="14"/>
      <c r="F42" s="14"/>
      <c r="G42" s="14"/>
      <c r="H42" s="14"/>
      <c r="I42" s="14"/>
      <c r="J42" s="14"/>
      <c r="K42" s="14"/>
      <c r="L42" s="14"/>
      <c r="M42" s="14"/>
      <c r="N42" s="14"/>
      <c r="O42" s="14"/>
      <c r="P42" s="14"/>
      <c r="Q42" s="14"/>
      <c r="R42" s="14"/>
      <c r="S42" s="14"/>
    </row>
    <row r="43">
      <c r="A43" s="103">
        <v>44842</v>
      </c>
      <c r="B43" s="5"/>
      <c r="C43" s="5"/>
      <c r="D43" s="5"/>
      <c r="E43" s="5"/>
      <c r="F43" s="5"/>
      <c r="G43" s="5"/>
      <c r="H43" s="5"/>
      <c r="I43" s="5"/>
      <c r="J43" s="5"/>
      <c r="K43" s="5"/>
      <c r="L43" s="5"/>
      <c r="M43" s="5"/>
      <c r="N43" s="5"/>
      <c r="O43" s="5"/>
      <c r="P43" s="5"/>
      <c r="Q43" s="5"/>
      <c r="R43" s="5"/>
      <c r="S43" s="5"/>
    </row>
    <row r="44">
      <c r="A44" s="103">
        <v>44843</v>
      </c>
      <c r="B44" s="79"/>
      <c r="C44" s="14"/>
      <c r="D44" s="14"/>
      <c r="E44" s="14"/>
      <c r="F44" s="14"/>
      <c r="G44" s="14"/>
      <c r="H44" s="14"/>
      <c r="I44" s="14"/>
      <c r="J44" s="14"/>
      <c r="K44" s="14"/>
      <c r="L44" s="14"/>
      <c r="M44" s="14"/>
      <c r="N44" s="14"/>
      <c r="O44" s="14"/>
      <c r="P44" s="14"/>
      <c r="Q44" s="14"/>
      <c r="R44" s="14"/>
      <c r="S44" s="14"/>
    </row>
    <row r="45">
      <c r="A45" s="103">
        <v>44844</v>
      </c>
      <c r="B45" s="5"/>
      <c r="C45" s="5"/>
      <c r="D45" s="5"/>
      <c r="E45" s="5"/>
      <c r="F45" s="5"/>
      <c r="G45" s="5"/>
      <c r="H45" s="5"/>
      <c r="I45" s="5"/>
      <c r="J45" s="5"/>
      <c r="K45" s="5"/>
      <c r="L45" s="5"/>
      <c r="M45" s="5"/>
      <c r="N45" s="5"/>
      <c r="O45" s="5"/>
      <c r="P45" s="5"/>
      <c r="Q45" s="5"/>
      <c r="R45" s="5"/>
      <c r="S45" s="5"/>
    </row>
    <row r="46">
      <c r="A46" s="103">
        <v>44845</v>
      </c>
      <c r="B46" s="14"/>
      <c r="C46" s="14"/>
      <c r="D46" s="14"/>
      <c r="E46" s="14"/>
      <c r="F46" s="14"/>
      <c r="G46" s="14"/>
      <c r="H46" s="14"/>
      <c r="I46" s="14"/>
      <c r="J46" s="14"/>
      <c r="K46" s="14"/>
      <c r="L46" s="14"/>
      <c r="M46" s="14"/>
      <c r="N46" s="14"/>
      <c r="O46" s="14"/>
      <c r="P46" s="14"/>
      <c r="Q46" s="14"/>
      <c r="R46" s="14"/>
      <c r="S46" s="14"/>
    </row>
    <row r="47">
      <c r="A47" s="103">
        <v>44846</v>
      </c>
      <c r="B47" s="5"/>
      <c r="C47" s="5"/>
      <c r="D47" s="5"/>
      <c r="E47" s="5"/>
      <c r="F47" s="5"/>
      <c r="G47" s="5"/>
      <c r="H47" s="5"/>
      <c r="I47" s="5"/>
      <c r="J47" s="5"/>
      <c r="K47" s="5"/>
      <c r="L47" s="5"/>
      <c r="M47" s="5"/>
      <c r="N47" s="5"/>
      <c r="O47" s="5"/>
      <c r="P47" s="5"/>
      <c r="Q47" s="5"/>
      <c r="R47" s="5"/>
      <c r="S47" s="5"/>
    </row>
    <row r="48">
      <c r="A48" s="103">
        <v>44847</v>
      </c>
      <c r="B48" s="14"/>
      <c r="C48" s="14"/>
      <c r="D48" s="14"/>
      <c r="E48" s="14"/>
      <c r="F48" s="14"/>
      <c r="G48" s="14"/>
      <c r="H48" s="14"/>
      <c r="I48" s="14">
        <v>2201</v>
      </c>
      <c r="J48" s="14"/>
      <c r="K48" s="14"/>
      <c r="L48" s="14"/>
      <c r="M48" s="14"/>
      <c r="N48" s="14"/>
      <c r="O48" s="14"/>
      <c r="P48" s="14"/>
      <c r="Q48" s="14"/>
      <c r="R48" s="14"/>
      <c r="S48" s="14"/>
    </row>
    <row r="49">
      <c r="A49" s="103">
        <v>44848</v>
      </c>
      <c r="B49" s="5"/>
      <c r="C49" s="5"/>
      <c r="D49" s="5"/>
      <c r="E49" s="5"/>
      <c r="F49" s="5"/>
      <c r="G49" s="5"/>
      <c r="H49" s="5"/>
      <c r="I49" s="5"/>
      <c r="J49" s="5"/>
      <c r="K49" s="5"/>
      <c r="L49" s="5"/>
      <c r="M49" s="5"/>
      <c r="N49" s="5"/>
      <c r="O49" s="5"/>
      <c r="P49" s="5"/>
      <c r="Q49" s="5"/>
      <c r="R49" s="5"/>
      <c r="S49" s="5"/>
    </row>
    <row r="50">
      <c r="A50" s="103">
        <v>44849</v>
      </c>
      <c r="B50" s="14"/>
      <c r="C50" s="14"/>
      <c r="D50" s="14"/>
      <c r="E50" s="14"/>
      <c r="F50" s="14"/>
      <c r="G50" s="14"/>
      <c r="H50" s="14"/>
      <c r="I50" s="14"/>
      <c r="J50" s="14"/>
      <c r="K50" s="14"/>
      <c r="L50" s="14"/>
      <c r="M50" s="14"/>
      <c r="N50" s="14"/>
      <c r="O50" s="14"/>
      <c r="P50" s="14"/>
      <c r="Q50" s="14"/>
      <c r="R50" s="14"/>
      <c r="S50" s="14"/>
    </row>
    <row r="51">
      <c r="A51" s="103">
        <v>44850</v>
      </c>
      <c r="B51" s="5"/>
      <c r="C51" s="5"/>
      <c r="D51" s="5"/>
      <c r="E51" s="5"/>
      <c r="F51" s="5"/>
      <c r="G51" s="5"/>
      <c r="H51" s="5"/>
      <c r="I51" s="5"/>
      <c r="J51" s="5"/>
      <c r="K51" s="5"/>
      <c r="L51" s="5"/>
      <c r="M51" s="5"/>
      <c r="N51" s="5"/>
      <c r="O51" s="5"/>
      <c r="P51" s="5"/>
      <c r="Q51" s="5"/>
      <c r="R51" s="5"/>
      <c r="S51" s="5"/>
    </row>
    <row r="52">
      <c r="A52" s="103">
        <v>44851</v>
      </c>
      <c r="B52" s="14"/>
      <c r="C52" s="14"/>
      <c r="D52" s="14"/>
      <c r="E52" s="14"/>
      <c r="F52" s="14"/>
      <c r="G52" s="14"/>
      <c r="H52" s="14"/>
      <c r="I52" s="14"/>
      <c r="J52" s="14"/>
      <c r="K52" s="14"/>
      <c r="L52" s="14"/>
      <c r="M52" s="14"/>
      <c r="N52" s="14"/>
      <c r="O52" s="14"/>
      <c r="P52" s="14"/>
      <c r="Q52" s="14"/>
      <c r="R52" s="14"/>
      <c r="S52" s="14"/>
    </row>
    <row r="53">
      <c r="A53" s="103">
        <v>44852</v>
      </c>
      <c r="B53" s="5"/>
      <c r="C53" s="5"/>
      <c r="D53" s="5"/>
      <c r="E53" s="5"/>
      <c r="F53" s="5"/>
      <c r="G53" s="5"/>
      <c r="H53" s="5"/>
      <c r="I53" s="5"/>
      <c r="J53" s="5"/>
      <c r="K53" s="5"/>
      <c r="L53" s="5"/>
      <c r="M53" s="5"/>
      <c r="N53" s="5"/>
      <c r="O53" s="5"/>
      <c r="P53" s="5"/>
      <c r="Q53" s="5"/>
      <c r="R53" s="5"/>
      <c r="S53" s="5"/>
    </row>
    <row r="54">
      <c r="A54" s="103">
        <v>44853</v>
      </c>
      <c r="B54" s="14"/>
      <c r="C54" s="14"/>
      <c r="D54" s="14"/>
      <c r="E54" s="14"/>
      <c r="F54" s="14"/>
      <c r="G54" s="14"/>
      <c r="H54" s="14"/>
      <c r="I54" s="14"/>
      <c r="J54" s="14"/>
      <c r="K54" s="14"/>
      <c r="L54" s="14"/>
      <c r="M54" s="14"/>
      <c r="N54" s="14"/>
      <c r="O54" s="14"/>
      <c r="P54" s="14"/>
      <c r="Q54" s="14"/>
      <c r="R54" s="14"/>
      <c r="S54" s="14"/>
    </row>
    <row r="55">
      <c r="A55" s="103">
        <v>44854</v>
      </c>
      <c r="B55" s="5"/>
      <c r="C55" s="5"/>
      <c r="D55" s="5"/>
      <c r="E55" s="5"/>
      <c r="F55" s="5"/>
      <c r="G55" s="5"/>
      <c r="H55" s="5"/>
      <c r="I55" s="5"/>
      <c r="J55" s="5"/>
      <c r="K55" s="5"/>
      <c r="L55" s="5"/>
      <c r="M55" s="5"/>
      <c r="N55" s="5"/>
      <c r="O55" s="5"/>
      <c r="P55" s="5"/>
      <c r="Q55" s="5"/>
      <c r="R55" s="5"/>
      <c r="S55" s="5"/>
    </row>
    <row r="56">
      <c r="A56" s="103">
        <v>44855</v>
      </c>
      <c r="B56" s="14"/>
      <c r="C56" s="14"/>
      <c r="D56" s="14"/>
      <c r="E56" s="14"/>
      <c r="F56" s="14"/>
      <c r="G56" s="14"/>
      <c r="H56" s="14"/>
      <c r="I56" s="14"/>
      <c r="J56" s="14"/>
      <c r="K56" s="14"/>
      <c r="L56" s="14"/>
      <c r="M56" s="14"/>
      <c r="N56" s="14"/>
      <c r="O56" s="14"/>
      <c r="P56" s="14"/>
      <c r="Q56" s="14"/>
      <c r="R56" s="14"/>
      <c r="S56" s="14"/>
    </row>
    <row r="57">
      <c r="A57" s="103">
        <v>44856</v>
      </c>
      <c r="B57" s="5"/>
      <c r="C57" s="5"/>
      <c r="D57" s="5"/>
      <c r="E57" s="5"/>
      <c r="F57" s="5"/>
      <c r="G57" s="5"/>
      <c r="H57" s="5"/>
      <c r="I57" s="5"/>
      <c r="J57" s="5"/>
      <c r="K57" s="5"/>
      <c r="L57" s="5"/>
      <c r="M57" s="5"/>
      <c r="N57" s="5"/>
      <c r="O57" s="5"/>
      <c r="P57" s="5"/>
      <c r="Q57" s="5"/>
      <c r="R57" s="5"/>
      <c r="S57" s="5"/>
    </row>
    <row r="58">
      <c r="A58" s="103">
        <v>44857</v>
      </c>
      <c r="B58" s="14"/>
      <c r="C58" s="14"/>
      <c r="D58" s="14"/>
      <c r="E58" s="14"/>
      <c r="F58" s="14"/>
      <c r="G58" s="14"/>
      <c r="H58" s="14"/>
      <c r="I58" s="14"/>
      <c r="J58" s="14"/>
      <c r="K58" s="14"/>
      <c r="L58" s="14"/>
      <c r="M58" s="14"/>
      <c r="N58" s="14"/>
      <c r="O58" s="14"/>
      <c r="P58" s="14"/>
      <c r="Q58" s="14"/>
      <c r="R58" s="14"/>
      <c r="S58" s="14"/>
    </row>
    <row r="59">
      <c r="A59" s="103">
        <v>44858</v>
      </c>
      <c r="B59" s="5"/>
      <c r="C59" s="5"/>
      <c r="D59" s="5"/>
      <c r="E59" s="5"/>
      <c r="F59" s="5"/>
      <c r="G59" s="5"/>
      <c r="H59" s="5"/>
      <c r="I59" s="5"/>
      <c r="J59" s="5"/>
      <c r="K59" s="5"/>
      <c r="L59" s="5"/>
      <c r="M59" s="5"/>
      <c r="N59" s="5"/>
      <c r="O59" s="5"/>
      <c r="P59" s="5"/>
      <c r="Q59" s="5"/>
      <c r="R59" s="5"/>
      <c r="S59" s="5"/>
    </row>
    <row r="60">
      <c r="A60" s="103">
        <v>44859</v>
      </c>
      <c r="B60" s="14"/>
      <c r="C60" s="14"/>
      <c r="D60" s="14"/>
      <c r="E60" s="14"/>
      <c r="F60" s="14"/>
      <c r="G60" s="14"/>
      <c r="H60" s="14"/>
      <c r="I60" s="14"/>
      <c r="J60" s="14"/>
      <c r="K60" s="14"/>
      <c r="L60" s="14"/>
      <c r="M60" s="14"/>
      <c r="N60" s="14"/>
      <c r="O60" s="14"/>
      <c r="P60" s="14"/>
      <c r="Q60" s="14"/>
      <c r="R60" s="14"/>
      <c r="S60" s="14"/>
    </row>
    <row r="61">
      <c r="A61" s="103">
        <v>44860</v>
      </c>
      <c r="B61" s="5"/>
      <c r="C61" s="5"/>
      <c r="D61" s="5"/>
      <c r="E61" s="5"/>
      <c r="F61" s="5"/>
      <c r="G61" s="5"/>
      <c r="H61" s="5"/>
      <c r="I61" s="5"/>
      <c r="J61" s="5"/>
      <c r="K61" s="5"/>
      <c r="L61" s="5"/>
      <c r="M61" s="5"/>
      <c r="N61" s="5"/>
      <c r="O61" s="5"/>
      <c r="P61" s="5"/>
      <c r="Q61" s="5"/>
      <c r="R61" s="5"/>
      <c r="S61" s="5"/>
    </row>
    <row r="62">
      <c r="A62" s="103">
        <v>44861</v>
      </c>
      <c r="B62" s="14">
        <v>25360.09</v>
      </c>
      <c r="C62" s="14"/>
      <c r="D62" s="14"/>
      <c r="E62" s="14"/>
      <c r="F62" s="14"/>
      <c r="G62" s="14"/>
      <c r="H62" s="14"/>
      <c r="I62" s="14"/>
      <c r="J62" s="14"/>
      <c r="K62" s="14"/>
      <c r="L62" s="14"/>
      <c r="M62" s="14"/>
      <c r="N62" s="14"/>
      <c r="O62" s="14"/>
      <c r="P62" s="14"/>
      <c r="Q62" s="14"/>
      <c r="R62" s="14"/>
      <c r="S62" s="14"/>
    </row>
    <row r="63">
      <c r="A63" s="103">
        <v>44862</v>
      </c>
      <c r="B63" s="5"/>
      <c r="C63" s="5"/>
      <c r="D63" s="5">
        <v>-2399</v>
      </c>
      <c r="E63" s="5"/>
      <c r="F63" s="5"/>
      <c r="G63" s="5"/>
      <c r="H63" s="5"/>
      <c r="I63" s="5"/>
      <c r="J63" s="5"/>
      <c r="K63" s="5"/>
      <c r="L63" s="5"/>
      <c r="M63" s="5"/>
      <c r="N63" s="5"/>
      <c r="O63" s="5"/>
      <c r="P63" s="5"/>
      <c r="Q63" s="5"/>
      <c r="R63" s="48"/>
      <c r="S63" s="5"/>
    </row>
    <row r="64">
      <c r="A64" s="103">
        <v>44863</v>
      </c>
      <c r="B64" s="22"/>
      <c r="C64" s="22"/>
      <c r="D64" s="22"/>
      <c r="E64" s="22"/>
      <c r="F64" s="22"/>
      <c r="G64" s="22"/>
      <c r="H64" s="22"/>
      <c r="I64" s="22"/>
      <c r="J64" s="14"/>
      <c r="K64" s="14"/>
      <c r="L64" s="14"/>
      <c r="M64" s="14"/>
      <c r="N64" s="14"/>
      <c r="O64" s="14"/>
      <c r="P64" s="14"/>
      <c r="Q64" s="14"/>
      <c r="R64" s="80"/>
      <c r="S64" s="14"/>
    </row>
    <row r="65">
      <c r="A65" s="103">
        <v>44864</v>
      </c>
      <c r="B65" s="5"/>
      <c r="C65" s="5"/>
      <c r="D65" s="5"/>
      <c r="E65" s="5"/>
      <c r="F65" s="5"/>
      <c r="G65" s="5"/>
      <c r="H65" s="5"/>
      <c r="I65" s="5"/>
      <c r="J65" s="5"/>
      <c r="K65" s="5"/>
      <c r="L65" s="5"/>
      <c r="M65" s="5"/>
      <c r="N65" s="5"/>
      <c r="O65" s="5"/>
      <c r="P65" s="5"/>
      <c r="Q65" s="5"/>
      <c r="R65" s="48"/>
      <c r="S65" s="5"/>
    </row>
    <row r="66">
      <c r="A66" s="103">
        <v>44865</v>
      </c>
      <c r="B66" s="22"/>
      <c r="C66" s="22"/>
      <c r="D66" s="22"/>
      <c r="E66" s="22"/>
      <c r="F66" s="22"/>
      <c r="G66" s="22"/>
      <c r="H66" s="22"/>
      <c r="I66" s="22"/>
      <c r="J66" s="14"/>
      <c r="K66" s="14"/>
      <c r="L66" s="14"/>
      <c r="M66" s="14"/>
      <c r="N66" s="14"/>
      <c r="O66" s="14"/>
      <c r="P66" s="14"/>
      <c r="Q66" s="14"/>
      <c r="R66" s="80"/>
      <c r="S66" s="14"/>
    </row>
    <row r="67">
      <c r="A67" s="74"/>
      <c r="B67" s="75">
        <f>SUM(B36:B66)</f>
        <v>49169.639999999999</v>
      </c>
      <c r="C67" s="75">
        <f>SUM(C36:C66)</f>
        <v>0</v>
      </c>
      <c r="D67" s="75">
        <f>SUM(D36:D66)</f>
        <v>-2399</v>
      </c>
      <c r="E67" s="75">
        <f>SUM(E36:E66)</f>
        <v>-3.0000000000000036</v>
      </c>
      <c r="F67" s="75">
        <f>SUM(F36:F66)</f>
        <v>0</v>
      </c>
      <c r="G67" s="75">
        <f>SUM(G36:G66)</f>
        <v>0</v>
      </c>
      <c r="H67" s="75">
        <f>SUM(H36:H66)</f>
        <v>0</v>
      </c>
      <c r="I67" s="75">
        <f>SUM(I36:I66)</f>
        <v>2204</v>
      </c>
      <c r="J67" s="75">
        <f>SUM(J36:J66)</f>
        <v>0</v>
      </c>
      <c r="K67" s="75">
        <f>SUM(K36:K66)</f>
        <v>0</v>
      </c>
      <c r="L67" s="75">
        <f>SUM(L36:L66)</f>
        <v>0</v>
      </c>
      <c r="M67" s="75">
        <f>SUM(M36:M66)</f>
        <v>0</v>
      </c>
      <c r="N67" s="75">
        <f>SUM(N36:N66)</f>
        <v>0</v>
      </c>
      <c r="O67" s="75">
        <f>SUM(O36:O66)</f>
        <v>0</v>
      </c>
      <c r="P67" s="75">
        <f>SUM(P36:P66)</f>
        <v>0</v>
      </c>
      <c r="Q67" s="75">
        <f>SUM(Q36:Q66)</f>
        <v>0</v>
      </c>
      <c r="R67" s="75">
        <f>SUM(R36:R66)</f>
        <v>0</v>
      </c>
      <c r="S67" s="75">
        <f>SUM(B67:R67)</f>
        <v>48971.639999999999</v>
      </c>
      <c r="T67" s="107" t="s">
        <v>90</v>
      </c>
    </row>
    <row r="68">
      <c r="A68" s="84"/>
      <c r="B68" s="84"/>
      <c r="C68" s="84"/>
      <c r="D68" s="84"/>
      <c r="E68" s="84"/>
      <c r="F68" s="84"/>
      <c r="G68" s="84"/>
      <c r="H68" s="84"/>
      <c r="I68" s="84"/>
      <c r="J68" s="84"/>
      <c r="K68" s="84"/>
      <c r="L68" s="84"/>
      <c r="M68" s="84"/>
      <c r="N68" s="84"/>
      <c r="O68" s="84"/>
      <c r="P68" s="84"/>
      <c r="Q68" s="84"/>
      <c r="R68" s="84"/>
      <c r="S68" s="84"/>
    </row>
    <row r="69">
      <c r="A69" s="26" t="s">
        <v>67</v>
      </c>
      <c r="B69" s="26"/>
      <c r="C69" s="26"/>
      <c r="D69" s="26"/>
      <c r="E69" s="26"/>
      <c r="F69" s="26"/>
      <c r="G69" s="26"/>
      <c r="H69" s="26"/>
      <c r="I69" s="26"/>
      <c r="J69" s="26"/>
      <c r="K69" s="26"/>
      <c r="L69" s="26"/>
      <c r="M69" s="26"/>
      <c r="N69" s="26"/>
      <c r="O69" s="26"/>
      <c r="P69" s="26"/>
      <c r="Q69" s="26"/>
      <c r="R69" s="26"/>
      <c r="S69" s="26"/>
    </row>
    <row r="70">
      <c r="A70" s="5" t="s">
        <v>68</v>
      </c>
      <c r="B70" s="71">
        <f>21000-344+2039+(23000-23000)-344-344+8164.1-4600-3300+(3000-3000)+80000+2000+(5500-5500)+(5650-5100)+1000+300+300+11814.99</f>
        <v>118236.09000000001</v>
      </c>
      <c r="C70" s="5"/>
      <c r="D70" s="5"/>
      <c r="E70" s="5"/>
      <c r="F70" s="5"/>
      <c r="G70" s="5"/>
      <c r="H70" s="5"/>
      <c r="I70" s="5"/>
      <c r="J70" s="5"/>
      <c r="K70" s="5"/>
      <c r="L70" s="5"/>
      <c r="M70" s="5"/>
      <c r="N70" s="5"/>
      <c r="O70" s="5"/>
      <c r="P70" s="5"/>
      <c r="Q70" s="5"/>
      <c r="R70" s="5"/>
      <c r="S70" s="5"/>
    </row>
    <row r="71">
      <c r="A71" s="5" t="s">
        <v>76</v>
      </c>
      <c r="B71" s="5">
        <f>3000+1000</f>
        <v>4000</v>
      </c>
      <c r="C71" s="5"/>
      <c r="D71" s="5"/>
      <c r="E71" s="5"/>
      <c r="F71" s="5"/>
      <c r="G71" s="5"/>
      <c r="H71" s="5"/>
      <c r="I71" s="5"/>
      <c r="J71" s="5"/>
      <c r="K71" s="5"/>
      <c r="L71" s="5"/>
      <c r="M71" s="5"/>
      <c r="N71" s="5"/>
      <c r="O71" s="5"/>
      <c r="P71" s="5"/>
      <c r="Q71" s="5"/>
      <c r="R71" s="5"/>
      <c r="S71" s="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A1" activeCellId="0" sqref="A1"/>
    </sheetView>
  </sheetViews>
  <sheetFormatPr defaultRowHeight="14.25"/>
  <cols>
    <col customWidth="1" min="1" max="1" width="12.42187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2" t="s">
        <v>86</v>
      </c>
    </row>
    <row r="2">
      <c r="A2" s="103">
        <v>44866</v>
      </c>
      <c r="B2" s="14">
        <v>100</v>
      </c>
      <c r="C2" s="14"/>
      <c r="D2" s="14"/>
      <c r="E2" s="14"/>
      <c r="F2" s="14"/>
      <c r="G2" s="14"/>
      <c r="H2" s="14"/>
      <c r="I2" s="14"/>
      <c r="J2" s="14"/>
      <c r="K2" s="14"/>
      <c r="L2" s="14"/>
      <c r="M2" s="14"/>
      <c r="N2" s="14"/>
      <c r="O2" s="14"/>
      <c r="P2" s="14"/>
      <c r="Q2" s="14"/>
      <c r="R2" s="14"/>
      <c r="S2" s="14"/>
    </row>
    <row r="3">
      <c r="A3" s="103">
        <v>44867</v>
      </c>
      <c r="B3" s="5">
        <v>100</v>
      </c>
      <c r="C3" s="5"/>
      <c r="D3" s="5"/>
      <c r="E3" s="5"/>
      <c r="F3" s="5"/>
      <c r="G3" s="5"/>
      <c r="H3" s="5"/>
      <c r="I3" s="5"/>
      <c r="J3" s="5"/>
      <c r="K3" s="5"/>
      <c r="L3" s="5"/>
      <c r="M3" s="5"/>
      <c r="N3" s="5"/>
      <c r="O3" s="5"/>
      <c r="P3" s="5"/>
      <c r="Q3" s="5"/>
      <c r="R3" s="5"/>
      <c r="S3" s="5"/>
    </row>
    <row r="4">
      <c r="A4" s="103">
        <v>44868</v>
      </c>
      <c r="B4" s="14">
        <v>100</v>
      </c>
      <c r="C4" s="14"/>
      <c r="D4" s="14">
        <v>1210</v>
      </c>
      <c r="E4" s="14"/>
      <c r="F4" s="14"/>
      <c r="G4" s="14"/>
      <c r="H4" s="14"/>
      <c r="I4" s="14"/>
      <c r="J4" s="14"/>
      <c r="K4" s="14"/>
      <c r="L4" s="14"/>
      <c r="M4" s="14"/>
      <c r="N4" s="14"/>
      <c r="O4" s="14"/>
      <c r="P4" s="14"/>
      <c r="Q4" s="14"/>
      <c r="R4" s="14"/>
      <c r="S4" s="14"/>
    </row>
    <row r="5">
      <c r="A5" s="103">
        <v>44869</v>
      </c>
      <c r="B5" s="5">
        <v>100</v>
      </c>
      <c r="C5" s="5"/>
      <c r="D5" s="5"/>
      <c r="E5" s="5"/>
      <c r="F5" s="5"/>
      <c r="G5" s="5"/>
      <c r="H5" s="5"/>
      <c r="I5" s="5"/>
      <c r="J5" s="5"/>
      <c r="K5" s="5"/>
      <c r="L5" s="5"/>
      <c r="M5" s="5"/>
      <c r="N5" s="5"/>
      <c r="O5" s="5"/>
      <c r="P5" s="5"/>
      <c r="Q5" s="5"/>
      <c r="R5" s="5"/>
      <c r="S5" s="5"/>
    </row>
    <row r="6">
      <c r="A6" s="103">
        <v>44870</v>
      </c>
      <c r="B6" s="14"/>
      <c r="C6" s="14"/>
      <c r="D6" s="14"/>
      <c r="E6" s="14"/>
      <c r="F6" s="14"/>
      <c r="G6" s="14"/>
      <c r="H6" s="14"/>
      <c r="I6" s="14"/>
      <c r="J6" s="14"/>
      <c r="K6" s="14"/>
      <c r="L6" s="14"/>
      <c r="M6" s="14"/>
      <c r="N6" s="14"/>
      <c r="O6" s="14"/>
      <c r="P6" s="14"/>
      <c r="Q6" s="14"/>
      <c r="R6" s="14"/>
      <c r="S6" s="14"/>
    </row>
    <row r="7">
      <c r="A7" s="103">
        <v>44871</v>
      </c>
      <c r="B7" s="5"/>
      <c r="C7" s="5"/>
      <c r="D7" s="5"/>
      <c r="E7" s="5"/>
      <c r="F7" s="5"/>
      <c r="G7" s="5"/>
      <c r="H7" s="5"/>
      <c r="I7" s="5"/>
      <c r="J7" s="5"/>
      <c r="K7" s="5"/>
      <c r="L7" s="5"/>
      <c r="M7" s="5"/>
      <c r="N7" s="5"/>
      <c r="O7" s="5"/>
      <c r="P7" s="5"/>
      <c r="Q7" s="5">
        <v>5000</v>
      </c>
      <c r="R7" s="5"/>
      <c r="S7" s="5"/>
    </row>
    <row r="8">
      <c r="A8" s="103">
        <v>44872</v>
      </c>
      <c r="B8" s="14"/>
      <c r="C8" s="14"/>
      <c r="D8" s="14">
        <v>1200</v>
      </c>
      <c r="E8" s="14"/>
      <c r="F8" s="14">
        <f>1300*'Сводная таблица'!B67</f>
        <v>5694</v>
      </c>
      <c r="G8" s="14"/>
      <c r="H8" s="14"/>
      <c r="I8" s="14"/>
      <c r="J8" s="14"/>
      <c r="K8" s="14"/>
      <c r="L8" s="14"/>
      <c r="M8" s="14"/>
      <c r="N8" s="14"/>
      <c r="O8" s="14"/>
      <c r="P8" s="14"/>
      <c r="Q8" s="14"/>
      <c r="R8" s="14"/>
      <c r="S8" s="14"/>
    </row>
    <row r="9">
      <c r="A9" s="103">
        <v>44873</v>
      </c>
      <c r="B9" s="5">
        <v>100</v>
      </c>
      <c r="C9" s="5">
        <v>930</v>
      </c>
      <c r="D9" s="5">
        <v>840</v>
      </c>
      <c r="E9" s="5"/>
      <c r="F9" s="5"/>
      <c r="G9" s="5"/>
      <c r="H9" s="5"/>
      <c r="I9" s="5"/>
      <c r="J9" s="5"/>
      <c r="K9" s="5"/>
      <c r="L9" s="5">
        <f>75000+5000</f>
        <v>80000</v>
      </c>
      <c r="M9" s="5"/>
      <c r="N9" s="5"/>
      <c r="O9" s="5"/>
      <c r="P9" s="5"/>
      <c r="Q9" s="5"/>
      <c r="R9" s="5"/>
      <c r="S9" s="5"/>
    </row>
    <row r="10">
      <c r="A10" s="103">
        <v>44874</v>
      </c>
      <c r="B10" s="14">
        <v>100</v>
      </c>
      <c r="C10" s="14">
        <v>600</v>
      </c>
      <c r="D10" s="14">
        <v>1400</v>
      </c>
      <c r="E10" s="14"/>
      <c r="F10" s="14"/>
      <c r="G10" s="14"/>
      <c r="H10" s="14"/>
      <c r="I10" s="14"/>
      <c r="J10" s="14">
        <f>3230-600</f>
        <v>2630</v>
      </c>
      <c r="K10" s="14"/>
      <c r="L10" s="14"/>
      <c r="M10" s="14">
        <f>140*'Сводная таблица'!B67</f>
        <v>613.19999999999993</v>
      </c>
      <c r="N10" s="14"/>
      <c r="O10" s="14"/>
      <c r="P10" s="14"/>
      <c r="Q10" s="14"/>
      <c r="R10" s="14"/>
      <c r="S10" s="14"/>
    </row>
    <row r="11">
      <c r="A11" s="103">
        <v>44875</v>
      </c>
      <c r="B11" s="5">
        <v>100</v>
      </c>
      <c r="C11" s="5"/>
      <c r="D11" s="5">
        <v>1750</v>
      </c>
      <c r="E11" s="5"/>
      <c r="F11" s="5"/>
      <c r="G11" s="5"/>
      <c r="H11" s="5"/>
      <c r="I11" s="5"/>
      <c r="J11" s="5"/>
      <c r="K11" s="5"/>
      <c r="L11" s="5"/>
      <c r="M11" s="5"/>
      <c r="N11" s="5"/>
      <c r="O11" s="5"/>
      <c r="P11" s="5"/>
      <c r="Q11" s="5"/>
      <c r="R11" s="5"/>
      <c r="S11" s="5"/>
    </row>
    <row r="12">
      <c r="A12" s="103">
        <v>44876</v>
      </c>
      <c r="B12" s="14">
        <v>200</v>
      </c>
      <c r="C12" s="14"/>
      <c r="D12" s="14">
        <v>1600</v>
      </c>
      <c r="E12" s="14">
        <v>12000</v>
      </c>
      <c r="F12" s="14"/>
      <c r="G12" s="14"/>
      <c r="H12" s="14"/>
      <c r="I12" s="14"/>
      <c r="J12" s="14"/>
      <c r="K12" s="14"/>
      <c r="L12" s="14"/>
      <c r="M12" s="14"/>
      <c r="N12" s="14"/>
      <c r="O12" s="14"/>
      <c r="P12" s="14"/>
      <c r="Q12" s="14"/>
      <c r="R12" s="14"/>
      <c r="S12" s="14"/>
    </row>
    <row r="13">
      <c r="A13" s="103">
        <v>44877</v>
      </c>
      <c r="B13" s="5"/>
      <c r="C13" s="5"/>
      <c r="D13" s="5"/>
      <c r="E13" s="5"/>
      <c r="F13" s="5"/>
      <c r="G13" s="5"/>
      <c r="H13" s="5"/>
      <c r="I13" s="5"/>
      <c r="J13" s="5"/>
      <c r="K13" s="5"/>
      <c r="L13" s="5"/>
      <c r="M13" s="5">
        <f>8700+3690+2900</f>
        <v>15290</v>
      </c>
      <c r="N13" s="5"/>
      <c r="O13" s="5"/>
      <c r="P13" s="5"/>
      <c r="Q13" s="5"/>
      <c r="R13" s="5"/>
      <c r="S13" s="5"/>
    </row>
    <row r="14">
      <c r="A14" s="103">
        <v>44878</v>
      </c>
      <c r="B14" s="14">
        <f>1000+700</f>
        <v>1700</v>
      </c>
      <c r="C14" s="14"/>
      <c r="D14" s="14"/>
      <c r="E14" s="14"/>
      <c r="F14" s="14"/>
      <c r="G14" s="14"/>
      <c r="H14" s="14"/>
      <c r="I14" s="14"/>
      <c r="J14" s="14"/>
      <c r="K14" s="14"/>
      <c r="L14" s="14"/>
      <c r="M14" s="14">
        <f>1399*'Сводная таблица'!B67</f>
        <v>6127.6199999999999</v>
      </c>
      <c r="N14" s="14"/>
      <c r="O14" s="14"/>
      <c r="P14" s="14"/>
      <c r="Q14" s="14"/>
      <c r="R14" s="14"/>
      <c r="S14" s="14"/>
    </row>
    <row r="15">
      <c r="A15" s="103">
        <v>44879</v>
      </c>
      <c r="B15" s="5">
        <v>200</v>
      </c>
      <c r="C15" s="5"/>
      <c r="D15" s="5">
        <v>1600</v>
      </c>
      <c r="E15" s="5"/>
      <c r="F15" s="5"/>
      <c r="G15" s="5"/>
      <c r="H15" s="5"/>
      <c r="I15" s="5"/>
      <c r="J15" s="5"/>
      <c r="K15" s="5"/>
      <c r="L15" s="5"/>
      <c r="M15" s="5"/>
      <c r="N15" s="5"/>
      <c r="O15" s="5"/>
      <c r="P15" s="5"/>
      <c r="Q15" s="5"/>
      <c r="R15" s="5"/>
      <c r="S15" s="5"/>
    </row>
    <row r="16">
      <c r="A16" s="103">
        <v>44880</v>
      </c>
      <c r="B16" s="14">
        <v>200</v>
      </c>
      <c r="C16" s="97"/>
      <c r="D16" s="14"/>
      <c r="E16" s="14"/>
      <c r="F16" s="14">
        <f>10000*'Сводная таблица'!B67</f>
        <v>43800</v>
      </c>
      <c r="G16" s="14"/>
      <c r="H16" s="14"/>
      <c r="I16" s="14"/>
      <c r="J16" s="14"/>
      <c r="K16" s="14"/>
      <c r="L16" s="14"/>
      <c r="M16" s="14"/>
      <c r="N16" s="14"/>
      <c r="O16" s="14"/>
      <c r="P16" s="14"/>
      <c r="Q16" s="14"/>
      <c r="R16" s="14"/>
      <c r="S16" s="14"/>
    </row>
    <row r="17">
      <c r="A17" s="103">
        <v>44881</v>
      </c>
      <c r="B17" s="5">
        <v>100</v>
      </c>
      <c r="C17" s="6"/>
      <c r="D17" s="5"/>
      <c r="E17" s="5"/>
      <c r="F17" s="5"/>
      <c r="G17" s="5"/>
      <c r="H17" s="5"/>
      <c r="I17" s="5"/>
      <c r="J17" s="5"/>
      <c r="K17" s="5"/>
      <c r="L17" s="5"/>
      <c r="M17" s="5"/>
      <c r="N17" s="5"/>
      <c r="O17" s="5"/>
      <c r="P17" s="5"/>
      <c r="Q17" s="5"/>
      <c r="R17" s="5"/>
      <c r="S17" s="5"/>
    </row>
    <row r="18">
      <c r="A18" s="103">
        <v>44882</v>
      </c>
      <c r="B18" s="14">
        <v>100</v>
      </c>
      <c r="C18" s="14"/>
      <c r="D18" s="14">
        <v>1580</v>
      </c>
      <c r="E18" s="14"/>
      <c r="F18" s="14"/>
      <c r="G18" s="14"/>
      <c r="H18" s="14"/>
      <c r="I18" s="14"/>
      <c r="J18" s="14"/>
      <c r="K18" s="14"/>
      <c r="L18" s="14"/>
      <c r="M18" s="14"/>
      <c r="N18" s="14"/>
      <c r="O18" s="14"/>
      <c r="P18" s="14"/>
      <c r="Q18" s="14"/>
      <c r="R18" s="14"/>
      <c r="S18" s="14"/>
    </row>
    <row r="19">
      <c r="A19" s="103">
        <v>44883</v>
      </c>
      <c r="B19" s="5">
        <v>100</v>
      </c>
      <c r="C19" s="5"/>
      <c r="D19" s="5"/>
      <c r="E19" s="5"/>
      <c r="F19" s="5"/>
      <c r="G19" s="5"/>
      <c r="H19" s="5"/>
      <c r="I19" s="5"/>
      <c r="J19" s="5"/>
      <c r="K19" s="5"/>
      <c r="L19" s="5"/>
      <c r="M19" s="5"/>
      <c r="N19" s="5"/>
      <c r="O19" s="5"/>
      <c r="P19" s="5"/>
      <c r="Q19" s="5"/>
      <c r="R19" s="6"/>
      <c r="S19" s="5"/>
    </row>
    <row r="20">
      <c r="A20" s="103">
        <v>44884</v>
      </c>
      <c r="B20" s="14">
        <v>0</v>
      </c>
      <c r="C20" s="14"/>
      <c r="D20" s="14">
        <v>0</v>
      </c>
      <c r="E20" s="14"/>
      <c r="F20" s="14"/>
      <c r="G20" s="14"/>
      <c r="H20" s="14"/>
      <c r="I20" s="14"/>
      <c r="J20" s="14"/>
      <c r="K20" s="14"/>
      <c r="L20" s="14"/>
      <c r="M20" s="14"/>
      <c r="N20" s="14"/>
      <c r="O20" s="14"/>
      <c r="P20" s="34"/>
      <c r="Q20" s="14"/>
      <c r="R20" s="14"/>
      <c r="S20" s="14"/>
    </row>
    <row r="21">
      <c r="A21" s="103">
        <v>44885</v>
      </c>
      <c r="B21" s="69"/>
      <c r="C21" s="6"/>
      <c r="D21" s="5">
        <v>3040</v>
      </c>
      <c r="E21" s="5"/>
      <c r="F21" s="5"/>
      <c r="G21" s="5"/>
      <c r="H21" s="5"/>
      <c r="I21" s="5"/>
      <c r="J21" s="5"/>
      <c r="K21" s="5"/>
      <c r="L21" s="5"/>
      <c r="M21" s="5"/>
      <c r="N21" s="5"/>
      <c r="O21" s="5"/>
      <c r="P21" s="5"/>
      <c r="Q21" s="5"/>
      <c r="R21" s="5"/>
      <c r="S21" s="5"/>
    </row>
    <row r="22">
      <c r="A22" s="103">
        <v>44886</v>
      </c>
      <c r="B22" s="22"/>
      <c r="C22" s="14"/>
      <c r="D22" s="14">
        <v>1580</v>
      </c>
      <c r="E22" s="14"/>
      <c r="F22" s="14"/>
      <c r="G22" s="14"/>
      <c r="H22" s="14"/>
      <c r="I22" s="14"/>
      <c r="J22" s="14"/>
      <c r="K22" s="14"/>
      <c r="L22" s="14"/>
      <c r="M22" s="14"/>
      <c r="N22" s="14"/>
      <c r="O22" s="14"/>
      <c r="P22" s="14"/>
      <c r="Q22" s="14"/>
      <c r="R22" s="14"/>
      <c r="S22" s="14"/>
    </row>
    <row r="23">
      <c r="A23" s="103">
        <v>44887</v>
      </c>
      <c r="B23" s="5">
        <v>0</v>
      </c>
      <c r="C23" s="5"/>
      <c r="D23" s="5">
        <v>0</v>
      </c>
      <c r="E23" s="5"/>
      <c r="F23" s="5"/>
      <c r="G23" s="5"/>
      <c r="H23" s="5"/>
      <c r="I23" s="5"/>
      <c r="J23" s="5"/>
      <c r="K23" s="5"/>
      <c r="L23" s="5"/>
      <c r="M23" s="5"/>
      <c r="N23" s="5"/>
      <c r="O23" s="5"/>
      <c r="P23" s="5"/>
      <c r="Q23" s="5"/>
      <c r="R23" s="5"/>
      <c r="S23" s="5"/>
    </row>
    <row r="24">
      <c r="A24" s="103">
        <v>44888</v>
      </c>
      <c r="B24" s="14">
        <v>200</v>
      </c>
      <c r="C24" s="14"/>
      <c r="D24" s="14"/>
      <c r="E24" s="14"/>
      <c r="F24" s="14"/>
      <c r="G24" s="14"/>
      <c r="H24" s="14"/>
      <c r="I24" s="14">
        <f>2290+8990</f>
        <v>11280</v>
      </c>
      <c r="J24" s="14">
        <v>2890</v>
      </c>
      <c r="K24" s="14"/>
      <c r="L24" s="14"/>
      <c r="M24" s="14"/>
      <c r="N24" s="14"/>
      <c r="O24" s="14"/>
      <c r="P24" s="14"/>
      <c r="Q24" s="14"/>
      <c r="R24" s="14"/>
      <c r="S24" s="14"/>
    </row>
    <row r="25">
      <c r="A25" s="103">
        <v>44889</v>
      </c>
      <c r="B25" s="28">
        <v>200</v>
      </c>
      <c r="C25" s="5"/>
      <c r="D25" s="5">
        <v>3040</v>
      </c>
      <c r="E25" s="5"/>
      <c r="F25" s="5"/>
      <c r="G25" s="5"/>
      <c r="H25" s="5"/>
      <c r="I25" s="5"/>
      <c r="J25" s="5"/>
      <c r="K25" s="5"/>
      <c r="L25" s="5"/>
      <c r="M25" s="5"/>
      <c r="N25" s="5"/>
      <c r="O25" s="5"/>
      <c r="P25" s="5"/>
      <c r="Q25" s="5"/>
      <c r="R25" s="5"/>
      <c r="S25" s="5"/>
    </row>
    <row r="26">
      <c r="A26" s="103">
        <v>44890</v>
      </c>
      <c r="B26" s="14">
        <f>100+(17589+2237)*'Сводная таблица'!B67</f>
        <v>86937.880000000005</v>
      </c>
      <c r="C26" s="14"/>
      <c r="D26" s="14"/>
      <c r="E26" s="14"/>
      <c r="F26" s="14"/>
      <c r="G26" s="14"/>
      <c r="H26" s="14"/>
      <c r="I26" s="14"/>
      <c r="J26" s="14"/>
      <c r="K26" s="14"/>
      <c r="L26" s="14"/>
      <c r="M26" s="14"/>
      <c r="N26" s="14"/>
      <c r="O26" s="14"/>
      <c r="P26" s="14"/>
      <c r="Q26" s="14"/>
      <c r="R26" s="14"/>
      <c r="S26" s="14"/>
    </row>
    <row r="27">
      <c r="A27" s="103">
        <v>44891</v>
      </c>
      <c r="B27" s="5">
        <v>200</v>
      </c>
      <c r="C27" s="6"/>
      <c r="D27" s="5"/>
      <c r="E27" s="5"/>
      <c r="F27" s="5"/>
      <c r="G27" s="5">
        <f>(59+96.17)*'Сводная таблица'!B67</f>
        <v>679.64460000000008</v>
      </c>
      <c r="H27" s="5"/>
      <c r="I27" s="5"/>
      <c r="J27" s="5"/>
      <c r="K27" s="5"/>
      <c r="L27" s="5"/>
      <c r="M27" s="5"/>
      <c r="N27" s="5"/>
      <c r="O27" s="5"/>
      <c r="P27" s="5"/>
      <c r="Q27" s="5"/>
      <c r="R27" s="5"/>
      <c r="S27" s="5"/>
    </row>
    <row r="28">
      <c r="A28" s="103">
        <v>44892</v>
      </c>
      <c r="B28" s="14"/>
      <c r="C28" s="14"/>
      <c r="D28" s="14"/>
      <c r="E28" s="14"/>
      <c r="F28" s="14"/>
      <c r="G28" s="14"/>
      <c r="H28" s="14"/>
      <c r="I28" s="14"/>
      <c r="J28" s="14"/>
      <c r="K28" s="14"/>
      <c r="L28" s="14"/>
      <c r="M28" s="14"/>
      <c r="N28" s="14"/>
      <c r="O28" s="14"/>
      <c r="P28" s="14"/>
      <c r="Q28" s="14"/>
      <c r="R28" s="14"/>
      <c r="S28" s="14"/>
    </row>
    <row r="29">
      <c r="A29" s="103">
        <v>44893</v>
      </c>
      <c r="B29" s="5">
        <v>200</v>
      </c>
      <c r="C29" s="5"/>
      <c r="D29" s="5"/>
      <c r="E29" s="5"/>
      <c r="F29" s="5"/>
      <c r="G29" s="5"/>
      <c r="H29" s="5"/>
      <c r="I29" s="5"/>
      <c r="J29" s="5"/>
      <c r="K29" s="5"/>
      <c r="L29" s="5"/>
      <c r="M29" s="5"/>
      <c r="N29" s="5">
        <v>4500</v>
      </c>
      <c r="O29" s="5"/>
      <c r="P29" s="5">
        <v>5000</v>
      </c>
      <c r="Q29" s="5"/>
      <c r="R29" s="5"/>
      <c r="S29" s="5"/>
    </row>
    <row r="30">
      <c r="A30" s="103">
        <v>44894</v>
      </c>
      <c r="B30" s="22">
        <v>200</v>
      </c>
      <c r="C30" s="22"/>
      <c r="D30" s="22">
        <v>720</v>
      </c>
      <c r="E30" s="22"/>
      <c r="F30" s="22"/>
      <c r="G30" s="22"/>
      <c r="H30" s="22"/>
      <c r="I30" s="22"/>
      <c r="J30" s="22"/>
      <c r="K30" s="22"/>
      <c r="L30" s="22"/>
      <c r="M30" s="22"/>
      <c r="N30" s="22"/>
      <c r="O30" s="22"/>
      <c r="P30" s="22"/>
      <c r="Q30" s="22"/>
      <c r="R30" s="22"/>
      <c r="S30" s="22"/>
    </row>
    <row r="31">
      <c r="A31" s="103">
        <v>44895</v>
      </c>
      <c r="B31" s="5">
        <v>200</v>
      </c>
      <c r="C31" s="5"/>
      <c r="D31" s="5"/>
      <c r="E31" s="5"/>
      <c r="F31" s="5"/>
      <c r="G31" s="5"/>
      <c r="H31" s="5"/>
      <c r="I31" s="5"/>
      <c r="J31" s="5"/>
      <c r="K31" s="5"/>
      <c r="L31" s="5"/>
      <c r="M31" s="5"/>
      <c r="N31" s="5"/>
      <c r="O31" s="5"/>
      <c r="P31" s="5"/>
      <c r="Q31" s="5"/>
      <c r="R31" s="5"/>
      <c r="S31" s="5"/>
    </row>
    <row r="32">
      <c r="A32" s="103"/>
      <c r="B32" s="22"/>
      <c r="C32" s="22">
        <v>60000</v>
      </c>
      <c r="D32" s="22"/>
      <c r="E32" s="22"/>
      <c r="F32" s="22"/>
      <c r="G32" s="22"/>
      <c r="H32" s="22"/>
      <c r="I32" s="22"/>
      <c r="J32" s="22"/>
      <c r="K32" s="22"/>
      <c r="L32" s="22"/>
      <c r="M32" s="22"/>
      <c r="N32" s="22"/>
      <c r="O32" s="22"/>
      <c r="P32" s="22"/>
      <c r="Q32" s="22"/>
      <c r="R32" s="22"/>
      <c r="S32" s="22"/>
    </row>
    <row r="33">
      <c r="A33" s="113" t="s">
        <v>87</v>
      </c>
      <c r="B33" s="75">
        <f>SUM(B2:B32)</f>
        <v>91437.880000000005</v>
      </c>
      <c r="C33" s="75">
        <f>SUM(C2:C32)</f>
        <v>61530</v>
      </c>
      <c r="D33" s="75">
        <f>SUM(D2:D32)</f>
        <v>19560</v>
      </c>
      <c r="E33" s="75">
        <f>SUM(E2:E32)</f>
        <v>12000</v>
      </c>
      <c r="F33" s="75">
        <f>SUM(F2:F32)</f>
        <v>49494</v>
      </c>
      <c r="G33" s="114">
        <f>SUM(G2:G32)</f>
        <v>679.64460000000008</v>
      </c>
      <c r="H33" s="75">
        <f>SUM(H2:H32)</f>
        <v>0</v>
      </c>
      <c r="I33" s="75">
        <f>SUM(I2:I32)</f>
        <v>11280</v>
      </c>
      <c r="J33" s="75">
        <f>SUM(J2:J32)</f>
        <v>5520</v>
      </c>
      <c r="K33" s="75">
        <f>SUM(K2:K32)</f>
        <v>0</v>
      </c>
      <c r="L33" s="75">
        <f>SUM(L2:L32)</f>
        <v>80000</v>
      </c>
      <c r="M33" s="114">
        <f>SUM(M2:M32)</f>
        <v>22030.82</v>
      </c>
      <c r="N33" s="75">
        <f>SUM(N2:N32)</f>
        <v>4500</v>
      </c>
      <c r="O33" s="75">
        <f>SUM(O2:O32)</f>
        <v>0</v>
      </c>
      <c r="P33" s="75">
        <f>SUM(P2:P32)</f>
        <v>5000</v>
      </c>
      <c r="Q33" s="75">
        <f>SUM(Q2:Q32)</f>
        <v>5000</v>
      </c>
      <c r="R33" s="75">
        <f>SUM(R2:R32)</f>
        <v>0</v>
      </c>
      <c r="S33" s="114">
        <f>SUM(B33:R33)+SUM(S2:S32)</f>
        <v>368032.34460000001</v>
      </c>
      <c r="T33" s="107" t="s">
        <v>88</v>
      </c>
    </row>
    <row r="34">
      <c r="A34" s="108" t="s">
        <v>89</v>
      </c>
      <c r="B34" s="109">
        <f>B33/'Сводная таблица'!B67</f>
        <v>20876.228310502283</v>
      </c>
      <c r="C34" s="109">
        <f>C33/'Сводная таблица'!B67</f>
        <v>14047.945205479453</v>
      </c>
      <c r="D34" s="109">
        <f>D33/'Сводная таблица'!B67</f>
        <v>4465.7534246575342</v>
      </c>
      <c r="E34" s="109">
        <f>E33/'Сводная таблица'!B67</f>
        <v>2739.7260273972602</v>
      </c>
      <c r="F34" s="110">
        <f>F33/'Сводная таблица'!B67</f>
        <v>11300</v>
      </c>
      <c r="G34" s="109">
        <f>G33/'Сводная таблица'!B67</f>
        <v>155.17000000000002</v>
      </c>
      <c r="H34" s="110">
        <f>H33/'Сводная таблица'!B67</f>
        <v>0</v>
      </c>
      <c r="I34" s="109">
        <f>I33/'Сводная таблица'!B67</f>
        <v>2575.3424657534247</v>
      </c>
      <c r="J34" s="109">
        <f>J33/'Сводная таблица'!B67</f>
        <v>1260.2739726027398</v>
      </c>
      <c r="K34" s="110">
        <f>K33/'Сводная таблица'!B67</f>
        <v>0</v>
      </c>
      <c r="L34" s="109">
        <f>L33/'Сводная таблица'!B67</f>
        <v>18264.840182648401</v>
      </c>
      <c r="M34" s="110">
        <f>M33/'Сводная таблица'!B67</f>
        <v>5029.8675799086759</v>
      </c>
      <c r="N34" s="109">
        <f>N33/'Сводная таблица'!B67</f>
        <v>1027.3972602739727</v>
      </c>
      <c r="O34" s="110">
        <f>O33/'Сводная таблица'!B67</f>
        <v>0</v>
      </c>
      <c r="P34" s="109">
        <f>P33/'Сводная таблица'!B67</f>
        <v>1141.552511415525</v>
      </c>
      <c r="Q34" s="109">
        <f>Q33/'Сводная таблица'!B67</f>
        <v>1141.552511415525</v>
      </c>
      <c r="R34" s="110">
        <f>R33/'Сводная таблица'!B67</f>
        <v>0</v>
      </c>
      <c r="S34" s="109">
        <f>S33/'Сводная таблица'!B67</f>
        <v>84025.6494520548</v>
      </c>
      <c r="T34" s="107" t="s">
        <v>90</v>
      </c>
    </row>
    <row r="35" ht="29.25" customHeight="1">
      <c r="A35" s="111" t="s">
        <v>0</v>
      </c>
      <c r="B35" s="111" t="s">
        <v>50</v>
      </c>
      <c r="C35" s="111" t="s">
        <v>13</v>
      </c>
      <c r="D35" s="111" t="s">
        <v>11</v>
      </c>
      <c r="E35" s="111" t="s">
        <v>51</v>
      </c>
      <c r="F35" s="111" t="s">
        <v>52</v>
      </c>
      <c r="G35" s="111" t="s">
        <v>53</v>
      </c>
      <c r="H35" s="111" t="s">
        <v>54</v>
      </c>
      <c r="I35" s="111" t="s">
        <v>55</v>
      </c>
      <c r="J35" s="111" t="s">
        <v>61</v>
      </c>
      <c r="K35" s="111" t="s">
        <v>74</v>
      </c>
      <c r="L35" s="112"/>
      <c r="M35" s="112"/>
      <c r="N35" s="112"/>
      <c r="O35" s="112"/>
      <c r="P35" s="112"/>
      <c r="Q35" s="112"/>
      <c r="R35" s="112"/>
      <c r="S35" s="112"/>
    </row>
    <row r="36">
      <c r="A36" s="103">
        <v>44866</v>
      </c>
      <c r="B36" s="14"/>
      <c r="C36" s="14"/>
      <c r="D36" s="14"/>
      <c r="E36" s="14"/>
      <c r="F36" s="14"/>
      <c r="G36" s="14"/>
      <c r="H36" s="14"/>
      <c r="I36" s="14"/>
      <c r="J36" s="22"/>
      <c r="K36" s="22"/>
      <c r="L36" s="22"/>
      <c r="M36" s="22"/>
      <c r="N36" s="22"/>
      <c r="O36" s="22"/>
      <c r="P36" s="22"/>
      <c r="Q36" s="22"/>
      <c r="R36" s="22"/>
      <c r="S36" s="22"/>
    </row>
    <row r="37">
      <c r="A37" s="103">
        <v>44867</v>
      </c>
      <c r="B37" s="5"/>
      <c r="C37" s="5"/>
      <c r="D37" s="5"/>
      <c r="E37" s="5"/>
      <c r="F37" s="5"/>
      <c r="G37" s="5"/>
      <c r="H37" s="5"/>
      <c r="I37" s="5"/>
      <c r="J37" s="5"/>
      <c r="K37" s="5"/>
      <c r="L37" s="5"/>
      <c r="M37" s="5"/>
      <c r="N37" s="5"/>
      <c r="O37" s="5"/>
      <c r="P37" s="5"/>
      <c r="Q37" s="5"/>
      <c r="R37" s="5"/>
      <c r="S37" s="5"/>
    </row>
    <row r="38">
      <c r="A38" s="103">
        <v>44868</v>
      </c>
      <c r="B38" s="14">
        <v>428572</v>
      </c>
      <c r="C38" s="14"/>
      <c r="D38" s="14"/>
      <c r="E38" s="14"/>
      <c r="F38" s="14"/>
      <c r="G38" s="14"/>
      <c r="H38" s="14"/>
      <c r="I38" s="14"/>
      <c r="J38" s="22"/>
      <c r="K38" s="22"/>
      <c r="L38" s="22"/>
      <c r="M38" s="22"/>
      <c r="N38" s="22"/>
      <c r="O38" s="22"/>
      <c r="P38" s="22"/>
      <c r="Q38" s="22"/>
      <c r="R38" s="22"/>
      <c r="S38" s="22"/>
    </row>
    <row r="39">
      <c r="A39" s="103">
        <v>44869</v>
      </c>
      <c r="B39" s="5">
        <v>166667</v>
      </c>
      <c r="C39" s="5"/>
      <c r="D39" s="5"/>
      <c r="E39" s="71"/>
      <c r="F39" s="5"/>
      <c r="G39" s="5"/>
      <c r="H39" s="5"/>
      <c r="I39" s="5"/>
      <c r="J39" s="5"/>
      <c r="K39" s="5"/>
      <c r="L39" s="5"/>
      <c r="M39" s="5"/>
      <c r="N39" s="5"/>
      <c r="O39" s="5"/>
      <c r="P39" s="5"/>
      <c r="Q39" s="5"/>
      <c r="R39" s="5"/>
      <c r="S39" s="5"/>
    </row>
    <row r="40">
      <c r="A40" s="103">
        <v>44870</v>
      </c>
      <c r="B40" s="14"/>
      <c r="C40" s="14"/>
      <c r="D40" s="14"/>
      <c r="E40" s="14"/>
      <c r="F40" s="14"/>
      <c r="G40" s="14"/>
      <c r="H40" s="14"/>
      <c r="I40" s="14"/>
      <c r="J40" s="14"/>
      <c r="K40" s="14"/>
      <c r="L40" s="14"/>
      <c r="M40" s="14"/>
      <c r="N40" s="14"/>
      <c r="O40" s="14"/>
      <c r="P40" s="14"/>
      <c r="Q40" s="14"/>
      <c r="R40" s="14"/>
      <c r="S40" s="14"/>
    </row>
    <row r="41">
      <c r="A41" s="103">
        <v>44871</v>
      </c>
      <c r="B41" s="5"/>
      <c r="C41" s="5"/>
      <c r="D41" s="5"/>
      <c r="E41" s="5">
        <f>106.8*'Сводная таблица'!B67</f>
        <v>467.78399999999999</v>
      </c>
      <c r="F41" s="5"/>
      <c r="G41" s="5"/>
      <c r="H41" s="5"/>
      <c r="I41" s="5"/>
      <c r="J41" s="5"/>
      <c r="K41" s="5"/>
      <c r="L41" s="5"/>
      <c r="M41" s="5"/>
      <c r="N41" s="5"/>
      <c r="O41" s="5"/>
      <c r="P41" s="5"/>
      <c r="Q41" s="5"/>
      <c r="R41" s="5"/>
      <c r="S41" s="5"/>
    </row>
    <row r="42">
      <c r="A42" s="103">
        <v>44872</v>
      </c>
      <c r="B42" s="14"/>
      <c r="C42" s="14"/>
      <c r="D42" s="14"/>
      <c r="E42" s="14"/>
      <c r="F42" s="14"/>
      <c r="G42" s="14"/>
      <c r="H42" s="14"/>
      <c r="I42" s="14"/>
      <c r="J42" s="14"/>
      <c r="K42" s="14"/>
      <c r="L42" s="14"/>
      <c r="M42" s="14"/>
      <c r="N42" s="14"/>
      <c r="O42" s="14"/>
      <c r="P42" s="14"/>
      <c r="Q42" s="14"/>
      <c r="R42" s="14"/>
      <c r="S42" s="14"/>
    </row>
    <row r="43">
      <c r="A43" s="103">
        <v>44873</v>
      </c>
      <c r="B43" s="5"/>
      <c r="C43" s="5"/>
      <c r="D43" s="5"/>
      <c r="E43" s="5"/>
      <c r="F43" s="5"/>
      <c r="G43" s="5"/>
      <c r="H43" s="5"/>
      <c r="I43" s="5"/>
      <c r="J43" s="5"/>
      <c r="K43" s="5"/>
      <c r="L43" s="5"/>
      <c r="M43" s="5"/>
      <c r="N43" s="5"/>
      <c r="O43" s="5"/>
      <c r="P43" s="5"/>
      <c r="Q43" s="5"/>
      <c r="R43" s="5"/>
      <c r="S43" s="5"/>
    </row>
    <row r="44">
      <c r="A44" s="103">
        <v>44874</v>
      </c>
      <c r="B44" s="79"/>
      <c r="C44" s="14"/>
      <c r="D44" s="14"/>
      <c r="E44" s="14"/>
      <c r="F44" s="14"/>
      <c r="G44" s="14"/>
      <c r="H44" s="14"/>
      <c r="I44" s="14"/>
      <c r="J44" s="14"/>
      <c r="K44" s="14"/>
      <c r="L44" s="14"/>
      <c r="M44" s="14"/>
      <c r="N44" s="14"/>
      <c r="O44" s="14"/>
      <c r="P44" s="14"/>
      <c r="Q44" s="14"/>
      <c r="R44" s="14"/>
      <c r="S44" s="14"/>
    </row>
    <row r="45">
      <c r="A45" s="103">
        <v>44875</v>
      </c>
      <c r="B45" s="5"/>
      <c r="C45" s="5"/>
      <c r="D45" s="5"/>
      <c r="E45" s="5"/>
      <c r="F45" s="5"/>
      <c r="G45" s="5"/>
      <c r="H45" s="5"/>
      <c r="I45" s="5"/>
      <c r="J45" s="5"/>
      <c r="K45" s="5"/>
      <c r="L45" s="5"/>
      <c r="M45" s="5"/>
      <c r="N45" s="5"/>
      <c r="O45" s="5"/>
      <c r="P45" s="5"/>
      <c r="Q45" s="5"/>
      <c r="R45" s="5"/>
      <c r="S45" s="5"/>
    </row>
    <row r="46">
      <c r="A46" s="103">
        <v>44876</v>
      </c>
      <c r="B46" s="14"/>
      <c r="C46" s="14"/>
      <c r="D46" s="14"/>
      <c r="E46" s="14"/>
      <c r="F46" s="14"/>
      <c r="G46" s="14"/>
      <c r="H46" s="14"/>
      <c r="I46" s="14"/>
      <c r="J46" s="14"/>
      <c r="K46" s="14"/>
      <c r="L46" s="14"/>
      <c r="M46" s="14"/>
      <c r="N46" s="14"/>
      <c r="O46" s="14"/>
      <c r="P46" s="14"/>
      <c r="Q46" s="14"/>
      <c r="R46" s="14"/>
      <c r="S46" s="14"/>
    </row>
    <row r="47">
      <c r="A47" s="103">
        <v>44877</v>
      </c>
      <c r="B47" s="5"/>
      <c r="C47" s="5"/>
      <c r="D47" s="5"/>
      <c r="E47" s="5"/>
      <c r="F47" s="5"/>
      <c r="G47" s="5"/>
      <c r="H47" s="5"/>
      <c r="I47" s="5"/>
      <c r="J47" s="5"/>
      <c r="K47" s="5"/>
      <c r="L47" s="5"/>
      <c r="M47" s="5"/>
      <c r="N47" s="5"/>
      <c r="O47" s="5"/>
      <c r="P47" s="5"/>
      <c r="Q47" s="5"/>
      <c r="R47" s="5"/>
      <c r="S47" s="5"/>
    </row>
    <row r="48">
      <c r="A48" s="103">
        <v>44878</v>
      </c>
      <c r="B48" s="14"/>
      <c r="C48" s="14"/>
      <c r="D48" s="14"/>
      <c r="E48" s="14"/>
      <c r="F48" s="14"/>
      <c r="G48" s="14"/>
      <c r="H48" s="14"/>
      <c r="I48" s="14"/>
      <c r="J48" s="14"/>
      <c r="K48" s="14"/>
      <c r="L48" s="14"/>
      <c r="M48" s="14"/>
      <c r="N48" s="14"/>
      <c r="O48" s="14"/>
      <c r="P48" s="14"/>
      <c r="Q48" s="14"/>
      <c r="R48" s="14"/>
      <c r="S48" s="14"/>
    </row>
    <row r="49">
      <c r="A49" s="103">
        <v>44879</v>
      </c>
      <c r="B49" s="5"/>
      <c r="C49" s="5"/>
      <c r="D49" s="5"/>
      <c r="E49" s="5"/>
      <c r="F49" s="5"/>
      <c r="G49" s="5"/>
      <c r="H49" s="5"/>
      <c r="I49" s="5"/>
      <c r="J49" s="5"/>
      <c r="K49" s="5"/>
      <c r="L49" s="5"/>
      <c r="M49" s="5"/>
      <c r="N49" s="5"/>
      <c r="O49" s="5"/>
      <c r="P49" s="5"/>
      <c r="Q49" s="5"/>
      <c r="R49" s="5"/>
      <c r="S49" s="5"/>
    </row>
    <row r="50">
      <c r="A50" s="103">
        <v>44880</v>
      </c>
      <c r="B50" s="14"/>
      <c r="C50" s="14"/>
      <c r="D50" s="14"/>
      <c r="E50" s="14"/>
      <c r="F50" s="14"/>
      <c r="G50" s="14"/>
      <c r="H50" s="14"/>
      <c r="I50" s="14"/>
      <c r="J50" s="14"/>
      <c r="K50" s="14"/>
      <c r="L50" s="14"/>
      <c r="M50" s="14"/>
      <c r="N50" s="14"/>
      <c r="O50" s="14"/>
      <c r="P50" s="14"/>
      <c r="Q50" s="14"/>
      <c r="R50" s="14"/>
      <c r="S50" s="14"/>
    </row>
    <row r="51">
      <c r="A51" s="103">
        <v>44881</v>
      </c>
      <c r="B51" s="5"/>
      <c r="C51" s="5"/>
      <c r="D51" s="5"/>
      <c r="E51" s="5"/>
      <c r="F51" s="5"/>
      <c r="G51" s="5"/>
      <c r="H51" s="5"/>
      <c r="I51" s="5"/>
      <c r="J51" s="5"/>
      <c r="K51" s="5"/>
      <c r="L51" s="5"/>
      <c r="M51" s="5"/>
      <c r="N51" s="5"/>
      <c r="O51" s="5"/>
      <c r="P51" s="5"/>
      <c r="Q51" s="5"/>
      <c r="R51" s="5"/>
      <c r="S51" s="5"/>
    </row>
    <row r="52">
      <c r="A52" s="103">
        <v>44882</v>
      </c>
      <c r="B52" s="14"/>
      <c r="C52" s="14"/>
      <c r="D52" s="14"/>
      <c r="E52" s="14"/>
      <c r="F52" s="14"/>
      <c r="G52" s="14"/>
      <c r="H52" s="14"/>
      <c r="I52" s="14"/>
      <c r="J52" s="14"/>
      <c r="K52" s="14"/>
      <c r="L52" s="14"/>
      <c r="M52" s="14"/>
      <c r="N52" s="14"/>
      <c r="O52" s="14"/>
      <c r="P52" s="14"/>
      <c r="Q52" s="14"/>
      <c r="R52" s="14"/>
      <c r="S52" s="14"/>
    </row>
    <row r="53">
      <c r="A53" s="103">
        <v>44883</v>
      </c>
      <c r="B53" s="5"/>
      <c r="C53" s="5"/>
      <c r="D53" s="5"/>
      <c r="E53" s="5"/>
      <c r="F53" s="5"/>
      <c r="G53" s="5"/>
      <c r="H53" s="5"/>
      <c r="I53" s="5"/>
      <c r="J53" s="5"/>
      <c r="K53" s="5"/>
      <c r="L53" s="5"/>
      <c r="M53" s="5"/>
      <c r="N53" s="5"/>
      <c r="O53" s="5"/>
      <c r="P53" s="5"/>
      <c r="Q53" s="5"/>
      <c r="R53" s="5"/>
      <c r="S53" s="5"/>
    </row>
    <row r="54">
      <c r="A54" s="103">
        <v>44884</v>
      </c>
      <c r="B54" s="14"/>
      <c r="C54" s="14"/>
      <c r="D54" s="14"/>
      <c r="E54" s="14"/>
      <c r="F54" s="14"/>
      <c r="G54" s="14"/>
      <c r="H54" s="14"/>
      <c r="I54" s="14"/>
      <c r="J54" s="14"/>
      <c r="K54" s="14"/>
      <c r="L54" s="14"/>
      <c r="M54" s="14"/>
      <c r="N54" s="14"/>
      <c r="O54" s="14"/>
      <c r="P54" s="14"/>
      <c r="Q54" s="14"/>
      <c r="R54" s="14"/>
      <c r="S54" s="14"/>
    </row>
    <row r="55">
      <c r="A55" s="103">
        <v>44885</v>
      </c>
      <c r="B55" s="5"/>
      <c r="C55" s="5"/>
      <c r="D55" s="5"/>
      <c r="E55" s="5"/>
      <c r="F55" s="5"/>
      <c r="G55" s="5"/>
      <c r="H55" s="5"/>
      <c r="I55" s="5"/>
      <c r="J55" s="5"/>
      <c r="K55" s="5"/>
      <c r="L55" s="5"/>
      <c r="M55" s="5"/>
      <c r="N55" s="5"/>
      <c r="O55" s="5"/>
      <c r="P55" s="5"/>
      <c r="Q55" s="5"/>
      <c r="R55" s="5"/>
      <c r="S55" s="5"/>
    </row>
    <row r="56">
      <c r="A56" s="103">
        <v>44886</v>
      </c>
      <c r="B56" s="14"/>
      <c r="C56" s="14"/>
      <c r="D56" s="14"/>
      <c r="E56" s="14"/>
      <c r="F56" s="14"/>
      <c r="G56" s="14"/>
      <c r="H56" s="14"/>
      <c r="I56" s="14"/>
      <c r="J56" s="14"/>
      <c r="K56" s="14"/>
      <c r="L56" s="14"/>
      <c r="M56" s="14"/>
      <c r="N56" s="14"/>
      <c r="O56" s="14"/>
      <c r="P56" s="14"/>
      <c r="Q56" s="14"/>
      <c r="R56" s="14"/>
      <c r="S56" s="14"/>
    </row>
    <row r="57">
      <c r="A57" s="103">
        <v>44887</v>
      </c>
      <c r="B57" s="5"/>
      <c r="C57" s="5"/>
      <c r="D57" s="5"/>
      <c r="E57" s="5"/>
      <c r="F57" s="5"/>
      <c r="G57" s="5"/>
      <c r="H57" s="5"/>
      <c r="I57" s="5"/>
      <c r="J57" s="5"/>
      <c r="K57" s="5"/>
      <c r="L57" s="5"/>
      <c r="M57" s="5"/>
      <c r="N57" s="5"/>
      <c r="O57" s="5"/>
      <c r="P57" s="5"/>
      <c r="Q57" s="5"/>
      <c r="R57" s="5"/>
      <c r="S57" s="5"/>
    </row>
    <row r="58">
      <c r="A58" s="103">
        <v>44888</v>
      </c>
      <c r="B58" s="14"/>
      <c r="C58" s="14"/>
      <c r="D58" s="14"/>
      <c r="E58" s="14"/>
      <c r="F58" s="14"/>
      <c r="G58" s="14"/>
      <c r="H58" s="14"/>
      <c r="I58" s="14"/>
      <c r="J58" s="14"/>
      <c r="K58" s="14"/>
      <c r="L58" s="14"/>
      <c r="M58" s="14"/>
      <c r="N58" s="14"/>
      <c r="O58" s="14"/>
      <c r="P58" s="14"/>
      <c r="Q58" s="14"/>
      <c r="R58" s="14"/>
      <c r="S58" s="14"/>
    </row>
    <row r="59">
      <c r="A59" s="103">
        <v>44889</v>
      </c>
      <c r="B59" s="5"/>
      <c r="C59" s="5"/>
      <c r="D59" s="5"/>
      <c r="E59" s="5"/>
      <c r="F59" s="5"/>
      <c r="G59" s="5"/>
      <c r="H59" s="5"/>
      <c r="I59" s="5"/>
      <c r="J59" s="5"/>
      <c r="K59" s="5"/>
      <c r="L59" s="5"/>
      <c r="M59" s="5"/>
      <c r="N59" s="5"/>
      <c r="O59" s="5"/>
      <c r="P59" s="5"/>
      <c r="Q59" s="5"/>
      <c r="R59" s="5"/>
      <c r="S59" s="5"/>
    </row>
    <row r="60">
      <c r="A60" s="103">
        <v>44890</v>
      </c>
      <c r="B60" s="14"/>
      <c r="C60" s="14"/>
      <c r="D60" s="14"/>
      <c r="E60" s="14"/>
      <c r="F60" s="14"/>
      <c r="G60" s="14"/>
      <c r="H60" s="14"/>
      <c r="I60" s="14"/>
      <c r="J60" s="14"/>
      <c r="K60" s="14"/>
      <c r="L60" s="14"/>
      <c r="M60" s="14"/>
      <c r="N60" s="14"/>
      <c r="O60" s="14"/>
      <c r="P60" s="14"/>
      <c r="Q60" s="14"/>
      <c r="R60" s="14"/>
      <c r="S60" s="14"/>
    </row>
    <row r="61">
      <c r="A61" s="103">
        <v>44891</v>
      </c>
      <c r="B61" s="5"/>
      <c r="C61" s="5"/>
      <c r="D61" s="5"/>
      <c r="E61" s="5"/>
      <c r="F61" s="5"/>
      <c r="G61" s="5"/>
      <c r="H61" s="5"/>
      <c r="I61" s="5"/>
      <c r="J61" s="5"/>
      <c r="K61" s="5"/>
      <c r="L61" s="5"/>
      <c r="M61" s="5"/>
      <c r="N61" s="5"/>
      <c r="O61" s="5"/>
      <c r="P61" s="5"/>
      <c r="Q61" s="5"/>
      <c r="R61" s="5"/>
      <c r="S61" s="5"/>
    </row>
    <row r="62">
      <c r="A62" s="103">
        <v>44892</v>
      </c>
      <c r="B62" s="14"/>
      <c r="C62" s="14"/>
      <c r="D62" s="14"/>
      <c r="E62" s="14"/>
      <c r="F62" s="14"/>
      <c r="G62" s="14"/>
      <c r="H62" s="14"/>
      <c r="I62" s="14"/>
      <c r="J62" s="14"/>
      <c r="K62" s="14"/>
      <c r="L62" s="14"/>
      <c r="M62" s="14"/>
      <c r="N62" s="14"/>
      <c r="O62" s="14"/>
      <c r="P62" s="14"/>
      <c r="Q62" s="14"/>
      <c r="R62" s="14"/>
      <c r="S62" s="14"/>
    </row>
    <row r="63">
      <c r="A63" s="103">
        <v>44893</v>
      </c>
      <c r="B63" s="5"/>
      <c r="C63" s="5"/>
      <c r="D63" s="5"/>
      <c r="E63" s="5"/>
      <c r="F63" s="5"/>
      <c r="G63" s="5"/>
      <c r="H63" s="5"/>
      <c r="I63" s="5"/>
      <c r="J63" s="5"/>
      <c r="K63" s="5"/>
      <c r="L63" s="5"/>
      <c r="M63" s="5"/>
      <c r="N63" s="5"/>
      <c r="O63" s="5"/>
      <c r="P63" s="5"/>
      <c r="Q63" s="5"/>
      <c r="R63" s="48"/>
      <c r="S63" s="5"/>
    </row>
    <row r="64">
      <c r="A64" s="103">
        <v>44894</v>
      </c>
      <c r="B64" s="22"/>
      <c r="C64" s="22"/>
      <c r="D64" s="22"/>
      <c r="E64" s="22"/>
      <c r="F64" s="22"/>
      <c r="G64" s="22"/>
      <c r="H64" s="22"/>
      <c r="I64" s="22"/>
      <c r="J64" s="14"/>
      <c r="K64" s="14"/>
      <c r="L64" s="14"/>
      <c r="M64" s="14"/>
      <c r="N64" s="14"/>
      <c r="O64" s="14"/>
      <c r="P64" s="14"/>
      <c r="Q64" s="14"/>
      <c r="R64" s="80"/>
      <c r="S64" s="14"/>
    </row>
    <row r="65">
      <c r="A65" s="103">
        <v>44895</v>
      </c>
      <c r="B65" s="5"/>
      <c r="C65" s="5"/>
      <c r="D65" s="5"/>
      <c r="E65" s="5">
        <f>368.76*'Сводная таблица'!B67</f>
        <v>1615.1687999999999</v>
      </c>
      <c r="F65" s="5"/>
      <c r="G65" s="5"/>
      <c r="H65" s="5"/>
      <c r="I65" s="5"/>
      <c r="J65" s="5"/>
      <c r="K65" s="5"/>
      <c r="L65" s="5"/>
      <c r="M65" s="5"/>
      <c r="N65" s="5"/>
      <c r="O65" s="5"/>
      <c r="P65" s="5"/>
      <c r="Q65" s="5"/>
      <c r="R65" s="48"/>
      <c r="S65" s="5"/>
    </row>
    <row r="66">
      <c r="A66" s="103"/>
      <c r="B66" s="22"/>
      <c r="C66" s="22"/>
      <c r="D66" s="22"/>
      <c r="E66" s="22"/>
      <c r="F66" s="22"/>
      <c r="G66" s="22"/>
      <c r="H66" s="22"/>
      <c r="I66" s="22"/>
      <c r="J66" s="14"/>
      <c r="K66" s="14"/>
      <c r="L66" s="14"/>
      <c r="M66" s="14"/>
      <c r="N66" s="14"/>
      <c r="O66" s="14"/>
      <c r="P66" s="14"/>
      <c r="Q66" s="14"/>
      <c r="R66" s="80"/>
      <c r="S66" s="14"/>
    </row>
    <row r="67">
      <c r="A67" s="113" t="s">
        <v>87</v>
      </c>
      <c r="B67" s="75">
        <f>SUM(B36:B66)</f>
        <v>595239</v>
      </c>
      <c r="C67" s="75">
        <f>SUM(C36:C66)</f>
        <v>0</v>
      </c>
      <c r="D67" s="75">
        <f>SUM(D36:D66)</f>
        <v>0</v>
      </c>
      <c r="E67" s="114">
        <f>SUM(E36:E66)</f>
        <v>2082.9528</v>
      </c>
      <c r="F67" s="75">
        <f>SUM(F36:F66)</f>
        <v>0</v>
      </c>
      <c r="G67" s="75">
        <f>SUM(G36:G66)</f>
        <v>0</v>
      </c>
      <c r="H67" s="75">
        <f>SUM(H36:H66)</f>
        <v>0</v>
      </c>
      <c r="I67" s="75">
        <f>SUM(I36:I66)</f>
        <v>0</v>
      </c>
      <c r="J67" s="75">
        <f>SUM(J36:J66)</f>
        <v>0</v>
      </c>
      <c r="K67" s="75">
        <f>SUM(K36:K66)</f>
        <v>0</v>
      </c>
      <c r="L67" s="75">
        <f>SUM(L36:L66)</f>
        <v>0</v>
      </c>
      <c r="M67" s="75">
        <f>SUM(M36:M66)</f>
        <v>0</v>
      </c>
      <c r="N67" s="75">
        <f>SUM(N36:N66)</f>
        <v>0</v>
      </c>
      <c r="O67" s="75">
        <f>SUM(O36:O66)</f>
        <v>0</v>
      </c>
      <c r="P67" s="75">
        <f>SUM(P36:P66)</f>
        <v>0</v>
      </c>
      <c r="Q67" s="75">
        <f>SUM(Q36:Q66)</f>
        <v>0</v>
      </c>
      <c r="R67" s="75">
        <f>SUM(R36:R66)</f>
        <v>0</v>
      </c>
      <c r="S67" s="114">
        <f>SUM(B67:R67)</f>
        <v>597321.95279999997</v>
      </c>
      <c r="T67" s="107" t="s">
        <v>88</v>
      </c>
    </row>
    <row r="68">
      <c r="A68" s="108" t="s">
        <v>89</v>
      </c>
      <c r="B68" s="109">
        <f>B67/'Сводная таблица'!B67</f>
        <v>135899.31506849316</v>
      </c>
      <c r="C68" s="110"/>
      <c r="D68" s="110"/>
      <c r="E68" s="109">
        <f>E67/'Сводная таблица'!B67</f>
        <v>475.56</v>
      </c>
      <c r="F68" s="110"/>
      <c r="G68" s="110"/>
      <c r="H68" s="110"/>
      <c r="I68" s="110"/>
      <c r="J68" s="110"/>
      <c r="K68" s="110"/>
      <c r="L68" s="110"/>
      <c r="M68" s="110"/>
      <c r="N68" s="110"/>
      <c r="O68" s="110"/>
      <c r="P68" s="110"/>
      <c r="Q68" s="110"/>
      <c r="R68" s="110"/>
      <c r="S68" s="115">
        <f>S67/'Сводная таблица'!B67</f>
        <v>136374.87506849316</v>
      </c>
      <c r="T68" s="107" t="s">
        <v>90</v>
      </c>
    </row>
    <row r="69">
      <c r="A69" s="26" t="s">
        <v>67</v>
      </c>
      <c r="B69" s="26"/>
      <c r="C69" s="26"/>
      <c r="D69" s="26"/>
      <c r="E69" s="26"/>
      <c r="F69" s="26"/>
      <c r="G69" s="26"/>
      <c r="H69" s="26"/>
      <c r="I69" s="26"/>
      <c r="J69" s="26"/>
      <c r="K69" s="26"/>
      <c r="L69" s="26"/>
      <c r="M69" s="26"/>
      <c r="N69" s="26"/>
      <c r="O69" s="26"/>
      <c r="P69" s="26"/>
      <c r="Q69" s="26"/>
      <c r="R69" s="26"/>
      <c r="S69" s="26"/>
    </row>
    <row r="70">
      <c r="A70" s="5" t="s">
        <v>68</v>
      </c>
      <c r="B70" s="71">
        <f>21000-344+2039+(23000-23000)-344-344+8164.1-4600-3300+(3000-3000)+80000+2000+(5500-5500)+(5650-5100)+1000+300+300+11814.99+10000</f>
        <v>128236.09000000001</v>
      </c>
      <c r="C70" s="5"/>
      <c r="D70" s="5"/>
      <c r="E70" s="5"/>
      <c r="F70" s="5"/>
      <c r="G70" s="5"/>
      <c r="H70" s="5"/>
      <c r="I70" s="5"/>
      <c r="J70" s="5"/>
      <c r="K70" s="5"/>
      <c r="L70" s="5"/>
      <c r="M70" s="5"/>
      <c r="N70" s="5"/>
      <c r="O70" s="5"/>
      <c r="P70" s="5"/>
      <c r="Q70" s="5"/>
      <c r="R70" s="5"/>
      <c r="S70" s="5"/>
    </row>
    <row r="71">
      <c r="A71" s="5" t="s">
        <v>76</v>
      </c>
      <c r="B71" s="5">
        <f>3000+1000+1200+1300</f>
        <v>6500</v>
      </c>
      <c r="C71" s="5"/>
      <c r="D71" s="5"/>
      <c r="E71" s="5"/>
      <c r="F71" s="5"/>
      <c r="G71" s="5"/>
      <c r="H71" s="5"/>
      <c r="I71" s="5"/>
      <c r="J71" s="5"/>
      <c r="K71" s="5"/>
      <c r="L71" s="5"/>
      <c r="M71" s="5"/>
      <c r="N71" s="5"/>
      <c r="O71" s="5"/>
      <c r="P71" s="5"/>
      <c r="Q71" s="5"/>
      <c r="R71" s="5"/>
      <c r="S71" s="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RowHeight="14.25"/>
  <cols>
    <col customWidth="1" min="1" max="1" width="11.00390625"/>
    <col customWidth="1" min="7" max="7" width="9.8515625"/>
    <col customWidth="1" min="8" max="8" width="11.57421875"/>
    <col customWidth="1" min="10" max="10" width="12.140625"/>
    <col customWidth="1" min="11" max="11" width="10.421875"/>
    <col customWidth="1" min="20" max="20" width="9.00390625"/>
  </cols>
  <sheetData>
    <row r="1" ht="28.5" customHeight="1">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16"/>
    </row>
    <row r="2">
      <c r="A2" s="103">
        <v>44896</v>
      </c>
      <c r="B2" s="14">
        <v>200</v>
      </c>
      <c r="C2" s="14"/>
      <c r="D2" s="14">
        <v>1500</v>
      </c>
      <c r="E2" s="14"/>
      <c r="F2" s="14"/>
      <c r="G2" s="14"/>
      <c r="H2" s="14"/>
      <c r="I2" s="14"/>
      <c r="J2" s="14"/>
      <c r="K2" s="14"/>
      <c r="L2" s="14"/>
      <c r="M2" s="14"/>
      <c r="N2" s="14"/>
      <c r="O2" s="14"/>
      <c r="P2" s="14"/>
      <c r="Q2" s="14"/>
      <c r="R2" s="14"/>
      <c r="S2" s="14"/>
      <c r="T2" s="116"/>
    </row>
    <row r="3">
      <c r="A3" s="103">
        <v>44897</v>
      </c>
      <c r="B3" s="5">
        <v>200</v>
      </c>
      <c r="C3" s="5"/>
      <c r="D3" s="5">
        <v>1580</v>
      </c>
      <c r="E3" s="5"/>
      <c r="F3" s="5"/>
      <c r="G3" s="5"/>
      <c r="H3" s="5"/>
      <c r="I3" s="5"/>
      <c r="J3" s="5"/>
      <c r="K3" s="5">
        <v>7010</v>
      </c>
      <c r="L3" s="5"/>
      <c r="M3" s="5"/>
      <c r="N3" s="5"/>
      <c r="O3" s="5"/>
      <c r="P3" s="5"/>
      <c r="Q3" s="5"/>
      <c r="R3" s="5"/>
      <c r="S3" s="5"/>
      <c r="T3" s="116"/>
    </row>
    <row r="4">
      <c r="A4" s="103">
        <v>44898</v>
      </c>
      <c r="B4" s="14"/>
      <c r="C4" s="14"/>
      <c r="D4" s="14"/>
      <c r="E4" s="14"/>
      <c r="F4" s="14"/>
      <c r="G4" s="14"/>
      <c r="H4" s="14"/>
      <c r="I4" s="14"/>
      <c r="J4" s="14"/>
      <c r="K4" s="14"/>
      <c r="L4" s="14">
        <v>80000</v>
      </c>
      <c r="M4" s="14"/>
      <c r="N4" s="14"/>
      <c r="O4" s="14"/>
      <c r="P4" s="14"/>
      <c r="Q4" s="14"/>
      <c r="R4" s="14"/>
      <c r="S4" s="14"/>
      <c r="T4" s="116"/>
    </row>
    <row r="5">
      <c r="A5" s="103">
        <v>44899</v>
      </c>
      <c r="B5" s="5"/>
      <c r="C5" s="5"/>
      <c r="D5" s="5">
        <v>1350</v>
      </c>
      <c r="E5" s="5"/>
      <c r="F5" s="5"/>
      <c r="G5" s="5"/>
      <c r="H5" s="5"/>
      <c r="I5" s="5"/>
      <c r="J5" s="5"/>
      <c r="K5" s="5"/>
      <c r="L5" s="5"/>
      <c r="M5" s="5"/>
      <c r="N5" s="5"/>
      <c r="O5" s="5"/>
      <c r="P5" s="5"/>
      <c r="Q5" s="5"/>
      <c r="R5" s="5"/>
      <c r="S5" s="5"/>
      <c r="T5" s="116"/>
    </row>
    <row r="6">
      <c r="A6" s="103">
        <v>44900</v>
      </c>
      <c r="B6" s="14">
        <v>200</v>
      </c>
      <c r="C6" s="14"/>
      <c r="D6" s="14">
        <v>1490</v>
      </c>
      <c r="E6" s="14"/>
      <c r="F6" s="14"/>
      <c r="G6" s="14">
        <f>(59+99)*'Сводная таблица'!B67</f>
        <v>692.03999999999996</v>
      </c>
      <c r="H6" s="14"/>
      <c r="I6" s="14"/>
      <c r="J6" s="14"/>
      <c r="K6" s="14"/>
      <c r="L6" s="14"/>
      <c r="M6" s="14"/>
      <c r="N6" s="14"/>
      <c r="O6" s="14"/>
      <c r="P6" s="14"/>
      <c r="Q6" s="14"/>
      <c r="R6" s="14"/>
      <c r="S6" s="14"/>
      <c r="T6" s="116"/>
    </row>
    <row r="7">
      <c r="A7" s="103">
        <v>44901</v>
      </c>
      <c r="B7" s="5">
        <v>200</v>
      </c>
      <c r="C7" s="5"/>
      <c r="D7" s="5"/>
      <c r="E7" s="5"/>
      <c r="F7" s="5"/>
      <c r="G7" s="5"/>
      <c r="H7" s="5"/>
      <c r="I7" s="5"/>
      <c r="J7" s="5"/>
      <c r="K7" s="5"/>
      <c r="L7" s="5"/>
      <c r="M7" s="5"/>
      <c r="N7" s="5"/>
      <c r="O7" s="5"/>
      <c r="P7" s="5"/>
      <c r="Q7" s="5"/>
      <c r="R7" s="5"/>
      <c r="S7" s="5"/>
      <c r="T7" s="116"/>
    </row>
    <row r="8">
      <c r="A8" s="103">
        <v>44902</v>
      </c>
      <c r="B8" s="14">
        <v>200</v>
      </c>
      <c r="C8" s="14"/>
      <c r="D8" s="14">
        <v>1700</v>
      </c>
      <c r="E8" s="14"/>
      <c r="F8" s="14"/>
      <c r="G8" s="14"/>
      <c r="H8" s="14"/>
      <c r="I8" s="14"/>
      <c r="J8" s="14"/>
      <c r="K8" s="14"/>
      <c r="L8" s="14"/>
      <c r="M8" s="14">
        <v>6480</v>
      </c>
      <c r="N8" s="14"/>
      <c r="O8" s="14"/>
      <c r="P8" s="14"/>
      <c r="Q8" s="14"/>
      <c r="R8" s="14"/>
      <c r="S8" s="14"/>
      <c r="T8" s="116"/>
    </row>
    <row r="9">
      <c r="A9" s="103">
        <v>44903</v>
      </c>
      <c r="B9" s="5">
        <v>200</v>
      </c>
      <c r="C9" s="5"/>
      <c r="D9" s="5">
        <v>1550</v>
      </c>
      <c r="E9" s="5"/>
      <c r="F9" s="5"/>
      <c r="G9" s="5"/>
      <c r="H9" s="5"/>
      <c r="I9" s="5"/>
      <c r="J9" s="5"/>
      <c r="K9" s="5"/>
      <c r="L9" s="5"/>
      <c r="M9" s="5"/>
      <c r="N9" s="5"/>
      <c r="O9" s="5"/>
      <c r="P9" s="5"/>
      <c r="Q9" s="5"/>
      <c r="R9" s="5"/>
      <c r="S9" s="5"/>
      <c r="T9" s="116"/>
    </row>
    <row r="10">
      <c r="A10" s="103">
        <v>44904</v>
      </c>
      <c r="B10" s="14"/>
      <c r="C10" s="14"/>
      <c r="D10" s="14"/>
      <c r="E10" s="14"/>
      <c r="F10" s="14">
        <f>1500*'Сводная таблица'!B67</f>
        <v>6570</v>
      </c>
      <c r="G10" s="14"/>
      <c r="H10" s="14"/>
      <c r="I10" s="14"/>
      <c r="J10" s="14"/>
      <c r="K10" s="14"/>
      <c r="L10" s="14"/>
      <c r="M10" s="14"/>
      <c r="N10" s="14"/>
      <c r="O10" s="14"/>
      <c r="P10" s="14"/>
      <c r="Q10" s="14"/>
      <c r="R10" s="14"/>
      <c r="S10" s="14"/>
      <c r="T10" s="116"/>
    </row>
    <row r="11">
      <c r="A11" s="103">
        <v>44905</v>
      </c>
      <c r="B11" s="5"/>
      <c r="C11" s="5"/>
      <c r="D11" s="5"/>
      <c r="E11" s="5"/>
      <c r="F11" s="5"/>
      <c r="G11" s="5"/>
      <c r="H11" s="5"/>
      <c r="I11" s="5"/>
      <c r="J11" s="5"/>
      <c r="K11" s="5"/>
      <c r="L11" s="5"/>
      <c r="M11" s="5"/>
      <c r="N11" s="5"/>
      <c r="O11" s="5"/>
      <c r="P11" s="5"/>
      <c r="Q11" s="5"/>
      <c r="R11" s="5"/>
      <c r="S11" s="5"/>
      <c r="T11" s="116"/>
    </row>
    <row r="12">
      <c r="A12" s="103">
        <v>44906</v>
      </c>
      <c r="B12" s="14">
        <f>(300+1148)*'Сводная таблица'!B67</f>
        <v>6342.2399999999998</v>
      </c>
      <c r="C12" s="14">
        <v>3140</v>
      </c>
      <c r="D12" s="14"/>
      <c r="E12" s="14"/>
      <c r="F12" s="14"/>
      <c r="G12" s="14"/>
      <c r="H12" s="14"/>
      <c r="I12" s="14"/>
      <c r="J12" s="14"/>
      <c r="K12" s="14"/>
      <c r="L12" s="14">
        <v>210000</v>
      </c>
      <c r="M12" s="14"/>
      <c r="N12" s="14"/>
      <c r="O12" s="14"/>
      <c r="P12" s="14"/>
      <c r="Q12" s="14"/>
      <c r="R12" s="14"/>
      <c r="S12" s="14"/>
      <c r="T12" s="116"/>
    </row>
    <row r="13">
      <c r="A13" s="103">
        <v>44907</v>
      </c>
      <c r="B13" s="5">
        <v>200</v>
      </c>
      <c r="C13" s="5">
        <v>170</v>
      </c>
      <c r="D13" s="5"/>
      <c r="E13" s="5">
        <v>6500</v>
      </c>
      <c r="F13" s="5"/>
      <c r="G13" s="5"/>
      <c r="H13" s="5"/>
      <c r="I13" s="5"/>
      <c r="J13" s="5">
        <v>2300</v>
      </c>
      <c r="K13" s="5"/>
      <c r="L13" s="5"/>
      <c r="M13" s="5">
        <f>279900-41950-(20000*'Сводная таблица'!B67)</f>
        <v>150350</v>
      </c>
      <c r="N13" s="5"/>
      <c r="O13" s="5"/>
      <c r="P13" s="5"/>
      <c r="Q13" s="5"/>
      <c r="R13" s="5"/>
      <c r="S13" s="5"/>
      <c r="T13" s="116"/>
    </row>
    <row r="14">
      <c r="A14" s="103">
        <v>44908</v>
      </c>
      <c r="B14" s="14"/>
      <c r="C14" s="14"/>
      <c r="D14" s="14"/>
      <c r="E14" s="14"/>
      <c r="F14" s="14"/>
      <c r="G14" s="14"/>
      <c r="H14" s="14"/>
      <c r="I14" s="14"/>
      <c r="J14" s="14"/>
      <c r="K14" s="14"/>
      <c r="L14" s="14"/>
      <c r="M14" s="14"/>
      <c r="N14" s="14"/>
      <c r="O14" s="14"/>
      <c r="P14" s="14"/>
      <c r="Q14" s="14"/>
      <c r="R14" s="14"/>
      <c r="S14" s="14"/>
      <c r="T14" s="116"/>
    </row>
    <row r="15">
      <c r="A15" s="103">
        <v>44909</v>
      </c>
      <c r="B15" s="5"/>
      <c r="C15" s="5">
        <v>3258</v>
      </c>
      <c r="D15" s="5"/>
      <c r="E15" s="5">
        <v>3620</v>
      </c>
      <c r="F15" s="5"/>
      <c r="G15" s="5"/>
      <c r="H15" s="5"/>
      <c r="I15" s="5"/>
      <c r="J15" s="5">
        <v>1130</v>
      </c>
      <c r="K15" s="5"/>
      <c r="L15" s="5"/>
      <c r="M15" s="5"/>
      <c r="N15" s="5"/>
      <c r="O15" s="5"/>
      <c r="P15" s="5"/>
      <c r="Q15" s="5">
        <v>2000</v>
      </c>
      <c r="R15" s="5"/>
      <c r="S15" s="5"/>
      <c r="T15" s="116"/>
    </row>
    <row r="16">
      <c r="A16" s="103">
        <v>44910</v>
      </c>
      <c r="B16" s="14">
        <f>200+(1430*'Сводная таблица'!B67)</f>
        <v>6463.3999999999996</v>
      </c>
      <c r="C16" s="97">
        <v>1300</v>
      </c>
      <c r="D16" s="14"/>
      <c r="E16" s="14"/>
      <c r="F16" s="14"/>
      <c r="G16" s="14"/>
      <c r="H16" s="14"/>
      <c r="I16" s="14"/>
      <c r="J16" s="14">
        <v>100</v>
      </c>
      <c r="K16" s="14"/>
      <c r="L16" s="14"/>
      <c r="M16" s="14"/>
      <c r="N16" s="14"/>
      <c r="O16" s="14"/>
      <c r="P16" s="14"/>
      <c r="Q16" s="14">
        <v>2800</v>
      </c>
      <c r="R16" s="14"/>
      <c r="S16" s="14"/>
      <c r="T16" s="116"/>
    </row>
    <row r="17">
      <c r="A17" s="103">
        <v>44911</v>
      </c>
      <c r="B17" s="5"/>
      <c r="C17" s="6">
        <v>200</v>
      </c>
      <c r="D17" s="5"/>
      <c r="E17" s="5">
        <f>3550+2740</f>
        <v>6290</v>
      </c>
      <c r="F17" s="5"/>
      <c r="G17" s="5"/>
      <c r="H17" s="5"/>
      <c r="I17" s="5"/>
      <c r="J17" s="5"/>
      <c r="K17" s="5"/>
      <c r="L17" s="5"/>
      <c r="M17" s="5"/>
      <c r="N17" s="5"/>
      <c r="O17" s="5"/>
      <c r="P17" s="5"/>
      <c r="Q17" s="5"/>
      <c r="R17" s="5"/>
      <c r="S17" s="5"/>
      <c r="T17" s="116"/>
    </row>
    <row r="18">
      <c r="A18" s="103">
        <v>44912</v>
      </c>
      <c r="B18" s="14"/>
      <c r="C18" s="14"/>
      <c r="D18" s="14"/>
      <c r="E18" s="14"/>
      <c r="F18" s="14"/>
      <c r="G18" s="14"/>
      <c r="H18" s="14"/>
      <c r="I18" s="14"/>
      <c r="J18" s="14"/>
      <c r="K18" s="14"/>
      <c r="L18" s="14"/>
      <c r="M18" s="14"/>
      <c r="N18" s="14"/>
      <c r="O18" s="14"/>
      <c r="P18" s="14"/>
      <c r="Q18" s="14"/>
      <c r="R18" s="14"/>
      <c r="S18" s="14"/>
      <c r="T18" s="116"/>
    </row>
    <row r="19">
      <c r="A19" s="103">
        <v>44913</v>
      </c>
      <c r="B19" s="5">
        <f>(2737*'Сводная таблица'!B67)+1400+1700</f>
        <v>15088.059999999999</v>
      </c>
      <c r="C19" s="5">
        <v>500</v>
      </c>
      <c r="D19" s="5"/>
      <c r="E19" s="5"/>
      <c r="F19" s="5"/>
      <c r="G19" s="5"/>
      <c r="H19" s="5"/>
      <c r="I19" s="5"/>
      <c r="J19" s="5"/>
      <c r="K19" s="5"/>
      <c r="L19" s="5"/>
      <c r="M19" s="5"/>
      <c r="N19" s="5">
        <f>50*'Сводная таблица'!B67</f>
        <v>219</v>
      </c>
      <c r="O19" s="5"/>
      <c r="P19" s="5"/>
      <c r="Q19" s="5"/>
      <c r="R19" s="6"/>
      <c r="S19" s="5"/>
      <c r="T19" s="116"/>
    </row>
    <row r="20">
      <c r="A20" s="103">
        <v>44914</v>
      </c>
      <c r="B20" s="14">
        <v>100</v>
      </c>
      <c r="C20" s="14"/>
      <c r="D20" s="14"/>
      <c r="E20" s="14"/>
      <c r="F20" s="14"/>
      <c r="G20" s="14"/>
      <c r="H20" s="14"/>
      <c r="I20" s="14"/>
      <c r="J20" s="14"/>
      <c r="K20" s="14"/>
      <c r="L20" s="14"/>
      <c r="M20" s="14"/>
      <c r="N20" s="14"/>
      <c r="O20" s="14"/>
      <c r="P20" s="34"/>
      <c r="Q20" s="14"/>
      <c r="R20" s="14"/>
      <c r="S20" s="14"/>
      <c r="T20" s="116"/>
    </row>
    <row r="21">
      <c r="A21" s="103">
        <v>44915</v>
      </c>
      <c r="B21" s="69">
        <v>200</v>
      </c>
      <c r="C21" s="6"/>
      <c r="D21" s="5">
        <v>1230</v>
      </c>
      <c r="E21" s="5"/>
      <c r="F21" s="5"/>
      <c r="G21" s="5"/>
      <c r="H21" s="5"/>
      <c r="I21" s="5"/>
      <c r="J21" s="5"/>
      <c r="K21" s="5"/>
      <c r="L21" s="5"/>
      <c r="M21" s="5"/>
      <c r="N21" s="5"/>
      <c r="O21" s="5"/>
      <c r="P21" s="5"/>
      <c r="Q21" s="5"/>
      <c r="R21" s="5"/>
      <c r="S21" s="5"/>
      <c r="T21" s="116"/>
    </row>
    <row r="22">
      <c r="A22" s="103">
        <v>44916</v>
      </c>
      <c r="B22" s="22"/>
      <c r="C22" s="14"/>
      <c r="D22" s="14"/>
      <c r="E22" s="14"/>
      <c r="F22" s="14"/>
      <c r="G22" s="14"/>
      <c r="H22" s="14"/>
      <c r="I22" s="14"/>
      <c r="J22" s="14"/>
      <c r="K22" s="14">
        <v>16700</v>
      </c>
      <c r="L22" s="14"/>
      <c r="M22" s="14"/>
      <c r="N22" s="14"/>
      <c r="O22" s="14"/>
      <c r="P22" s="14"/>
      <c r="Q22" s="14"/>
      <c r="R22" s="14"/>
      <c r="S22" s="14"/>
      <c r="T22" s="116"/>
    </row>
    <row r="23">
      <c r="A23" s="103">
        <v>44917</v>
      </c>
      <c r="B23" s="5">
        <f>1300+800+100</f>
        <v>2200</v>
      </c>
      <c r="C23" s="5"/>
      <c r="D23" s="5">
        <v>1670</v>
      </c>
      <c r="E23" s="5"/>
      <c r="F23" s="5"/>
      <c r="G23" s="5"/>
      <c r="H23" s="5"/>
      <c r="I23" s="5"/>
      <c r="J23" s="5"/>
      <c r="K23" s="5">
        <f>10000+10000+3200</f>
        <v>23200</v>
      </c>
      <c r="L23" s="5"/>
      <c r="M23" s="5"/>
      <c r="N23" s="5"/>
      <c r="O23" s="5"/>
      <c r="P23" s="5"/>
      <c r="Q23" s="5"/>
      <c r="R23" s="5"/>
      <c r="S23" s="5"/>
      <c r="T23" s="116"/>
    </row>
    <row r="24">
      <c r="A24" s="103">
        <v>44918</v>
      </c>
      <c r="B24" s="14">
        <v>200</v>
      </c>
      <c r="C24" s="14"/>
      <c r="D24" s="14"/>
      <c r="E24" s="14"/>
      <c r="F24" s="14"/>
      <c r="G24" s="14"/>
      <c r="H24" s="14"/>
      <c r="I24" s="14"/>
      <c r="J24" s="14"/>
      <c r="K24" s="14">
        <v>13590</v>
      </c>
      <c r="L24" s="14"/>
      <c r="M24" s="14"/>
      <c r="N24" s="14"/>
      <c r="O24" s="14"/>
      <c r="P24" s="14"/>
      <c r="Q24" s="14"/>
      <c r="R24" s="14"/>
      <c r="S24" s="14"/>
      <c r="T24" s="116"/>
    </row>
    <row r="25">
      <c r="A25" s="103">
        <v>44919</v>
      </c>
      <c r="B25" s="28">
        <v>200</v>
      </c>
      <c r="C25" s="5"/>
      <c r="D25" s="5">
        <v>1550</v>
      </c>
      <c r="E25" s="5"/>
      <c r="F25" s="5"/>
      <c r="G25" s="5">
        <f>119.54*'Сводная таблица'!B67</f>
        <v>523.58519999999999</v>
      </c>
      <c r="H25" s="5"/>
      <c r="I25" s="5"/>
      <c r="J25" s="5"/>
      <c r="K25" s="5"/>
      <c r="L25" s="5"/>
      <c r="M25" s="5"/>
      <c r="N25" s="5"/>
      <c r="O25" s="5"/>
      <c r="P25" s="5"/>
      <c r="Q25" s="5"/>
      <c r="R25" s="5"/>
      <c r="S25" s="5"/>
      <c r="T25" s="116"/>
    </row>
    <row r="26">
      <c r="A26" s="103">
        <v>44920</v>
      </c>
      <c r="B26" s="14"/>
      <c r="C26" s="14"/>
      <c r="D26" s="14"/>
      <c r="E26" s="14"/>
      <c r="F26" s="14"/>
      <c r="G26" s="14"/>
      <c r="H26" s="14"/>
      <c r="I26" s="14"/>
      <c r="J26" s="14"/>
      <c r="K26" s="14"/>
      <c r="L26" s="14"/>
      <c r="M26" s="14"/>
      <c r="N26" s="14">
        <f>2700+(50*'Сводная таблица'!B67)</f>
        <v>2919</v>
      </c>
      <c r="O26" s="14"/>
      <c r="P26" s="14"/>
      <c r="Q26" s="14"/>
      <c r="R26" s="14"/>
      <c r="S26" s="14"/>
      <c r="T26" s="116"/>
    </row>
    <row r="27">
      <c r="A27" s="103">
        <v>44921</v>
      </c>
      <c r="B27" s="5">
        <v>200</v>
      </c>
      <c r="C27" s="6"/>
      <c r="D27" s="5"/>
      <c r="E27" s="5"/>
      <c r="F27" s="5"/>
      <c r="G27" s="5"/>
      <c r="H27" s="5"/>
      <c r="I27" s="5"/>
      <c r="J27" s="5"/>
      <c r="K27" s="5"/>
      <c r="L27" s="5"/>
      <c r="M27" s="5"/>
      <c r="N27" s="5"/>
      <c r="O27" s="5"/>
      <c r="P27" s="5"/>
      <c r="Q27" s="5"/>
      <c r="R27" s="5"/>
      <c r="S27" s="5"/>
      <c r="T27" s="116"/>
    </row>
    <row r="28">
      <c r="A28" s="103">
        <v>44922</v>
      </c>
      <c r="B28" s="14">
        <v>200</v>
      </c>
      <c r="C28" s="14"/>
      <c r="D28" s="14"/>
      <c r="E28" s="14"/>
      <c r="F28" s="14"/>
      <c r="G28" s="14"/>
      <c r="H28" s="14"/>
      <c r="I28" s="14"/>
      <c r="J28" s="14"/>
      <c r="K28" s="14"/>
      <c r="L28" s="14"/>
      <c r="M28" s="14"/>
      <c r="N28" s="14"/>
      <c r="O28" s="14"/>
      <c r="P28" s="14"/>
      <c r="Q28" s="14"/>
      <c r="R28" s="14"/>
      <c r="S28" s="14"/>
      <c r="T28" s="116"/>
    </row>
    <row r="29">
      <c r="A29" s="103">
        <v>44923</v>
      </c>
      <c r="B29" s="5">
        <v>100</v>
      </c>
      <c r="C29" s="5"/>
      <c r="D29" s="5">
        <v>1490</v>
      </c>
      <c r="E29" s="5"/>
      <c r="F29" s="5"/>
      <c r="G29" s="5"/>
      <c r="H29" s="5"/>
      <c r="I29" s="5"/>
      <c r="J29" s="5"/>
      <c r="K29" s="5"/>
      <c r="L29" s="5"/>
      <c r="M29" s="5">
        <v>5510</v>
      </c>
      <c r="N29" s="5"/>
      <c r="O29" s="5"/>
      <c r="P29" s="5"/>
      <c r="Q29" s="5"/>
      <c r="R29" s="5"/>
      <c r="S29" s="5"/>
      <c r="T29" s="116"/>
    </row>
    <row r="30">
      <c r="A30" s="103">
        <v>44924</v>
      </c>
      <c r="B30" s="22">
        <v>200</v>
      </c>
      <c r="C30" s="22"/>
      <c r="D30" s="22"/>
      <c r="E30" s="22"/>
      <c r="F30" s="22"/>
      <c r="G30" s="22"/>
      <c r="H30" s="22"/>
      <c r="I30" s="22"/>
      <c r="J30" s="22"/>
      <c r="K30" s="22"/>
      <c r="L30" s="22"/>
      <c r="M30" s="22">
        <v>5400</v>
      </c>
      <c r="N30" s="22"/>
      <c r="O30" s="22"/>
      <c r="P30" s="22"/>
      <c r="Q30" s="22"/>
      <c r="R30" s="22"/>
      <c r="S30" s="22"/>
      <c r="T30" s="116"/>
    </row>
    <row r="31">
      <c r="A31" s="103">
        <v>44925</v>
      </c>
      <c r="B31" s="5">
        <v>200</v>
      </c>
      <c r="C31" s="5">
        <v>1730</v>
      </c>
      <c r="D31" s="5"/>
      <c r="E31" s="5"/>
      <c r="F31" s="5"/>
      <c r="G31" s="5"/>
      <c r="H31" s="5"/>
      <c r="I31" s="5"/>
      <c r="J31" s="5"/>
      <c r="K31" s="5"/>
      <c r="L31" s="5"/>
      <c r="M31" s="5"/>
      <c r="N31" s="5"/>
      <c r="O31" s="5"/>
      <c r="P31" s="5"/>
      <c r="Q31" s="5"/>
      <c r="R31" s="5"/>
      <c r="S31" s="5"/>
      <c r="T31" s="116"/>
    </row>
    <row r="32">
      <c r="A32" s="103">
        <v>44926</v>
      </c>
      <c r="B32" s="22"/>
      <c r="C32" s="22">
        <v>50000</v>
      </c>
      <c r="D32" s="22"/>
      <c r="E32" s="22"/>
      <c r="F32" s="22"/>
      <c r="G32" s="22"/>
      <c r="H32" s="22"/>
      <c r="I32" s="22"/>
      <c r="J32" s="22"/>
      <c r="K32" s="22"/>
      <c r="L32" s="22"/>
      <c r="M32" s="22"/>
      <c r="N32" s="22"/>
      <c r="O32" s="22"/>
      <c r="P32" s="22"/>
      <c r="Q32" s="22"/>
      <c r="R32" s="22"/>
      <c r="S32" s="22"/>
      <c r="T32" s="116"/>
    </row>
    <row r="33">
      <c r="A33" s="75" t="s">
        <v>87</v>
      </c>
      <c r="B33" s="75">
        <f>SUM(B2:B32)</f>
        <v>33093.699999999997</v>
      </c>
      <c r="C33" s="75">
        <f>SUM(C2:C32)</f>
        <v>60298</v>
      </c>
      <c r="D33" s="75">
        <f>SUM(D2:D32)</f>
        <v>15110</v>
      </c>
      <c r="E33" s="75">
        <f>SUM(E2:E32)</f>
        <v>16410</v>
      </c>
      <c r="F33" s="75">
        <f>SUM(F2:F32)</f>
        <v>6570</v>
      </c>
      <c r="G33" s="75">
        <f>SUM(G2:G32)</f>
        <v>1215.6251999999999</v>
      </c>
      <c r="H33" s="75">
        <f>SUM(H2:H32)</f>
        <v>0</v>
      </c>
      <c r="I33" s="75">
        <f>SUM(I2:I32)</f>
        <v>0</v>
      </c>
      <c r="J33" s="75">
        <f>SUM(J2:J32)</f>
        <v>3530</v>
      </c>
      <c r="K33" s="75">
        <f>SUM(K2:K32)</f>
        <v>60500</v>
      </c>
      <c r="L33" s="75">
        <f>SUM(L2:L32)</f>
        <v>290000</v>
      </c>
      <c r="M33" s="75">
        <f>SUM(M2:M32)</f>
        <v>167740</v>
      </c>
      <c r="N33" s="75">
        <f>SUM(N2:N32)</f>
        <v>3138</v>
      </c>
      <c r="O33" s="75">
        <f>SUM(O2:O32)</f>
        <v>0</v>
      </c>
      <c r="P33" s="75">
        <f>SUM(P2:P32)</f>
        <v>0</v>
      </c>
      <c r="Q33" s="75">
        <f>SUM(Q2:Q32)</f>
        <v>4800</v>
      </c>
      <c r="R33" s="75">
        <f>SUM(R2:R32)</f>
        <v>0</v>
      </c>
      <c r="S33" s="75">
        <f>SUM(B33:R33)+SUM(S2:S32)</f>
        <v>662405.32520000008</v>
      </c>
      <c r="T33" s="107" t="s">
        <v>88</v>
      </c>
    </row>
    <row r="34">
      <c r="A34" s="108" t="s">
        <v>89</v>
      </c>
      <c r="B34" s="109">
        <f>B33/'Сводная таблица'!B67</f>
        <v>7555.6392694063925</v>
      </c>
      <c r="C34" s="109">
        <f>C33/'Сводная таблица'!B67</f>
        <v>13766.666666666668</v>
      </c>
      <c r="D34" s="109">
        <f>D33/'Сводная таблица'!B67</f>
        <v>3449.771689497717</v>
      </c>
      <c r="E34" s="109">
        <f>E33/'Сводная таблица'!B67</f>
        <v>3746.5753424657537</v>
      </c>
      <c r="F34" s="109">
        <f>F33/'Сводная таблица'!B67</f>
        <v>1500</v>
      </c>
      <c r="G34" s="109">
        <f>G33/'Сводная таблица'!B67</f>
        <v>277.54000000000002</v>
      </c>
      <c r="H34" s="109">
        <f>H33/'Сводная таблица'!B67</f>
        <v>0</v>
      </c>
      <c r="I34" s="109">
        <f>I33/'Сводная таблица'!B67</f>
        <v>0</v>
      </c>
      <c r="J34" s="109">
        <f>J33/'Сводная таблица'!B67</f>
        <v>805.93607305936075</v>
      </c>
      <c r="K34" s="109">
        <f>K33/'Сводная таблица'!B67</f>
        <v>13812.785388127853</v>
      </c>
      <c r="L34" s="109">
        <f>L33/'Сводная таблица'!B67</f>
        <v>66210.045662100456</v>
      </c>
      <c r="M34" s="109">
        <f>M33/'Сводная таблица'!B67</f>
        <v>38296.803652968039</v>
      </c>
      <c r="N34" s="109">
        <f>N33/'Сводная таблица'!B67</f>
        <v>716.43835616438355</v>
      </c>
      <c r="O34" s="109">
        <f>O33/'Сводная таблица'!B67</f>
        <v>0</v>
      </c>
      <c r="P34" s="109">
        <f>P33/'Сводная таблица'!B67</f>
        <v>0</v>
      </c>
      <c r="Q34" s="109">
        <f>Q33/'Сводная таблица'!B67</f>
        <v>1095.8904109589041</v>
      </c>
      <c r="R34" s="109">
        <f>R33/'Сводная таблица'!B67</f>
        <v>0</v>
      </c>
      <c r="S34" s="117">
        <f>S33/'Сводная таблица'!B67</f>
        <v>151234.09251141554</v>
      </c>
      <c r="T34" s="107" t="s">
        <v>90</v>
      </c>
    </row>
    <row r="35" ht="27.75" customHeight="1">
      <c r="A35" s="111" t="s">
        <v>0</v>
      </c>
      <c r="B35" s="111" t="s">
        <v>50</v>
      </c>
      <c r="C35" s="111" t="s">
        <v>13</v>
      </c>
      <c r="D35" s="111" t="s">
        <v>11</v>
      </c>
      <c r="E35" s="111" t="s">
        <v>51</v>
      </c>
      <c r="F35" s="111" t="s">
        <v>52</v>
      </c>
      <c r="G35" s="111" t="s">
        <v>53</v>
      </c>
      <c r="H35" s="111" t="s">
        <v>54</v>
      </c>
      <c r="I35" s="111" t="s">
        <v>55</v>
      </c>
      <c r="J35" s="111" t="s">
        <v>61</v>
      </c>
      <c r="K35" s="111" t="s">
        <v>74</v>
      </c>
      <c r="L35" s="112"/>
      <c r="M35" s="112"/>
      <c r="N35" s="112"/>
      <c r="O35" s="112"/>
      <c r="P35" s="112"/>
      <c r="Q35" s="112"/>
      <c r="R35" s="112"/>
      <c r="S35" s="112"/>
      <c r="T35" s="116"/>
    </row>
    <row r="36">
      <c r="A36" s="103">
        <v>44896</v>
      </c>
      <c r="B36" s="14"/>
      <c r="C36" s="14"/>
      <c r="D36" s="14"/>
      <c r="E36" s="14"/>
      <c r="F36" s="14"/>
      <c r="G36" s="14"/>
      <c r="H36" s="14"/>
      <c r="I36" s="14"/>
      <c r="J36" s="22"/>
      <c r="K36" s="22"/>
      <c r="L36" s="22"/>
      <c r="M36" s="22"/>
      <c r="N36" s="22"/>
      <c r="O36" s="22"/>
      <c r="P36" s="22"/>
      <c r="Q36" s="22"/>
      <c r="R36" s="22"/>
      <c r="S36" s="22"/>
      <c r="T36" s="116"/>
    </row>
    <row r="37">
      <c r="A37" s="103">
        <v>44897</v>
      </c>
      <c r="B37" s="5">
        <v>500000</v>
      </c>
      <c r="C37" s="5"/>
      <c r="D37" s="5"/>
      <c r="E37" s="5"/>
      <c r="F37" s="5"/>
      <c r="G37" s="5"/>
      <c r="H37" s="5"/>
      <c r="I37" s="5"/>
      <c r="J37" s="5"/>
      <c r="K37" s="5"/>
      <c r="L37" s="5"/>
      <c r="M37" s="5"/>
      <c r="N37" s="5"/>
      <c r="O37" s="5"/>
      <c r="P37" s="5"/>
      <c r="Q37" s="5"/>
      <c r="R37" s="5"/>
      <c r="S37" s="5"/>
      <c r="T37" s="116"/>
    </row>
    <row r="38">
      <c r="A38" s="103">
        <v>44898</v>
      </c>
      <c r="B38" s="14"/>
      <c r="C38" s="14"/>
      <c r="D38" s="14"/>
      <c r="E38" s="14"/>
      <c r="F38" s="14"/>
      <c r="G38" s="14"/>
      <c r="H38" s="14"/>
      <c r="I38" s="14"/>
      <c r="J38" s="22"/>
      <c r="K38" s="22"/>
      <c r="L38" s="22"/>
      <c r="M38" s="22"/>
      <c r="N38" s="22"/>
      <c r="O38" s="22"/>
      <c r="P38" s="22"/>
      <c r="Q38" s="22"/>
      <c r="R38" s="22"/>
      <c r="S38" s="22"/>
      <c r="T38" s="116"/>
    </row>
    <row r="39">
      <c r="A39" s="103">
        <v>44899</v>
      </c>
      <c r="B39" s="5"/>
      <c r="C39" s="5"/>
      <c r="D39" s="5"/>
      <c r="E39" s="71">
        <f>1.47*'Сводная таблица'!B67</f>
        <v>6.4386000000000001</v>
      </c>
      <c r="F39" s="5"/>
      <c r="G39" s="5"/>
      <c r="H39" s="5"/>
      <c r="I39" s="5"/>
      <c r="J39" s="5"/>
      <c r="K39" s="5"/>
      <c r="L39" s="5"/>
      <c r="M39" s="5"/>
      <c r="N39" s="5"/>
      <c r="O39" s="5"/>
      <c r="P39" s="5"/>
      <c r="Q39" s="5"/>
      <c r="R39" s="5"/>
      <c r="S39" s="5"/>
      <c r="T39" s="116"/>
    </row>
    <row r="40">
      <c r="A40" s="103">
        <v>44900</v>
      </c>
      <c r="B40" s="14"/>
      <c r="C40" s="14"/>
      <c r="D40" s="14"/>
      <c r="E40" s="14"/>
      <c r="F40" s="14"/>
      <c r="G40" s="14"/>
      <c r="H40" s="14"/>
      <c r="I40" s="14">
        <f>(351+286-59-99)*'Сводная таблица'!B67</f>
        <v>2098.02</v>
      </c>
      <c r="J40" s="14"/>
      <c r="K40" s="14"/>
      <c r="L40" s="14"/>
      <c r="M40" s="14"/>
      <c r="N40" s="14"/>
      <c r="O40" s="14"/>
      <c r="P40" s="14"/>
      <c r="Q40" s="14"/>
      <c r="R40" s="14"/>
      <c r="S40" s="14"/>
      <c r="T40" s="116"/>
    </row>
    <row r="41">
      <c r="A41" s="103">
        <v>44901</v>
      </c>
      <c r="B41" s="5"/>
      <c r="C41" s="5"/>
      <c r="D41" s="5"/>
      <c r="E41" s="5">
        <f>54.31*'Сводная таблица'!B67</f>
        <v>237.87780000000001</v>
      </c>
      <c r="F41" s="5"/>
      <c r="G41" s="5"/>
      <c r="H41" s="5"/>
      <c r="I41" s="5"/>
      <c r="J41" s="5"/>
      <c r="K41" s="5"/>
      <c r="L41" s="5"/>
      <c r="M41" s="5"/>
      <c r="N41" s="5"/>
      <c r="O41" s="5"/>
      <c r="P41" s="5"/>
      <c r="Q41" s="5"/>
      <c r="R41" s="5"/>
      <c r="S41" s="5"/>
      <c r="T41" s="116"/>
    </row>
    <row r="42">
      <c r="A42" s="103">
        <v>44902</v>
      </c>
      <c r="B42" s="14"/>
      <c r="C42" s="14"/>
      <c r="D42" s="14"/>
      <c r="E42" s="14"/>
      <c r="F42" s="14"/>
      <c r="G42" s="14"/>
      <c r="H42" s="14"/>
      <c r="I42" s="14"/>
      <c r="J42" s="14"/>
      <c r="K42" s="14"/>
      <c r="L42" s="14"/>
      <c r="M42" s="14"/>
      <c r="N42" s="14"/>
      <c r="O42" s="14"/>
      <c r="P42" s="14"/>
      <c r="Q42" s="14"/>
      <c r="R42" s="14"/>
      <c r="S42" s="14"/>
      <c r="T42" s="116"/>
    </row>
    <row r="43">
      <c r="A43" s="103">
        <v>44903</v>
      </c>
      <c r="B43" s="5"/>
      <c r="C43" s="5"/>
      <c r="D43" s="5"/>
      <c r="E43" s="5"/>
      <c r="F43" s="5"/>
      <c r="G43" s="5"/>
      <c r="H43" s="5"/>
      <c r="I43" s="5"/>
      <c r="J43" s="5"/>
      <c r="K43" s="5"/>
      <c r="L43" s="5"/>
      <c r="M43" s="5"/>
      <c r="N43" s="5"/>
      <c r="O43" s="5"/>
      <c r="P43" s="5"/>
      <c r="Q43" s="5"/>
      <c r="R43" s="5"/>
      <c r="S43" s="5"/>
      <c r="T43" s="116"/>
    </row>
    <row r="44">
      <c r="A44" s="103">
        <v>44904</v>
      </c>
      <c r="B44" s="79"/>
      <c r="C44" s="14"/>
      <c r="D44" s="14"/>
      <c r="E44" s="14"/>
      <c r="F44" s="14"/>
      <c r="G44" s="14"/>
      <c r="H44" s="14"/>
      <c r="I44" s="14"/>
      <c r="J44" s="14"/>
      <c r="K44" s="14"/>
      <c r="L44" s="14"/>
      <c r="M44" s="14"/>
      <c r="N44" s="14"/>
      <c r="O44" s="14"/>
      <c r="P44" s="14"/>
      <c r="Q44" s="14"/>
      <c r="R44" s="14"/>
      <c r="S44" s="14"/>
      <c r="T44" s="116"/>
    </row>
    <row r="45">
      <c r="A45" s="103">
        <v>44905</v>
      </c>
      <c r="B45" s="5"/>
      <c r="C45" s="5"/>
      <c r="D45" s="5"/>
      <c r="E45" s="5"/>
      <c r="F45" s="5"/>
      <c r="G45" s="5"/>
      <c r="H45" s="5"/>
      <c r="I45" s="5"/>
      <c r="J45" s="5"/>
      <c r="K45" s="5"/>
      <c r="L45" s="5"/>
      <c r="M45" s="5"/>
      <c r="N45" s="5"/>
      <c r="O45" s="5"/>
      <c r="P45" s="5"/>
      <c r="Q45" s="5"/>
      <c r="R45" s="5"/>
      <c r="S45" s="5"/>
      <c r="T45" s="116"/>
    </row>
    <row r="46">
      <c r="A46" s="103">
        <v>44906</v>
      </c>
      <c r="B46" s="14"/>
      <c r="C46" s="14"/>
      <c r="D46" s="14"/>
      <c r="E46" s="14"/>
      <c r="F46" s="14"/>
      <c r="G46" s="14"/>
      <c r="H46" s="14"/>
      <c r="I46" s="14"/>
      <c r="J46" s="14"/>
      <c r="K46" s="14"/>
      <c r="L46" s="14"/>
      <c r="M46" s="14"/>
      <c r="N46" s="14"/>
      <c r="O46" s="14"/>
      <c r="P46" s="14"/>
      <c r="Q46" s="14"/>
      <c r="R46" s="14"/>
      <c r="S46" s="14"/>
      <c r="T46" s="116"/>
    </row>
    <row r="47">
      <c r="A47" s="103">
        <v>44907</v>
      </c>
      <c r="B47" s="5"/>
      <c r="C47" s="5"/>
      <c r="D47" s="5"/>
      <c r="E47" s="5"/>
      <c r="F47" s="5"/>
      <c r="G47" s="5"/>
      <c r="H47" s="5"/>
      <c r="I47" s="5"/>
      <c r="J47" s="5"/>
      <c r="K47" s="5"/>
      <c r="L47" s="5"/>
      <c r="M47" s="5"/>
      <c r="N47" s="5"/>
      <c r="O47" s="5"/>
      <c r="P47" s="5"/>
      <c r="Q47" s="5"/>
      <c r="R47" s="5"/>
      <c r="S47" s="5"/>
      <c r="T47" s="116"/>
    </row>
    <row r="48">
      <c r="A48" s="103">
        <v>44908</v>
      </c>
      <c r="B48" s="14"/>
      <c r="C48" s="14"/>
      <c r="D48" s="14"/>
      <c r="E48" s="14"/>
      <c r="F48" s="14"/>
      <c r="G48" s="14"/>
      <c r="H48" s="14"/>
      <c r="I48" s="14"/>
      <c r="J48" s="14"/>
      <c r="K48" s="14"/>
      <c r="L48" s="14"/>
      <c r="M48" s="14"/>
      <c r="N48" s="14"/>
      <c r="O48" s="14"/>
      <c r="P48" s="14"/>
      <c r="Q48" s="14"/>
      <c r="R48" s="14"/>
      <c r="S48" s="14"/>
      <c r="T48" s="116"/>
    </row>
    <row r="49">
      <c r="A49" s="103">
        <v>44909</v>
      </c>
      <c r="B49" s="5"/>
      <c r="C49" s="5"/>
      <c r="D49" s="5"/>
      <c r="E49" s="5"/>
      <c r="F49" s="5"/>
      <c r="G49" s="5"/>
      <c r="H49" s="5"/>
      <c r="I49" s="5"/>
      <c r="J49" s="5"/>
      <c r="K49" s="5"/>
      <c r="L49" s="5"/>
      <c r="M49" s="5"/>
      <c r="N49" s="5"/>
      <c r="O49" s="5"/>
      <c r="P49" s="5"/>
      <c r="Q49" s="5"/>
      <c r="R49" s="5"/>
      <c r="S49" s="5"/>
      <c r="T49" s="116"/>
    </row>
    <row r="50">
      <c r="A50" s="103">
        <v>44910</v>
      </c>
      <c r="B50" s="14"/>
      <c r="C50" s="14"/>
      <c r="D50" s="14"/>
      <c r="E50" s="14"/>
      <c r="F50" s="14"/>
      <c r="G50" s="14"/>
      <c r="H50" s="14"/>
      <c r="I50" s="14"/>
      <c r="J50" s="14"/>
      <c r="K50" s="14"/>
      <c r="L50" s="14"/>
      <c r="M50" s="14"/>
      <c r="N50" s="14"/>
      <c r="O50" s="14"/>
      <c r="P50" s="14"/>
      <c r="Q50" s="14"/>
      <c r="R50" s="14"/>
      <c r="S50" s="14"/>
      <c r="T50" s="116"/>
    </row>
    <row r="51">
      <c r="A51" s="103">
        <v>44911</v>
      </c>
      <c r="B51" s="5"/>
      <c r="C51" s="5"/>
      <c r="D51" s="5"/>
      <c r="E51" s="5"/>
      <c r="F51" s="5"/>
      <c r="G51" s="5"/>
      <c r="H51" s="5"/>
      <c r="I51" s="5"/>
      <c r="J51" s="5"/>
      <c r="K51" s="5"/>
      <c r="L51" s="5"/>
      <c r="M51" s="5"/>
      <c r="N51" s="5"/>
      <c r="O51" s="5"/>
      <c r="P51" s="5"/>
      <c r="Q51" s="5"/>
      <c r="R51" s="5"/>
      <c r="S51" s="5"/>
      <c r="T51" s="116"/>
    </row>
    <row r="52">
      <c r="A52" s="103">
        <v>44912</v>
      </c>
      <c r="B52" s="14"/>
      <c r="C52" s="14"/>
      <c r="D52" s="14"/>
      <c r="E52" s="14"/>
      <c r="F52" s="14"/>
      <c r="G52" s="14"/>
      <c r="H52" s="14"/>
      <c r="I52" s="14"/>
      <c r="J52" s="14"/>
      <c r="K52" s="14"/>
      <c r="L52" s="14"/>
      <c r="M52" s="14"/>
      <c r="N52" s="14"/>
      <c r="O52" s="14"/>
      <c r="P52" s="14"/>
      <c r="Q52" s="14"/>
      <c r="R52" s="14"/>
      <c r="S52" s="14"/>
      <c r="T52" s="116"/>
    </row>
    <row r="53">
      <c r="A53" s="103">
        <v>44913</v>
      </c>
      <c r="B53" s="5"/>
      <c r="C53" s="5"/>
      <c r="D53" s="5"/>
      <c r="E53" s="5"/>
      <c r="F53" s="5"/>
      <c r="G53" s="5"/>
      <c r="H53" s="5"/>
      <c r="I53" s="5"/>
      <c r="J53" s="5"/>
      <c r="K53" s="5"/>
      <c r="L53" s="5"/>
      <c r="M53" s="5"/>
      <c r="N53" s="5"/>
      <c r="O53" s="5"/>
      <c r="P53" s="5"/>
      <c r="Q53" s="5"/>
      <c r="R53" s="5"/>
      <c r="S53" s="5"/>
      <c r="T53" s="116"/>
    </row>
    <row r="54">
      <c r="A54" s="103">
        <v>44914</v>
      </c>
      <c r="B54" s="14"/>
      <c r="C54" s="14"/>
      <c r="D54" s="14"/>
      <c r="E54" s="14"/>
      <c r="F54" s="14"/>
      <c r="G54" s="14"/>
      <c r="H54" s="14"/>
      <c r="I54" s="14"/>
      <c r="J54" s="14"/>
      <c r="K54" s="14"/>
      <c r="L54" s="14"/>
      <c r="M54" s="14"/>
      <c r="N54" s="14"/>
      <c r="O54" s="14"/>
      <c r="P54" s="14"/>
      <c r="Q54" s="14"/>
      <c r="R54" s="14"/>
      <c r="S54" s="14"/>
      <c r="T54" s="116"/>
    </row>
    <row r="55">
      <c r="A55" s="103">
        <v>44915</v>
      </c>
      <c r="B55" s="5"/>
      <c r="C55" s="5"/>
      <c r="D55" s="5"/>
      <c r="E55" s="5"/>
      <c r="F55" s="5"/>
      <c r="G55" s="5"/>
      <c r="H55" s="5"/>
      <c r="I55" s="5"/>
      <c r="J55" s="5"/>
      <c r="K55" s="5"/>
      <c r="L55" s="5"/>
      <c r="M55" s="5"/>
      <c r="N55" s="5"/>
      <c r="O55" s="5"/>
      <c r="P55" s="5"/>
      <c r="Q55" s="5"/>
      <c r="R55" s="5"/>
      <c r="S55" s="5"/>
      <c r="T55" s="116"/>
    </row>
    <row r="56">
      <c r="A56" s="103">
        <v>44916</v>
      </c>
      <c r="B56" s="14"/>
      <c r="C56" s="14"/>
      <c r="D56" s="14"/>
      <c r="E56" s="14"/>
      <c r="F56" s="14"/>
      <c r="G56" s="14"/>
      <c r="H56" s="14"/>
      <c r="I56" s="14"/>
      <c r="J56" s="14"/>
      <c r="K56" s="14"/>
      <c r="L56" s="14"/>
      <c r="M56" s="14"/>
      <c r="N56" s="14"/>
      <c r="O56" s="14"/>
      <c r="P56" s="14"/>
      <c r="Q56" s="14"/>
      <c r="R56" s="14"/>
      <c r="S56" s="14"/>
      <c r="T56" s="116"/>
    </row>
    <row r="57">
      <c r="A57" s="103">
        <v>44917</v>
      </c>
      <c r="B57" s="5"/>
      <c r="C57" s="5"/>
      <c r="D57" s="5"/>
      <c r="E57" s="5"/>
      <c r="F57" s="5"/>
      <c r="G57" s="5"/>
      <c r="H57" s="5"/>
      <c r="I57" s="5"/>
      <c r="J57" s="5"/>
      <c r="K57" s="5"/>
      <c r="L57" s="5"/>
      <c r="M57" s="5"/>
      <c r="N57" s="5"/>
      <c r="O57" s="5"/>
      <c r="P57" s="5"/>
      <c r="Q57" s="5"/>
      <c r="R57" s="5"/>
      <c r="S57" s="5"/>
      <c r="T57" s="116"/>
    </row>
    <row r="58">
      <c r="A58" s="103">
        <v>44918</v>
      </c>
      <c r="B58" s="14"/>
      <c r="C58" s="14"/>
      <c r="D58" s="14"/>
      <c r="E58" s="14"/>
      <c r="F58" s="14"/>
      <c r="G58" s="14"/>
      <c r="H58" s="14"/>
      <c r="I58" s="14"/>
      <c r="J58" s="14"/>
      <c r="K58" s="14"/>
      <c r="L58" s="14"/>
      <c r="M58" s="14"/>
      <c r="N58" s="14"/>
      <c r="O58" s="14"/>
      <c r="P58" s="14"/>
      <c r="Q58" s="14"/>
      <c r="R58" s="14"/>
      <c r="S58" s="14"/>
      <c r="T58" s="116"/>
    </row>
    <row r="59">
      <c r="A59" s="103">
        <v>44919</v>
      </c>
      <c r="B59" s="5"/>
      <c r="C59" s="5"/>
      <c r="D59" s="5"/>
      <c r="E59" s="5"/>
      <c r="F59" s="5"/>
      <c r="G59" s="5"/>
      <c r="H59" s="5"/>
      <c r="I59" s="5"/>
      <c r="J59" s="5"/>
      <c r="K59" s="5"/>
      <c r="L59" s="5"/>
      <c r="M59" s="5"/>
      <c r="N59" s="5"/>
      <c r="O59" s="5"/>
      <c r="P59" s="5"/>
      <c r="Q59" s="5"/>
      <c r="R59" s="5"/>
      <c r="S59" s="5"/>
      <c r="T59" s="116"/>
    </row>
    <row r="60">
      <c r="A60" s="103">
        <v>44920</v>
      </c>
      <c r="B60" s="14"/>
      <c r="C60" s="14"/>
      <c r="D60" s="14"/>
      <c r="E60" s="14"/>
      <c r="F60" s="14"/>
      <c r="G60" s="14"/>
      <c r="H60" s="14"/>
      <c r="I60" s="14"/>
      <c r="J60" s="14"/>
      <c r="K60" s="14"/>
      <c r="L60" s="14"/>
      <c r="M60" s="14"/>
      <c r="N60" s="14"/>
      <c r="O60" s="14"/>
      <c r="P60" s="14"/>
      <c r="Q60" s="14"/>
      <c r="R60" s="14"/>
      <c r="S60" s="14"/>
      <c r="T60" s="116"/>
    </row>
    <row r="61">
      <c r="A61" s="103">
        <v>44921</v>
      </c>
      <c r="B61" s="5"/>
      <c r="C61" s="5"/>
      <c r="D61" s="5"/>
      <c r="E61" s="5"/>
      <c r="F61" s="5"/>
      <c r="G61" s="5"/>
      <c r="H61" s="5"/>
      <c r="I61" s="5"/>
      <c r="J61" s="5"/>
      <c r="K61" s="5"/>
      <c r="L61" s="5"/>
      <c r="M61" s="5"/>
      <c r="N61" s="5"/>
      <c r="O61" s="5"/>
      <c r="P61" s="5"/>
      <c r="Q61" s="5"/>
      <c r="R61" s="5"/>
      <c r="S61" s="5"/>
      <c r="T61" s="116"/>
    </row>
    <row r="62">
      <c r="A62" s="103">
        <v>44922</v>
      </c>
      <c r="B62" s="14"/>
      <c r="C62" s="14"/>
      <c r="D62" s="14"/>
      <c r="E62" s="14"/>
      <c r="F62" s="14"/>
      <c r="G62" s="14"/>
      <c r="H62" s="14"/>
      <c r="I62" s="14"/>
      <c r="J62" s="14"/>
      <c r="K62" s="14"/>
      <c r="L62" s="14"/>
      <c r="M62" s="14"/>
      <c r="N62" s="14"/>
      <c r="O62" s="14"/>
      <c r="P62" s="14"/>
      <c r="Q62" s="14"/>
      <c r="R62" s="14"/>
      <c r="S62" s="14"/>
      <c r="T62" s="116"/>
    </row>
    <row r="63">
      <c r="A63" s="103">
        <v>44923</v>
      </c>
      <c r="B63" s="5"/>
      <c r="C63" s="5"/>
      <c r="D63" s="5"/>
      <c r="E63" s="5"/>
      <c r="F63" s="5"/>
      <c r="G63" s="5"/>
      <c r="H63" s="5"/>
      <c r="I63" s="5"/>
      <c r="J63" s="5"/>
      <c r="K63" s="5"/>
      <c r="L63" s="5"/>
      <c r="M63" s="5"/>
      <c r="N63" s="5"/>
      <c r="O63" s="5"/>
      <c r="P63" s="5"/>
      <c r="Q63" s="5"/>
      <c r="R63" s="48"/>
      <c r="S63" s="5"/>
      <c r="T63" s="116"/>
    </row>
    <row r="64">
      <c r="A64" s="103">
        <v>44924</v>
      </c>
      <c r="B64" s="22"/>
      <c r="C64" s="22"/>
      <c r="D64" s="22"/>
      <c r="E64" s="22"/>
      <c r="F64" s="22"/>
      <c r="G64" s="22"/>
      <c r="H64" s="22"/>
      <c r="I64" s="22"/>
      <c r="J64" s="14"/>
      <c r="K64" s="14"/>
      <c r="L64" s="14"/>
      <c r="M64" s="14"/>
      <c r="N64" s="14"/>
      <c r="O64" s="14"/>
      <c r="P64" s="14"/>
      <c r="Q64" s="14"/>
      <c r="R64" s="80"/>
      <c r="S64" s="14"/>
      <c r="T64" s="116"/>
    </row>
    <row r="65">
      <c r="A65" s="103">
        <v>44925</v>
      </c>
      <c r="B65" s="5"/>
      <c r="C65" s="5"/>
      <c r="D65" s="5"/>
      <c r="E65" s="5"/>
      <c r="F65" s="5"/>
      <c r="G65" s="5"/>
      <c r="H65" s="5"/>
      <c r="I65" s="5"/>
      <c r="J65" s="5"/>
      <c r="K65" s="5"/>
      <c r="L65" s="5"/>
      <c r="M65" s="5"/>
      <c r="N65" s="5"/>
      <c r="O65" s="5"/>
      <c r="P65" s="5"/>
      <c r="Q65" s="5"/>
      <c r="R65" s="48"/>
      <c r="S65" s="5"/>
      <c r="T65" s="116"/>
    </row>
    <row r="66">
      <c r="A66" s="103">
        <v>44926</v>
      </c>
      <c r="B66" s="22"/>
      <c r="C66" s="22"/>
      <c r="D66" s="22"/>
      <c r="E66" s="22">
        <f>378.9*'Сводная таблица'!B84</f>
        <v>1659.5819999999999</v>
      </c>
      <c r="F66" s="22"/>
      <c r="G66" s="22"/>
      <c r="H66" s="22"/>
      <c r="I66" s="22"/>
      <c r="J66" s="14"/>
      <c r="K66" s="14"/>
      <c r="L66" s="14"/>
      <c r="M66" s="14"/>
      <c r="N66" s="14"/>
      <c r="O66" s="14"/>
      <c r="P66" s="14"/>
      <c r="Q66" s="14"/>
      <c r="R66" s="80"/>
      <c r="S66" s="14"/>
      <c r="T66" s="116"/>
    </row>
    <row r="67">
      <c r="A67" s="75" t="s">
        <v>87</v>
      </c>
      <c r="B67" s="75">
        <f>SUM(B36:B66)</f>
        <v>500000</v>
      </c>
      <c r="C67" s="75">
        <f>SUM(C36:C66)</f>
        <v>0</v>
      </c>
      <c r="D67" s="75">
        <f>SUM(D36:D66)</f>
        <v>0</v>
      </c>
      <c r="E67" s="75">
        <f>SUM(E36:E66)</f>
        <v>1903.8983999999998</v>
      </c>
      <c r="F67" s="75">
        <f>SUM(F36:F66)</f>
        <v>0</v>
      </c>
      <c r="G67" s="75">
        <f>SUM(G36:G66)</f>
        <v>0</v>
      </c>
      <c r="H67" s="75">
        <f>SUM(H36:H66)</f>
        <v>0</v>
      </c>
      <c r="I67" s="75">
        <f>SUM(I36:I66)</f>
        <v>2098.02</v>
      </c>
      <c r="J67" s="75">
        <f>SUM(J36:J66)</f>
        <v>0</v>
      </c>
      <c r="K67" s="75">
        <f>SUM(K36:K66)</f>
        <v>0</v>
      </c>
      <c r="L67" s="75">
        <f>SUM(L36:L66)</f>
        <v>0</v>
      </c>
      <c r="M67" s="75">
        <f>SUM(M36:M66)</f>
        <v>0</v>
      </c>
      <c r="N67" s="75">
        <f>SUM(N36:N66)</f>
        <v>0</v>
      </c>
      <c r="O67" s="75">
        <f>SUM(O36:O66)</f>
        <v>0</v>
      </c>
      <c r="P67" s="75">
        <f>SUM(P36:P66)</f>
        <v>0</v>
      </c>
      <c r="Q67" s="75">
        <f>SUM(Q36:Q66)</f>
        <v>0</v>
      </c>
      <c r="R67" s="75">
        <f>SUM(R36:R66)</f>
        <v>0</v>
      </c>
      <c r="S67" s="75">
        <f>SUM(B67:R67)</f>
        <v>504001.91840000002</v>
      </c>
      <c r="T67" s="107" t="s">
        <v>88</v>
      </c>
    </row>
    <row r="68">
      <c r="A68" s="108" t="s">
        <v>89</v>
      </c>
      <c r="B68" s="110">
        <f>B67/'Сводная таблица'!B67</f>
        <v>114155.25114155251</v>
      </c>
      <c r="C68" s="110"/>
      <c r="D68" s="110"/>
      <c r="E68" s="110">
        <f>E67/'Сводная таблица'!B67</f>
        <v>434.67999999999995</v>
      </c>
      <c r="F68" s="110"/>
      <c r="G68" s="110"/>
      <c r="H68" s="110"/>
      <c r="I68" s="110">
        <f>I67/'Сводная таблица'!B67</f>
        <v>479</v>
      </c>
      <c r="J68" s="110"/>
      <c r="K68" s="110"/>
      <c r="L68" s="110"/>
      <c r="M68" s="110"/>
      <c r="N68" s="110"/>
      <c r="O68" s="110"/>
      <c r="P68" s="110"/>
      <c r="Q68" s="110"/>
      <c r="R68" s="110"/>
      <c r="S68" s="110">
        <f>S67/'Сводная таблица'!B67</f>
        <v>115068.93114155252</v>
      </c>
      <c r="T68" s="107" t="s">
        <v>90</v>
      </c>
    </row>
    <row r="69">
      <c r="A69" s="26" t="s">
        <v>67</v>
      </c>
      <c r="B69" s="26"/>
      <c r="C69" s="26"/>
      <c r="D69" s="26"/>
      <c r="E69" s="26"/>
      <c r="F69" s="26"/>
      <c r="G69" s="26"/>
      <c r="H69" s="26"/>
      <c r="I69" s="26"/>
      <c r="J69" s="26"/>
      <c r="K69" s="26"/>
      <c r="L69" s="26"/>
      <c r="M69" s="26"/>
      <c r="N69" s="26"/>
      <c r="O69" s="26"/>
      <c r="P69" s="26"/>
      <c r="Q69" s="26"/>
      <c r="R69" s="26"/>
      <c r="S69" s="26"/>
      <c r="T69" s="116"/>
    </row>
    <row r="70">
      <c r="A70" s="5" t="s">
        <v>68</v>
      </c>
      <c r="B70" s="118">
        <f>21000-344+2039+(23000-23000)-344-344+8164.1-4600-3300+(3000-3000)+80000+2000+(5500-5500)+(5650-5100)+1000+300+300+11814.99+10000</f>
        <v>128236.09000000001</v>
      </c>
      <c r="C70" s="5"/>
      <c r="D70" s="5"/>
      <c r="E70" s="5"/>
      <c r="F70" s="5"/>
      <c r="G70" s="5"/>
      <c r="H70" s="5"/>
      <c r="I70" s="5"/>
      <c r="J70" s="5"/>
      <c r="K70" s="5"/>
      <c r="L70" s="5"/>
      <c r="M70" s="5"/>
      <c r="N70" s="5"/>
      <c r="O70" s="5"/>
      <c r="P70" s="5"/>
      <c r="Q70" s="5"/>
      <c r="R70" s="5"/>
      <c r="S70" s="5"/>
      <c r="T70" s="116"/>
    </row>
    <row r="71">
      <c r="A71" s="5" t="s">
        <v>76</v>
      </c>
      <c r="B71" s="5">
        <f>3000+1000+1200+1300+1500</f>
        <v>8000</v>
      </c>
      <c r="C71" s="5"/>
      <c r="D71" s="5"/>
      <c r="E71" s="5"/>
      <c r="F71" s="5"/>
      <c r="G71" s="5"/>
      <c r="H71" s="5"/>
      <c r="I71" s="5"/>
      <c r="J71" s="5"/>
      <c r="K71" s="5"/>
      <c r="L71" s="5"/>
      <c r="M71" s="5"/>
      <c r="N71" s="5"/>
      <c r="O71" s="5"/>
      <c r="P71" s="5"/>
      <c r="Q71" s="5"/>
      <c r="R71" s="5"/>
      <c r="S71" s="5"/>
      <c r="T71" s="1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4" percent="1" timePeriod="today" id="{00EC0081-00BB-410D-89BC-006F004E0011}">
            <x14:dxf>
              <font>
                <color rgb="FF9C0006"/>
              </font>
              <fill>
                <patternFill patternType="solid">
                  <fgColor rgb="FFFFC7CE"/>
                  <bgColor rgb="FFFFC7CE"/>
                </patternFill>
              </fill>
            </x14:dxf>
          </x14:cfRule>
          <xm:sqref>A2:A32</xm:sqref>
        </x14:conditionalFormatting>
        <x14:conditionalFormatting xmlns:xm="http://schemas.microsoft.com/office/excel/2006/main">
          <x14:cfRule type="timePeriod" priority="3" percent="1" timePeriod="today" id="{0051007E-00B5-4948-9DD9-000A00500077}">
            <x14:dxf>
              <font>
                <color rgb="FF006100"/>
              </font>
              <fill>
                <patternFill patternType="solid">
                  <fgColor rgb="FFC6EFCE"/>
                  <bgColor rgb="FFC6EFCE"/>
                </patternFill>
              </fill>
            </x14:dxf>
          </x14:cfRule>
          <xm:sqref>A36:A66</xm:sqref>
        </x14:conditionalFormatting>
        <x14:conditionalFormatting xmlns:xm="http://schemas.microsoft.com/office/excel/2006/main">
          <x14:cfRule type="timePeriod" priority="2" percent="1" timePeriod="today" id="{006D0015-00A9-4269-861C-003A00260020}">
            <x14:dxf>
              <font>
                <color rgb="FF006100"/>
              </font>
              <fill>
                <patternFill patternType="solid">
                  <fgColor rgb="FFC6EFCE"/>
                  <bgColor rgb="FFC6EFCE"/>
                </patternFill>
              </fill>
            </x14:dxf>
          </x14:cfRule>
          <xm:sqref>A2:A32</xm:sqref>
        </x14:conditionalFormatting>
        <x14:conditionalFormatting xmlns:xm="http://schemas.microsoft.com/office/excel/2006/main">
          <x14:cfRule type="timePeriod" priority="1" percent="1" timePeriod="today" id="{008100BE-003B-4970-8446-00ED00870059}">
            <x14:dxf>
              <font>
                <color rgb="FF006100"/>
              </font>
              <fill>
                <patternFill patternType="solid">
                  <fgColor rgb="FFC6EFCE"/>
                  <bgColor rgb="FFC6EFCE"/>
                </patternFill>
              </fill>
            </x14:dxf>
          </x14:cfRule>
          <xm:sqref>A2:S32</xm:sqref>
        </x14:conditionalFormatting>
      </x14:conditionalFormattings>
    </ext>
  </extLst>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34" zoomScale="100" workbookViewId="0">
      <selection activeCell="A1" activeCellId="0" sqref="A1"/>
    </sheetView>
  </sheetViews>
  <sheetFormatPr defaultRowHeight="14.25"/>
  <cols>
    <col customWidth="1" min="1" max="1" width="11.421875"/>
    <col customWidth="1" min="10" max="10" width="10.421875"/>
  </cols>
  <sheetData>
    <row r="1" ht="28.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16"/>
    </row>
    <row r="2">
      <c r="A2" s="103">
        <v>44927</v>
      </c>
      <c r="B2" s="14"/>
      <c r="C2" s="14"/>
      <c r="D2" s="14"/>
      <c r="E2" s="14"/>
      <c r="F2" s="14"/>
      <c r="G2" s="14"/>
      <c r="H2" s="14"/>
      <c r="I2" s="14"/>
      <c r="J2" s="14"/>
      <c r="K2" s="14"/>
      <c r="L2" s="14"/>
      <c r="M2" s="14"/>
      <c r="N2" s="14"/>
      <c r="O2" s="14"/>
      <c r="P2" s="14"/>
      <c r="Q2" s="14"/>
      <c r="R2" s="14"/>
      <c r="S2" s="14"/>
      <c r="T2" s="116"/>
      <c r="U2" t="s">
        <v>91</v>
      </c>
      <c r="V2" t="s">
        <v>92</v>
      </c>
      <c r="AA2" s="119">
        <f>COUNTIF(T2:Y2,"Р")</f>
        <v>1</v>
      </c>
    </row>
    <row r="3">
      <c r="A3" s="103">
        <v>44928</v>
      </c>
      <c r="B3" s="5">
        <v>200</v>
      </c>
      <c r="C3" s="5"/>
      <c r="D3" s="5"/>
      <c r="E3" s="5"/>
      <c r="F3" s="5"/>
      <c r="G3" s="5"/>
      <c r="H3" s="5"/>
      <c r="I3" s="5"/>
      <c r="J3" s="5"/>
      <c r="K3" s="5"/>
      <c r="L3" s="5"/>
      <c r="M3" s="5"/>
      <c r="N3" s="5"/>
      <c r="O3" s="5"/>
      <c r="P3" s="5"/>
      <c r="Q3" s="5"/>
      <c r="R3" s="5"/>
      <c r="S3" s="5"/>
      <c r="T3" s="116"/>
    </row>
    <row r="4">
      <c r="A4" s="103">
        <v>44929</v>
      </c>
      <c r="B4" s="14">
        <v>200</v>
      </c>
      <c r="C4" s="14">
        <f>150+2330</f>
        <v>2480</v>
      </c>
      <c r="D4" s="14"/>
      <c r="E4" s="14"/>
      <c r="F4" s="14"/>
      <c r="G4" s="14"/>
      <c r="H4" s="14"/>
      <c r="I4" s="14"/>
      <c r="J4" s="14"/>
      <c r="K4" s="14"/>
      <c r="L4" s="14"/>
      <c r="M4" s="14"/>
      <c r="N4" s="14"/>
      <c r="O4" s="14"/>
      <c r="P4" s="14"/>
      <c r="Q4" s="14"/>
      <c r="R4" s="14"/>
      <c r="S4" s="14"/>
      <c r="T4" s="116"/>
    </row>
    <row r="5">
      <c r="A5" s="103">
        <v>44930</v>
      </c>
      <c r="B5" s="5"/>
      <c r="C5" s="5">
        <v>570</v>
      </c>
      <c r="D5" s="5"/>
      <c r="E5" s="5"/>
      <c r="F5" s="5"/>
      <c r="G5" s="5"/>
      <c r="H5" s="5"/>
      <c r="I5" s="5"/>
      <c r="J5" s="5"/>
      <c r="K5" s="5"/>
      <c r="L5" s="5"/>
      <c r="M5" s="5"/>
      <c r="N5" s="5"/>
      <c r="O5" s="5"/>
      <c r="P5" s="5"/>
      <c r="Q5" s="5"/>
      <c r="R5" s="5"/>
      <c r="S5" s="5"/>
      <c r="T5" s="116"/>
    </row>
    <row r="6">
      <c r="A6" s="103">
        <v>44931</v>
      </c>
      <c r="B6" s="14"/>
      <c r="C6" s="14"/>
      <c r="D6" s="14"/>
      <c r="E6" s="14"/>
      <c r="F6" s="14"/>
      <c r="G6" s="14"/>
      <c r="H6" s="14"/>
      <c r="I6" s="14"/>
      <c r="J6" s="14"/>
      <c r="K6" s="14"/>
      <c r="L6" s="14"/>
      <c r="M6" s="14"/>
      <c r="N6" s="14"/>
      <c r="O6" s="14"/>
      <c r="P6" s="14"/>
      <c r="Q6" s="14"/>
      <c r="R6" s="14"/>
      <c r="S6" s="14"/>
      <c r="T6" s="116"/>
    </row>
    <row r="7">
      <c r="A7" s="103">
        <v>44932</v>
      </c>
      <c r="B7" s="5"/>
      <c r="C7" s="5"/>
      <c r="D7" s="5"/>
      <c r="E7" s="5">
        <v>2200</v>
      </c>
      <c r="F7" s="5"/>
      <c r="G7" s="5"/>
      <c r="H7" s="5"/>
      <c r="I7" s="5"/>
      <c r="J7" s="5"/>
      <c r="K7" s="5"/>
      <c r="L7" s="5">
        <v>88000</v>
      </c>
      <c r="M7" s="5"/>
      <c r="N7" s="5"/>
      <c r="O7" s="5"/>
      <c r="P7" s="5"/>
      <c r="Q7" s="5"/>
      <c r="R7" s="5"/>
      <c r="S7" s="5"/>
      <c r="T7" s="116"/>
    </row>
    <row r="8">
      <c r="A8" s="103">
        <v>44933</v>
      </c>
      <c r="B8" s="14"/>
      <c r="C8" s="14">
        <v>6303</v>
      </c>
      <c r="D8" s="14"/>
      <c r="E8" s="14"/>
      <c r="F8" s="14"/>
      <c r="G8" s="14"/>
      <c r="H8" s="14"/>
      <c r="I8" s="14"/>
      <c r="J8" s="14"/>
      <c r="K8" s="14"/>
      <c r="L8" s="14"/>
      <c r="M8" s="14"/>
      <c r="N8" s="14"/>
      <c r="O8" s="14"/>
      <c r="P8" s="14"/>
      <c r="Q8" s="14"/>
      <c r="R8" s="14"/>
      <c r="S8" s="14"/>
      <c r="T8" s="116"/>
    </row>
    <row r="9">
      <c r="A9" s="103">
        <v>44934</v>
      </c>
      <c r="B9" s="5"/>
      <c r="C9" s="5"/>
      <c r="D9" s="5"/>
      <c r="E9" s="5"/>
      <c r="F9" s="5"/>
      <c r="G9" s="5"/>
      <c r="H9" s="5"/>
      <c r="I9" s="5"/>
      <c r="J9" s="5"/>
      <c r="K9" s="5"/>
      <c r="L9" s="5"/>
      <c r="M9" s="5"/>
      <c r="N9" s="5"/>
      <c r="O9" s="5"/>
      <c r="P9" s="5"/>
      <c r="Q9" s="5"/>
      <c r="R9" s="5"/>
      <c r="S9" s="5"/>
      <c r="T9" s="116"/>
    </row>
    <row r="10">
      <c r="A10" s="103">
        <v>44935</v>
      </c>
      <c r="B10" s="14">
        <v>200</v>
      </c>
      <c r="C10" s="14"/>
      <c r="D10" s="14">
        <v>1656</v>
      </c>
      <c r="E10" s="14"/>
      <c r="F10" s="14"/>
      <c r="G10" s="14"/>
      <c r="H10" s="14"/>
      <c r="I10" s="14"/>
      <c r="J10" s="14">
        <v>230</v>
      </c>
      <c r="K10" s="14"/>
      <c r="L10" s="14"/>
      <c r="M10" s="14"/>
      <c r="N10" s="14"/>
      <c r="O10" s="14"/>
      <c r="P10" s="14"/>
      <c r="Q10" s="14"/>
      <c r="R10" s="14"/>
      <c r="S10" s="14"/>
      <c r="T10" s="116"/>
    </row>
    <row r="11">
      <c r="A11" s="103">
        <v>44936</v>
      </c>
      <c r="B11" s="5">
        <v>200</v>
      </c>
      <c r="C11" s="5"/>
      <c r="D11" s="5">
        <v>1340</v>
      </c>
      <c r="E11" s="5"/>
      <c r="F11" s="5"/>
      <c r="G11" s="5"/>
      <c r="H11" s="5"/>
      <c r="I11" s="5"/>
      <c r="J11" s="5"/>
      <c r="K11" s="5"/>
      <c r="L11" s="5"/>
      <c r="M11" s="5"/>
      <c r="N11" s="5"/>
      <c r="O11" s="5"/>
      <c r="P11" s="5"/>
      <c r="Q11" s="5"/>
      <c r="R11" s="5"/>
      <c r="S11" s="5"/>
      <c r="T11" s="116"/>
    </row>
    <row r="12">
      <c r="A12" s="103">
        <v>44937</v>
      </c>
      <c r="B12" s="14">
        <v>200</v>
      </c>
      <c r="C12" s="14"/>
      <c r="D12" s="14">
        <v>1320</v>
      </c>
      <c r="E12" s="14"/>
      <c r="F12" s="14"/>
      <c r="G12" s="14"/>
      <c r="H12" s="14"/>
      <c r="I12" s="14"/>
      <c r="J12" s="14"/>
      <c r="K12" s="14"/>
      <c r="L12" s="14"/>
      <c r="M12" s="14"/>
      <c r="N12" s="14"/>
      <c r="O12" s="14"/>
      <c r="P12" s="14"/>
      <c r="Q12" s="14"/>
      <c r="R12" s="14"/>
      <c r="S12" s="14"/>
      <c r="T12" s="116"/>
    </row>
    <row r="13">
      <c r="A13" s="103">
        <v>44938</v>
      </c>
      <c r="B13" s="5">
        <v>200</v>
      </c>
      <c r="C13" s="5"/>
      <c r="D13" s="5">
        <v>1520</v>
      </c>
      <c r="E13" s="5"/>
      <c r="F13" s="5"/>
      <c r="G13" s="5"/>
      <c r="H13" s="5"/>
      <c r="I13" s="5"/>
      <c r="J13" s="5"/>
      <c r="K13" s="5"/>
      <c r="L13" s="5"/>
      <c r="M13" s="5"/>
      <c r="N13" s="5"/>
      <c r="O13" s="5"/>
      <c r="P13" s="5"/>
      <c r="Q13" s="5"/>
      <c r="R13" s="5"/>
      <c r="S13" s="5"/>
      <c r="T13" s="116"/>
    </row>
    <row r="14">
      <c r="A14" s="103">
        <v>44939</v>
      </c>
      <c r="B14" s="14">
        <v>200</v>
      </c>
      <c r="C14" s="14">
        <v>3474</v>
      </c>
      <c r="D14" s="14"/>
      <c r="E14" s="14"/>
      <c r="F14" s="14"/>
      <c r="G14" s="14"/>
      <c r="H14" s="14"/>
      <c r="I14" s="14"/>
      <c r="J14" s="14"/>
      <c r="K14" s="14"/>
      <c r="L14" s="14"/>
      <c r="M14" s="14"/>
      <c r="N14" s="14"/>
      <c r="O14" s="14"/>
      <c r="P14" s="14"/>
      <c r="Q14" s="14"/>
      <c r="R14" s="14"/>
      <c r="S14" s="14"/>
      <c r="T14" s="116"/>
    </row>
    <row r="15">
      <c r="A15" s="103">
        <v>44940</v>
      </c>
      <c r="B15" s="5"/>
      <c r="C15" s="5"/>
      <c r="D15" s="5"/>
      <c r="E15" s="5"/>
      <c r="F15" s="5"/>
      <c r="G15" s="5"/>
      <c r="H15" s="5"/>
      <c r="I15" s="5"/>
      <c r="J15" s="5"/>
      <c r="K15" s="5"/>
      <c r="L15" s="5"/>
      <c r="M15" s="5"/>
      <c r="N15" s="5"/>
      <c r="O15" s="5"/>
      <c r="P15" s="5"/>
      <c r="Q15" s="5"/>
      <c r="R15" s="5"/>
      <c r="S15" s="5"/>
      <c r="T15" s="116"/>
    </row>
    <row r="16">
      <c r="A16" s="103">
        <v>44941</v>
      </c>
      <c r="B16" s="14"/>
      <c r="C16" s="97"/>
      <c r="D16" s="14"/>
      <c r="E16" s="14">
        <v>2092</v>
      </c>
      <c r="F16" s="14"/>
      <c r="G16" s="14"/>
      <c r="H16" s="14"/>
      <c r="I16" s="14"/>
      <c r="J16" s="14"/>
      <c r="K16" s="14"/>
      <c r="L16" s="14"/>
      <c r="M16" s="14"/>
      <c r="N16" s="14"/>
      <c r="O16" s="14"/>
      <c r="P16" s="14"/>
      <c r="Q16" s="14"/>
      <c r="R16" s="14"/>
      <c r="S16" s="14"/>
      <c r="T16" s="116"/>
    </row>
    <row r="17">
      <c r="A17" s="103">
        <v>44942</v>
      </c>
      <c r="B17" s="5">
        <v>200</v>
      </c>
      <c r="C17" s="6">
        <v>1700</v>
      </c>
      <c r="D17" s="5"/>
      <c r="E17" s="5"/>
      <c r="F17" s="5"/>
      <c r="G17" s="5"/>
      <c r="H17" s="5"/>
      <c r="I17" s="5"/>
      <c r="J17" s="5"/>
      <c r="K17" s="5"/>
      <c r="L17" s="5"/>
      <c r="M17" s="5"/>
      <c r="N17" s="5"/>
      <c r="O17" s="5"/>
      <c r="P17" s="5"/>
      <c r="Q17" s="5"/>
      <c r="R17" s="5"/>
      <c r="S17" s="5"/>
      <c r="T17" s="116"/>
    </row>
    <row r="18">
      <c r="A18" s="103">
        <v>44943</v>
      </c>
      <c r="B18" s="14">
        <v>200</v>
      </c>
      <c r="C18" s="14"/>
      <c r="D18" s="14"/>
      <c r="E18" s="14"/>
      <c r="F18" s="14"/>
      <c r="G18" s="14"/>
      <c r="H18" s="14"/>
      <c r="I18" s="14"/>
      <c r="J18" s="14"/>
      <c r="K18" s="14"/>
      <c r="L18" s="14"/>
      <c r="M18" s="14"/>
      <c r="N18" s="14"/>
      <c r="O18" s="14"/>
      <c r="P18" s="14"/>
      <c r="Q18" s="14"/>
      <c r="R18" s="14"/>
      <c r="S18" s="14"/>
      <c r="T18" s="116"/>
    </row>
    <row r="19">
      <c r="A19" s="103">
        <v>44944</v>
      </c>
      <c r="B19" s="5">
        <v>200</v>
      </c>
      <c r="C19" s="5"/>
      <c r="D19" s="5"/>
      <c r="E19" s="5"/>
      <c r="F19" s="5"/>
      <c r="G19" s="5"/>
      <c r="H19" s="5"/>
      <c r="I19" s="5"/>
      <c r="J19" s="5"/>
      <c r="K19" s="5"/>
      <c r="L19" s="5"/>
      <c r="M19" s="5"/>
      <c r="N19" s="5"/>
      <c r="O19" s="5"/>
      <c r="P19" s="5"/>
      <c r="Q19" s="5"/>
      <c r="R19" s="6"/>
      <c r="S19" s="5"/>
      <c r="T19" s="116"/>
    </row>
    <row r="20">
      <c r="A20" s="103">
        <v>44945</v>
      </c>
      <c r="B20" s="14">
        <v>200</v>
      </c>
      <c r="C20" s="14">
        <v>3780</v>
      </c>
      <c r="D20" s="14">
        <v>1930</v>
      </c>
      <c r="E20" s="14"/>
      <c r="F20" s="14"/>
      <c r="G20" s="14"/>
      <c r="H20" s="14"/>
      <c r="I20" s="14"/>
      <c r="J20" s="14"/>
      <c r="K20" s="14"/>
      <c r="L20" s="14"/>
      <c r="M20" s="14"/>
      <c r="N20" s="14"/>
      <c r="O20" s="14"/>
      <c r="P20" s="34"/>
      <c r="Q20" s="14"/>
      <c r="R20" s="14"/>
      <c r="S20" s="14"/>
      <c r="T20" s="116"/>
    </row>
    <row r="21">
      <c r="A21" s="103">
        <v>44946</v>
      </c>
      <c r="B21" s="69">
        <v>200</v>
      </c>
      <c r="C21" s="6"/>
      <c r="D21" s="5"/>
      <c r="E21" s="5"/>
      <c r="F21" s="5"/>
      <c r="G21" s="5"/>
      <c r="H21" s="5"/>
      <c r="I21" s="5"/>
      <c r="J21" s="5"/>
      <c r="K21" s="5"/>
      <c r="L21" s="5"/>
      <c r="M21" s="5"/>
      <c r="N21" s="5"/>
      <c r="O21" s="5"/>
      <c r="P21" s="5"/>
      <c r="Q21" s="5"/>
      <c r="R21" s="5"/>
      <c r="S21" s="5"/>
      <c r="T21" s="116"/>
    </row>
    <row r="22">
      <c r="A22" s="103">
        <v>44947</v>
      </c>
      <c r="B22" s="22">
        <v>200</v>
      </c>
      <c r="C22" s="14"/>
      <c r="D22" s="14"/>
      <c r="E22" s="14"/>
      <c r="F22" s="14"/>
      <c r="G22" s="14"/>
      <c r="H22" s="14"/>
      <c r="I22" s="14"/>
      <c r="J22" s="14"/>
      <c r="K22" s="14"/>
      <c r="L22" s="14"/>
      <c r="M22" s="14"/>
      <c r="N22" s="14"/>
      <c r="O22" s="14"/>
      <c r="P22" s="14"/>
      <c r="Q22" s="14"/>
      <c r="R22" s="14"/>
      <c r="S22" s="14"/>
      <c r="T22" s="116"/>
    </row>
    <row r="23">
      <c r="A23" s="103">
        <v>44948</v>
      </c>
      <c r="B23" s="5"/>
      <c r="C23" s="5"/>
      <c r="D23" s="5"/>
      <c r="E23" s="5"/>
      <c r="F23" s="5"/>
      <c r="G23" s="5"/>
      <c r="H23" s="5"/>
      <c r="I23" s="5"/>
      <c r="J23" s="5"/>
      <c r="K23" s="5"/>
      <c r="L23" s="5"/>
      <c r="M23" s="5"/>
      <c r="N23" s="5"/>
      <c r="O23" s="5"/>
      <c r="P23" s="5"/>
      <c r="Q23" s="5"/>
      <c r="R23" s="5"/>
      <c r="S23" s="5"/>
      <c r="T23" s="116"/>
    </row>
    <row r="24">
      <c r="A24" s="103">
        <v>44949</v>
      </c>
      <c r="B24" s="14">
        <v>200</v>
      </c>
      <c r="C24" s="14"/>
      <c r="D24" s="14"/>
      <c r="E24" s="14"/>
      <c r="F24" s="14"/>
      <c r="G24" s="14"/>
      <c r="H24" s="14"/>
      <c r="I24" s="14"/>
      <c r="J24" s="14"/>
      <c r="K24" s="14"/>
      <c r="L24" s="14"/>
      <c r="M24" s="14"/>
      <c r="N24" s="14"/>
      <c r="O24" s="14"/>
      <c r="P24" s="14"/>
      <c r="Q24" s="14"/>
      <c r="R24" s="14"/>
      <c r="S24" s="14"/>
      <c r="T24" s="116"/>
    </row>
    <row r="25">
      <c r="A25" s="103">
        <v>44950</v>
      </c>
      <c r="B25" s="28">
        <v>200</v>
      </c>
      <c r="C25" s="5"/>
      <c r="D25" s="5"/>
      <c r="E25" s="5"/>
      <c r="F25" s="5"/>
      <c r="G25" s="5"/>
      <c r="H25" s="5"/>
      <c r="I25" s="5"/>
      <c r="J25" s="5"/>
      <c r="K25" s="5">
        <v>1010</v>
      </c>
      <c r="L25" s="5"/>
      <c r="M25" s="5"/>
      <c r="N25" s="5"/>
      <c r="O25" s="5"/>
      <c r="P25" s="5"/>
      <c r="Q25" s="5"/>
      <c r="R25" s="5"/>
      <c r="S25" s="5"/>
      <c r="T25" s="116"/>
    </row>
    <row r="26">
      <c r="A26" s="103">
        <v>44951</v>
      </c>
      <c r="B26" s="14">
        <v>100</v>
      </c>
      <c r="C26" s="14"/>
      <c r="D26" s="14">
        <v>1350</v>
      </c>
      <c r="E26" s="14"/>
      <c r="F26" s="14"/>
      <c r="G26" s="14"/>
      <c r="H26" s="14"/>
      <c r="I26" s="14"/>
      <c r="J26" s="14"/>
      <c r="K26" s="14"/>
      <c r="L26" s="14"/>
      <c r="M26" s="14"/>
      <c r="N26" s="14"/>
      <c r="O26" s="14"/>
      <c r="P26" s="14"/>
      <c r="Q26" s="14"/>
      <c r="R26" s="14"/>
      <c r="S26" s="14"/>
      <c r="T26" s="116"/>
    </row>
    <row r="27">
      <c r="A27" s="103">
        <v>44952</v>
      </c>
      <c r="B27" s="5">
        <v>200</v>
      </c>
      <c r="C27" s="6"/>
      <c r="D27" s="5"/>
      <c r="E27" s="5"/>
      <c r="F27" s="5"/>
      <c r="G27" s="5"/>
      <c r="H27" s="5"/>
      <c r="I27" s="5"/>
      <c r="J27" s="5"/>
      <c r="K27" s="5"/>
      <c r="L27" s="5"/>
      <c r="M27" s="5"/>
      <c r="N27" s="5"/>
      <c r="O27" s="5"/>
      <c r="P27" s="5"/>
      <c r="Q27" s="5"/>
      <c r="R27" s="5"/>
      <c r="S27" s="5"/>
      <c r="T27" s="116"/>
    </row>
    <row r="28">
      <c r="A28" s="103">
        <v>44953</v>
      </c>
      <c r="B28" s="14">
        <v>100</v>
      </c>
      <c r="C28" s="14"/>
      <c r="D28" s="14">
        <v>2210</v>
      </c>
      <c r="E28" s="14"/>
      <c r="F28" s="14"/>
      <c r="G28" s="14"/>
      <c r="H28" s="14"/>
      <c r="I28" s="14"/>
      <c r="J28" s="14"/>
      <c r="K28" s="14"/>
      <c r="L28" s="14"/>
      <c r="M28" s="14"/>
      <c r="N28" s="14"/>
      <c r="O28" s="14"/>
      <c r="P28" s="14"/>
      <c r="Q28" s="14"/>
      <c r="R28" s="14"/>
      <c r="S28" s="14"/>
      <c r="T28" s="116"/>
    </row>
    <row r="29">
      <c r="A29" s="103">
        <v>44954</v>
      </c>
      <c r="B29" s="5">
        <v>200</v>
      </c>
      <c r="C29" s="5"/>
      <c r="D29" s="5"/>
      <c r="E29" s="5"/>
      <c r="F29" s="5"/>
      <c r="G29" s="5"/>
      <c r="H29" s="5"/>
      <c r="I29" s="5"/>
      <c r="J29" s="5"/>
      <c r="K29" s="5"/>
      <c r="L29" s="5"/>
      <c r="M29" s="5"/>
      <c r="N29" s="5"/>
      <c r="O29" s="5"/>
      <c r="P29" s="5"/>
      <c r="Q29" s="5"/>
      <c r="R29" s="5"/>
      <c r="S29" s="5"/>
      <c r="T29" s="116"/>
    </row>
    <row r="30">
      <c r="A30" s="103">
        <v>44955</v>
      </c>
      <c r="B30" s="22"/>
      <c r="C30" s="22"/>
      <c r="D30" s="22"/>
      <c r="E30" s="22"/>
      <c r="F30" s="22"/>
      <c r="G30" s="22"/>
      <c r="H30" s="22"/>
      <c r="I30" s="22"/>
      <c r="J30" s="22"/>
      <c r="K30" s="22"/>
      <c r="L30" s="22"/>
      <c r="M30" s="22"/>
      <c r="N30" s="22"/>
      <c r="O30" s="22"/>
      <c r="P30" s="22"/>
      <c r="Q30" s="22"/>
      <c r="R30" s="22"/>
      <c r="S30" s="22"/>
      <c r="T30" s="116"/>
    </row>
    <row r="31">
      <c r="A31" s="103">
        <v>44956</v>
      </c>
      <c r="B31" s="5">
        <v>200</v>
      </c>
      <c r="C31" s="5"/>
      <c r="D31" s="5"/>
      <c r="E31" s="5"/>
      <c r="F31" s="5"/>
      <c r="G31" s="5"/>
      <c r="H31" s="5"/>
      <c r="I31" s="5"/>
      <c r="J31" s="5"/>
      <c r="K31" s="5"/>
      <c r="L31" s="5"/>
      <c r="M31" s="5"/>
      <c r="N31" s="5"/>
      <c r="O31" s="5"/>
      <c r="P31" s="5"/>
      <c r="Q31" s="5"/>
      <c r="R31" s="5"/>
      <c r="S31" s="5"/>
      <c r="T31" s="116"/>
    </row>
    <row r="32">
      <c r="A32" s="103">
        <v>44957</v>
      </c>
      <c r="B32" s="22">
        <v>200</v>
      </c>
      <c r="C32" s="22">
        <f>1520+11000</f>
        <v>12520</v>
      </c>
      <c r="D32" s="22"/>
      <c r="E32" s="22"/>
      <c r="F32" s="22"/>
      <c r="G32" s="22"/>
      <c r="H32" s="22"/>
      <c r="I32" s="22"/>
      <c r="J32" s="22">
        <f>264*'Сводная таблица'!B84</f>
        <v>1156.3199999999999</v>
      </c>
      <c r="K32" s="22"/>
      <c r="L32" s="22"/>
      <c r="M32" s="22"/>
      <c r="N32" s="22"/>
      <c r="O32" s="22"/>
      <c r="P32" s="22"/>
      <c r="Q32" s="22"/>
      <c r="R32" s="22"/>
      <c r="S32" s="22"/>
      <c r="T32" s="116"/>
    </row>
    <row r="33">
      <c r="A33" s="113" t="s">
        <v>87</v>
      </c>
      <c r="B33" s="113">
        <f>SUM(B2:B32)</f>
        <v>4000</v>
      </c>
      <c r="C33" s="113">
        <f>SUM(C2:C32)</f>
        <v>30827</v>
      </c>
      <c r="D33" s="113">
        <f>SUM(D2:D32)</f>
        <v>11326</v>
      </c>
      <c r="E33" s="113">
        <f>SUM(E2:E32)</f>
        <v>4292</v>
      </c>
      <c r="F33" s="113">
        <f>SUM(F2:F32)</f>
        <v>0</v>
      </c>
      <c r="G33" s="113">
        <f>SUM(G2:G32)</f>
        <v>0</v>
      </c>
      <c r="H33" s="113">
        <f>SUM(H2:H32)</f>
        <v>0</v>
      </c>
      <c r="I33" s="113">
        <f>SUM(I2:I32)</f>
        <v>0</v>
      </c>
      <c r="J33" s="113">
        <f>SUM(J2:J32)</f>
        <v>1386.3199999999999</v>
      </c>
      <c r="K33" s="113">
        <f>SUM(K2:K32)</f>
        <v>1010</v>
      </c>
      <c r="L33" s="113">
        <f>SUM(L2:L32)</f>
        <v>88000</v>
      </c>
      <c r="M33" s="113">
        <f>SUM(M2:M32)</f>
        <v>0</v>
      </c>
      <c r="N33" s="113">
        <f>SUM(N2:N32)</f>
        <v>0</v>
      </c>
      <c r="O33" s="113">
        <f>SUM(O2:O32)</f>
        <v>0</v>
      </c>
      <c r="P33" s="113">
        <f>SUM(P2:P32)</f>
        <v>0</v>
      </c>
      <c r="Q33" s="113">
        <f>SUM(Q2:Q32)</f>
        <v>0</v>
      </c>
      <c r="R33" s="113">
        <f>SUM(R2:R32)</f>
        <v>0</v>
      </c>
      <c r="S33" s="113">
        <f>SUM(B33:R33)+SUM(S2:S32)</f>
        <v>140841.32000000001</v>
      </c>
      <c r="T33" s="107" t="s">
        <v>88</v>
      </c>
    </row>
    <row r="34">
      <c r="A34" s="108" t="s">
        <v>89</v>
      </c>
      <c r="B34" s="110">
        <f>B33/'Сводная таблица'!B67</f>
        <v>913.24200913242009</v>
      </c>
      <c r="C34" s="110">
        <f>C33/'Сводная таблица'!B67</f>
        <v>7038.1278538812785</v>
      </c>
      <c r="D34" s="110">
        <f>D33/'Сводная таблица'!B67</f>
        <v>2585.8447488584475</v>
      </c>
      <c r="E34" s="110">
        <f>E33/'Сводная таблица'!B67</f>
        <v>979.90867579908684</v>
      </c>
      <c r="F34" s="110">
        <f>F33/'Сводная таблица'!B67</f>
        <v>0</v>
      </c>
      <c r="G34" s="110">
        <f>G33/'Сводная таблица'!B67</f>
        <v>0</v>
      </c>
      <c r="H34" s="110">
        <f>H33/'Сводная таблица'!B67</f>
        <v>0</v>
      </c>
      <c r="I34" s="110">
        <f>I33/'Сводная таблица'!B67</f>
        <v>0</v>
      </c>
      <c r="J34" s="110">
        <f>J33/'Сводная таблица'!B67</f>
        <v>316.51141552511416</v>
      </c>
      <c r="K34" s="110">
        <f>K33/'Сводная таблица'!B67</f>
        <v>230.59360730593608</v>
      </c>
      <c r="L34" s="110">
        <f>L33/'Сводная таблица'!B67</f>
        <v>20091.324200913241</v>
      </c>
      <c r="M34" s="110">
        <f>M33/'Сводная таблица'!B67</f>
        <v>0</v>
      </c>
      <c r="N34" s="110">
        <f>N33/'Сводная таблица'!B67</f>
        <v>0</v>
      </c>
      <c r="O34" s="110">
        <f>O33/'Сводная таблица'!B67</f>
        <v>0</v>
      </c>
      <c r="P34" s="110">
        <f>P33/'Сводная таблица'!B67</f>
        <v>0</v>
      </c>
      <c r="Q34" s="110">
        <f>Q33/'Сводная таблица'!B67</f>
        <v>0</v>
      </c>
      <c r="R34" s="110">
        <f>R33/'Сводная таблица'!B67</f>
        <v>0</v>
      </c>
      <c r="S34" s="120">
        <f>S33/'Сводная таблица'!B67</f>
        <v>32155.552511415528</v>
      </c>
      <c r="T34" s="107" t="s">
        <v>90</v>
      </c>
    </row>
    <row r="35" ht="28.5" customHeight="1">
      <c r="A35" s="121" t="s">
        <v>0</v>
      </c>
      <c r="B35" s="121" t="s">
        <v>50</v>
      </c>
      <c r="C35" s="121" t="s">
        <v>13</v>
      </c>
      <c r="D35" s="121" t="s">
        <v>11</v>
      </c>
      <c r="E35" s="121" t="s">
        <v>51</v>
      </c>
      <c r="F35" s="121" t="s">
        <v>52</v>
      </c>
      <c r="G35" s="121" t="s">
        <v>53</v>
      </c>
      <c r="H35" s="121" t="s">
        <v>54</v>
      </c>
      <c r="I35" s="121" t="s">
        <v>55</v>
      </c>
      <c r="J35" s="121" t="s">
        <v>61</v>
      </c>
      <c r="K35" s="121" t="s">
        <v>74</v>
      </c>
      <c r="L35" s="122"/>
      <c r="M35" s="122"/>
      <c r="N35" s="122"/>
      <c r="O35" s="122"/>
      <c r="P35" s="122"/>
      <c r="Q35" s="122"/>
      <c r="R35" s="122"/>
      <c r="S35" s="122"/>
      <c r="T35" s="116"/>
    </row>
    <row r="36">
      <c r="A36" s="103">
        <v>44927</v>
      </c>
      <c r="B36" s="14">
        <v>525714</v>
      </c>
      <c r="C36" s="14"/>
      <c r="D36" s="14"/>
      <c r="E36" s="14"/>
      <c r="F36" s="14"/>
      <c r="G36" s="14"/>
      <c r="H36" s="14"/>
      <c r="I36" s="14"/>
      <c r="J36" s="22"/>
      <c r="K36" s="22"/>
      <c r="L36" s="22"/>
      <c r="M36" s="22"/>
      <c r="N36" s="22"/>
      <c r="O36" s="22"/>
      <c r="P36" s="22"/>
      <c r="Q36" s="22"/>
      <c r="R36" s="22"/>
      <c r="S36" s="22"/>
      <c r="T36" s="116"/>
    </row>
    <row r="37">
      <c r="A37" s="103">
        <v>44928</v>
      </c>
      <c r="B37" s="5"/>
      <c r="C37" s="5"/>
      <c r="D37" s="5"/>
      <c r="E37" s="5"/>
      <c r="F37" s="5"/>
      <c r="G37" s="5"/>
      <c r="H37" s="5"/>
      <c r="I37" s="5"/>
      <c r="J37" s="5"/>
      <c r="K37" s="5"/>
      <c r="L37" s="5"/>
      <c r="M37" s="5"/>
      <c r="N37" s="5"/>
      <c r="O37" s="5"/>
      <c r="P37" s="5"/>
      <c r="Q37" s="5"/>
      <c r="R37" s="5"/>
      <c r="S37" s="5"/>
      <c r="T37" s="116"/>
    </row>
    <row r="38">
      <c r="A38" s="103">
        <v>44929</v>
      </c>
      <c r="B38" s="14"/>
      <c r="C38" s="14"/>
      <c r="D38" s="14"/>
      <c r="E38" s="14"/>
      <c r="F38" s="14"/>
      <c r="G38" s="14"/>
      <c r="H38" s="14"/>
      <c r="I38" s="14"/>
      <c r="J38" s="22"/>
      <c r="K38" s="22"/>
      <c r="L38" s="22"/>
      <c r="M38" s="22"/>
      <c r="N38" s="22"/>
      <c r="O38" s="22"/>
      <c r="P38" s="22"/>
      <c r="Q38" s="22"/>
      <c r="R38" s="22"/>
      <c r="S38" s="22"/>
      <c r="T38" s="116"/>
    </row>
    <row r="39">
      <c r="A39" s="103">
        <v>44930</v>
      </c>
      <c r="B39" s="5"/>
      <c r="C39" s="5"/>
      <c r="D39" s="5"/>
      <c r="E39" s="71"/>
      <c r="F39" s="5"/>
      <c r="G39" s="5"/>
      <c r="H39" s="5"/>
      <c r="I39" s="5"/>
      <c r="J39" s="5"/>
      <c r="K39" s="5"/>
      <c r="L39" s="5"/>
      <c r="M39" s="5"/>
      <c r="N39" s="5"/>
      <c r="O39" s="5"/>
      <c r="P39" s="5"/>
      <c r="Q39" s="5"/>
      <c r="R39" s="5"/>
      <c r="S39" s="5"/>
      <c r="T39" s="116"/>
    </row>
    <row r="40">
      <c r="A40" s="103">
        <v>44931</v>
      </c>
      <c r="B40" s="14"/>
      <c r="C40" s="14"/>
      <c r="D40" s="14"/>
      <c r="E40" s="14"/>
      <c r="F40" s="14"/>
      <c r="G40" s="14"/>
      <c r="H40" s="14"/>
      <c r="I40" s="14"/>
      <c r="J40" s="14"/>
      <c r="K40" s="14"/>
      <c r="L40" s="14"/>
      <c r="M40" s="14"/>
      <c r="N40" s="14"/>
      <c r="O40" s="14"/>
      <c r="P40" s="14"/>
      <c r="Q40" s="14"/>
      <c r="R40" s="14"/>
      <c r="S40" s="14"/>
      <c r="T40" s="116"/>
    </row>
    <row r="41">
      <c r="A41" s="103">
        <v>44932</v>
      </c>
      <c r="B41" s="5"/>
      <c r="C41" s="5"/>
      <c r="D41" s="5"/>
      <c r="E41" s="5">
        <f>43.96*'Сводная таблица'!B84</f>
        <v>192.54480000000001</v>
      </c>
      <c r="F41" s="5"/>
      <c r="G41" s="5"/>
      <c r="H41" s="5"/>
      <c r="I41" s="5"/>
      <c r="J41" s="5"/>
      <c r="K41" s="5"/>
      <c r="L41" s="5"/>
      <c r="M41" s="5"/>
      <c r="N41" s="5"/>
      <c r="O41" s="5"/>
      <c r="P41" s="5"/>
      <c r="Q41" s="5"/>
      <c r="R41" s="5"/>
      <c r="S41" s="5"/>
      <c r="T41" s="116"/>
    </row>
    <row r="42">
      <c r="A42" s="103">
        <v>44933</v>
      </c>
      <c r="B42" s="14"/>
      <c r="C42" s="14"/>
      <c r="D42" s="14"/>
      <c r="E42" s="14"/>
      <c r="F42" s="14"/>
      <c r="G42" s="14"/>
      <c r="H42" s="14"/>
      <c r="I42" s="14"/>
      <c r="J42" s="14"/>
      <c r="K42" s="14"/>
      <c r="L42" s="14"/>
      <c r="M42" s="14"/>
      <c r="N42" s="14"/>
      <c r="O42" s="14"/>
      <c r="P42" s="14"/>
      <c r="Q42" s="14"/>
      <c r="R42" s="14"/>
      <c r="S42" s="14"/>
      <c r="T42" s="116"/>
    </row>
    <row r="43">
      <c r="A43" s="103">
        <v>44934</v>
      </c>
      <c r="B43" s="5"/>
      <c r="C43" s="5"/>
      <c r="D43" s="5"/>
      <c r="E43" s="5"/>
      <c r="F43" s="5"/>
      <c r="G43" s="5"/>
      <c r="H43" s="5"/>
      <c r="I43" s="5"/>
      <c r="J43" s="5"/>
      <c r="K43" s="5"/>
      <c r="L43" s="5"/>
      <c r="M43" s="5"/>
      <c r="N43" s="5"/>
      <c r="O43" s="5"/>
      <c r="P43" s="5"/>
      <c r="Q43" s="5"/>
      <c r="R43" s="5"/>
      <c r="S43" s="5"/>
      <c r="T43" s="116"/>
    </row>
    <row r="44">
      <c r="A44" s="103">
        <v>44935</v>
      </c>
      <c r="B44" s="79"/>
      <c r="C44" s="14"/>
      <c r="D44" s="14"/>
      <c r="E44" s="14"/>
      <c r="F44" s="14"/>
      <c r="G44" s="14"/>
      <c r="H44" s="14"/>
      <c r="I44" s="14"/>
      <c r="J44" s="14"/>
      <c r="K44" s="14"/>
      <c r="L44" s="14"/>
      <c r="M44" s="14"/>
      <c r="N44" s="14"/>
      <c r="O44" s="14"/>
      <c r="P44" s="14"/>
      <c r="Q44" s="14"/>
      <c r="R44" s="14"/>
      <c r="S44" s="14"/>
      <c r="T44" s="116"/>
    </row>
    <row r="45">
      <c r="A45" s="103">
        <v>44936</v>
      </c>
      <c r="B45" s="5"/>
      <c r="C45" s="5"/>
      <c r="D45" s="5"/>
      <c r="E45" s="5"/>
      <c r="F45" s="5"/>
      <c r="G45" s="5"/>
      <c r="H45" s="5"/>
      <c r="I45" s="5"/>
      <c r="J45" s="5"/>
      <c r="K45" s="5"/>
      <c r="L45" s="5"/>
      <c r="M45" s="5"/>
      <c r="N45" s="5"/>
      <c r="O45" s="5"/>
      <c r="P45" s="5"/>
      <c r="Q45" s="5"/>
      <c r="R45" s="5"/>
      <c r="S45" s="5"/>
      <c r="T45" s="116"/>
    </row>
    <row r="46">
      <c r="A46" s="103">
        <v>44937</v>
      </c>
      <c r="B46" s="14"/>
      <c r="C46" s="14"/>
      <c r="D46" s="14"/>
      <c r="E46" s="14"/>
      <c r="F46" s="14"/>
      <c r="G46" s="14"/>
      <c r="H46" s="14"/>
      <c r="I46" s="14"/>
      <c r="J46" s="14"/>
      <c r="K46" s="14"/>
      <c r="L46" s="14"/>
      <c r="M46" s="14"/>
      <c r="N46" s="14"/>
      <c r="O46" s="14"/>
      <c r="P46" s="14"/>
      <c r="Q46" s="14"/>
      <c r="R46" s="14"/>
      <c r="S46" s="14"/>
      <c r="T46" s="116"/>
    </row>
    <row r="47">
      <c r="A47" s="103">
        <v>44938</v>
      </c>
      <c r="B47" s="5"/>
      <c r="C47" s="5"/>
      <c r="D47" s="5"/>
      <c r="E47" s="5"/>
      <c r="F47" s="5"/>
      <c r="G47" s="5"/>
      <c r="H47" s="5"/>
      <c r="I47" s="5"/>
      <c r="J47" s="5"/>
      <c r="K47" s="5"/>
      <c r="L47" s="5"/>
      <c r="M47" s="5"/>
      <c r="N47" s="5"/>
      <c r="O47" s="5"/>
      <c r="P47" s="5"/>
      <c r="Q47" s="5"/>
      <c r="R47" s="5"/>
      <c r="S47" s="5"/>
      <c r="T47" s="116"/>
    </row>
    <row r="48">
      <c r="A48" s="103">
        <v>44939</v>
      </c>
      <c r="B48" s="14"/>
      <c r="C48" s="14"/>
      <c r="D48" s="14"/>
      <c r="E48" s="14"/>
      <c r="F48" s="14"/>
      <c r="G48" s="14"/>
      <c r="H48" s="14"/>
      <c r="I48" s="14"/>
      <c r="J48" s="14"/>
      <c r="K48" s="14"/>
      <c r="L48" s="14"/>
      <c r="M48" s="14"/>
      <c r="N48" s="14"/>
      <c r="O48" s="14"/>
      <c r="P48" s="14"/>
      <c r="Q48" s="14"/>
      <c r="R48" s="14"/>
      <c r="S48" s="14"/>
      <c r="T48" s="116"/>
    </row>
    <row r="49">
      <c r="A49" s="103">
        <v>44940</v>
      </c>
      <c r="B49" s="5"/>
      <c r="C49" s="5"/>
      <c r="D49" s="5"/>
      <c r="E49" s="5"/>
      <c r="F49" s="5"/>
      <c r="G49" s="5"/>
      <c r="H49" s="5"/>
      <c r="I49" s="5"/>
      <c r="J49" s="5"/>
      <c r="K49" s="5"/>
      <c r="L49" s="5"/>
      <c r="M49" s="5"/>
      <c r="N49" s="5"/>
      <c r="O49" s="5"/>
      <c r="P49" s="5"/>
      <c r="Q49" s="5"/>
      <c r="R49" s="5"/>
      <c r="S49" s="5"/>
      <c r="T49" s="116"/>
    </row>
    <row r="50">
      <c r="A50" s="103">
        <v>44941</v>
      </c>
      <c r="B50" s="14"/>
      <c r="C50" s="14"/>
      <c r="D50" s="14"/>
      <c r="E50" s="14"/>
      <c r="F50" s="14"/>
      <c r="G50" s="14"/>
      <c r="H50" s="14"/>
      <c r="I50" s="14"/>
      <c r="J50" s="14"/>
      <c r="K50" s="14"/>
      <c r="L50" s="14"/>
      <c r="M50" s="14"/>
      <c r="N50" s="14"/>
      <c r="O50" s="14"/>
      <c r="P50" s="14"/>
      <c r="Q50" s="14"/>
      <c r="R50" s="14"/>
      <c r="S50" s="14"/>
      <c r="T50" s="116"/>
    </row>
    <row r="51">
      <c r="A51" s="103">
        <v>44942</v>
      </c>
      <c r="B51" s="5"/>
      <c r="C51" s="5"/>
      <c r="D51" s="5"/>
      <c r="E51" s="5"/>
      <c r="F51" s="5"/>
      <c r="G51" s="5"/>
      <c r="H51" s="5"/>
      <c r="I51" s="5"/>
      <c r="J51" s="5"/>
      <c r="K51" s="5"/>
      <c r="L51" s="5"/>
      <c r="M51" s="5"/>
      <c r="N51" s="5"/>
      <c r="O51" s="5"/>
      <c r="P51" s="5"/>
      <c r="Q51" s="5"/>
      <c r="R51" s="5"/>
      <c r="S51" s="5"/>
      <c r="T51" s="116"/>
    </row>
    <row r="52">
      <c r="A52" s="103">
        <v>44943</v>
      </c>
      <c r="B52" s="14"/>
      <c r="C52" s="14"/>
      <c r="D52" s="14"/>
      <c r="E52" s="14"/>
      <c r="F52" s="14"/>
      <c r="G52" s="14"/>
      <c r="H52" s="14"/>
      <c r="I52" s="14">
        <f>78*'Сводная таблица'!B84</f>
        <v>341.63999999999999</v>
      </c>
      <c r="J52" s="14"/>
      <c r="K52" s="14"/>
      <c r="L52" s="14"/>
      <c r="M52" s="14"/>
      <c r="N52" s="14"/>
      <c r="O52" s="14"/>
      <c r="P52" s="14"/>
      <c r="Q52" s="14"/>
      <c r="R52" s="14"/>
      <c r="S52" s="14"/>
      <c r="T52" s="116"/>
    </row>
    <row r="53">
      <c r="A53" s="103">
        <v>44944</v>
      </c>
      <c r="B53" s="5"/>
      <c r="C53" s="5"/>
      <c r="D53" s="5"/>
      <c r="E53" s="5"/>
      <c r="F53" s="5"/>
      <c r="G53" s="5"/>
      <c r="H53" s="5"/>
      <c r="I53" s="5"/>
      <c r="J53" s="5"/>
      <c r="K53" s="5"/>
      <c r="L53" s="5"/>
      <c r="M53" s="5"/>
      <c r="N53" s="5"/>
      <c r="O53" s="5"/>
      <c r="P53" s="5"/>
      <c r="Q53" s="5"/>
      <c r="R53" s="5"/>
      <c r="S53" s="5"/>
      <c r="T53" s="116"/>
    </row>
    <row r="54">
      <c r="A54" s="103">
        <v>44945</v>
      </c>
      <c r="B54" s="14"/>
      <c r="C54" s="14"/>
      <c r="D54" s="14"/>
      <c r="E54" s="14"/>
      <c r="F54" s="14"/>
      <c r="G54" s="14"/>
      <c r="H54" s="14"/>
      <c r="I54" s="14"/>
      <c r="J54" s="14"/>
      <c r="K54" s="14"/>
      <c r="L54" s="14"/>
      <c r="M54" s="14"/>
      <c r="N54" s="14"/>
      <c r="O54" s="14"/>
      <c r="P54" s="14"/>
      <c r="Q54" s="14"/>
      <c r="R54" s="14"/>
      <c r="S54" s="14"/>
      <c r="T54" s="116"/>
    </row>
    <row r="55">
      <c r="A55" s="103">
        <v>44946</v>
      </c>
      <c r="B55" s="5"/>
      <c r="C55" s="5"/>
      <c r="D55" s="5"/>
      <c r="E55" s="5"/>
      <c r="F55" s="5"/>
      <c r="G55" s="5"/>
      <c r="H55" s="5"/>
      <c r="I55" s="5"/>
      <c r="J55" s="5"/>
      <c r="K55" s="5"/>
      <c r="L55" s="5"/>
      <c r="M55" s="5"/>
      <c r="N55" s="5"/>
      <c r="O55" s="5"/>
      <c r="P55" s="5"/>
      <c r="Q55" s="5"/>
      <c r="R55" s="5"/>
      <c r="S55" s="5"/>
      <c r="T55" s="116"/>
    </row>
    <row r="56">
      <c r="A56" s="103">
        <v>44947</v>
      </c>
      <c r="B56" s="14"/>
      <c r="C56" s="14"/>
      <c r="D56" s="14"/>
      <c r="E56" s="14"/>
      <c r="F56" s="14"/>
      <c r="G56" s="14"/>
      <c r="H56" s="14"/>
      <c r="I56" s="14"/>
      <c r="J56" s="14"/>
      <c r="K56" s="14"/>
      <c r="L56" s="14"/>
      <c r="M56" s="14"/>
      <c r="N56" s="14"/>
      <c r="O56" s="14"/>
      <c r="P56" s="14"/>
      <c r="Q56" s="14"/>
      <c r="R56" s="14"/>
      <c r="S56" s="14"/>
      <c r="T56" s="116"/>
    </row>
    <row r="57">
      <c r="A57" s="103">
        <v>44948</v>
      </c>
      <c r="B57" s="5"/>
      <c r="C57" s="5"/>
      <c r="D57" s="5"/>
      <c r="E57" s="5"/>
      <c r="F57" s="5"/>
      <c r="G57" s="5"/>
      <c r="H57" s="5"/>
      <c r="I57" s="5"/>
      <c r="J57" s="5"/>
      <c r="K57" s="5"/>
      <c r="L57" s="5"/>
      <c r="M57" s="5"/>
      <c r="N57" s="5"/>
      <c r="O57" s="5"/>
      <c r="P57" s="5"/>
      <c r="Q57" s="5"/>
      <c r="R57" s="5"/>
      <c r="S57" s="5"/>
      <c r="T57" s="116"/>
    </row>
    <row r="58">
      <c r="A58" s="103">
        <v>44949</v>
      </c>
      <c r="B58" s="14"/>
      <c r="C58" s="14"/>
      <c r="D58" s="14"/>
      <c r="E58" s="14"/>
      <c r="F58" s="14"/>
      <c r="G58" s="14"/>
      <c r="H58" s="14"/>
      <c r="I58" s="14"/>
      <c r="J58" s="14"/>
      <c r="K58" s="14"/>
      <c r="L58" s="14"/>
      <c r="M58" s="14"/>
      <c r="N58" s="14"/>
      <c r="O58" s="14"/>
      <c r="P58" s="14"/>
      <c r="Q58" s="14"/>
      <c r="R58" s="14"/>
      <c r="S58" s="14"/>
      <c r="T58" s="116"/>
    </row>
    <row r="59">
      <c r="A59" s="103">
        <v>44950</v>
      </c>
      <c r="B59" s="5"/>
      <c r="C59" s="5"/>
      <c r="D59" s="5"/>
      <c r="E59" s="5"/>
      <c r="F59" s="5"/>
      <c r="G59" s="5"/>
      <c r="H59" s="5"/>
      <c r="I59" s="5"/>
      <c r="J59" s="5"/>
      <c r="K59" s="5"/>
      <c r="L59" s="5"/>
      <c r="M59" s="5"/>
      <c r="N59" s="5"/>
      <c r="O59" s="5"/>
      <c r="P59" s="5"/>
      <c r="Q59" s="5"/>
      <c r="R59" s="5"/>
      <c r="S59" s="5"/>
      <c r="T59" s="116"/>
    </row>
    <row r="60">
      <c r="A60" s="103">
        <v>44951</v>
      </c>
      <c r="B60" s="14"/>
      <c r="C60" s="14"/>
      <c r="D60" s="14"/>
      <c r="E60" s="14"/>
      <c r="F60" s="14"/>
      <c r="G60" s="14"/>
      <c r="H60" s="14"/>
      <c r="I60" s="14"/>
      <c r="J60" s="14"/>
      <c r="K60" s="14"/>
      <c r="L60" s="14"/>
      <c r="M60" s="14"/>
      <c r="N60" s="14"/>
      <c r="O60" s="14"/>
      <c r="P60" s="14"/>
      <c r="Q60" s="14"/>
      <c r="R60" s="14"/>
      <c r="S60" s="14"/>
      <c r="T60" s="116"/>
    </row>
    <row r="61">
      <c r="A61" s="103">
        <v>44952</v>
      </c>
      <c r="B61" s="5"/>
      <c r="C61" s="5"/>
      <c r="D61" s="5"/>
      <c r="E61" s="5"/>
      <c r="F61" s="5"/>
      <c r="G61" s="5"/>
      <c r="H61" s="5"/>
      <c r="I61" s="5"/>
      <c r="J61" s="5"/>
      <c r="K61" s="5"/>
      <c r="L61" s="5"/>
      <c r="M61" s="5"/>
      <c r="N61" s="5"/>
      <c r="O61" s="5"/>
      <c r="P61" s="5"/>
      <c r="Q61" s="5"/>
      <c r="R61" s="5"/>
      <c r="S61" s="5"/>
      <c r="T61" s="116"/>
    </row>
    <row r="62">
      <c r="A62" s="103">
        <v>44953</v>
      </c>
      <c r="B62" s="14"/>
      <c r="C62" s="14"/>
      <c r="D62" s="14"/>
      <c r="E62" s="14"/>
      <c r="F62" s="14"/>
      <c r="G62" s="14"/>
      <c r="H62" s="14"/>
      <c r="I62" s="14"/>
      <c r="J62" s="14"/>
      <c r="K62" s="14"/>
      <c r="L62" s="14"/>
      <c r="M62" s="14"/>
      <c r="N62" s="14"/>
      <c r="O62" s="14"/>
      <c r="P62" s="14"/>
      <c r="Q62" s="14"/>
      <c r="R62" s="14"/>
      <c r="S62" s="14"/>
      <c r="T62" s="116"/>
    </row>
    <row r="63">
      <c r="A63" s="103">
        <v>44954</v>
      </c>
      <c r="B63" s="5"/>
      <c r="C63" s="5"/>
      <c r="D63" s="5"/>
      <c r="E63" s="5"/>
      <c r="F63" s="5"/>
      <c r="G63" s="5"/>
      <c r="H63" s="5"/>
      <c r="I63" s="5"/>
      <c r="J63" s="5"/>
      <c r="K63" s="5"/>
      <c r="L63" s="5"/>
      <c r="M63" s="5"/>
      <c r="N63" s="5"/>
      <c r="O63" s="5"/>
      <c r="P63" s="5"/>
      <c r="Q63" s="5"/>
      <c r="R63" s="48"/>
      <c r="S63" s="5"/>
      <c r="T63" s="116"/>
    </row>
    <row r="64">
      <c r="A64" s="103">
        <v>44955</v>
      </c>
      <c r="B64" s="22"/>
      <c r="C64" s="22"/>
      <c r="D64" s="22"/>
      <c r="E64" s="22"/>
      <c r="F64" s="22"/>
      <c r="G64" s="22"/>
      <c r="H64" s="22"/>
      <c r="I64" s="22"/>
      <c r="J64" s="14"/>
      <c r="K64" s="14"/>
      <c r="L64" s="14"/>
      <c r="M64" s="14"/>
      <c r="N64" s="14"/>
      <c r="O64" s="14"/>
      <c r="P64" s="14"/>
      <c r="Q64" s="14"/>
      <c r="R64" s="80"/>
      <c r="S64" s="14"/>
      <c r="T64" s="116"/>
    </row>
    <row r="65">
      <c r="A65" s="103">
        <v>44956</v>
      </c>
      <c r="B65" s="5"/>
      <c r="C65" s="5"/>
      <c r="D65" s="5"/>
      <c r="E65" s="5"/>
      <c r="F65" s="5"/>
      <c r="G65" s="5"/>
      <c r="H65" s="5"/>
      <c r="I65" s="5"/>
      <c r="J65" s="5"/>
      <c r="K65" s="5"/>
      <c r="L65" s="5"/>
      <c r="M65" s="5"/>
      <c r="N65" s="5"/>
      <c r="O65" s="5"/>
      <c r="P65" s="5"/>
      <c r="Q65" s="5"/>
      <c r="R65" s="48"/>
      <c r="S65" s="5"/>
      <c r="T65" s="116"/>
    </row>
    <row r="66">
      <c r="A66" s="103">
        <v>44957</v>
      </c>
      <c r="B66" s="22"/>
      <c r="C66" s="22"/>
      <c r="D66" s="22"/>
      <c r="E66" s="22">
        <f>380.19*'Сводная таблица'!B84</f>
        <v>1665.2321999999999</v>
      </c>
      <c r="F66" s="22"/>
      <c r="G66" s="22"/>
      <c r="H66" s="22"/>
      <c r="I66" s="22"/>
      <c r="J66" s="14"/>
      <c r="K66" s="14"/>
      <c r="L66" s="14"/>
      <c r="M66" s="14"/>
      <c r="N66" s="14"/>
      <c r="O66" s="14"/>
      <c r="P66" s="14"/>
      <c r="Q66" s="14"/>
      <c r="R66" s="80"/>
      <c r="S66" s="14"/>
      <c r="T66" s="116"/>
    </row>
    <row r="67">
      <c r="A67" s="113" t="s">
        <v>87</v>
      </c>
      <c r="B67" s="75">
        <f>SUM(B36:B66)</f>
        <v>525714</v>
      </c>
      <c r="C67" s="75">
        <f>SUM(C36:C66)</f>
        <v>0</v>
      </c>
      <c r="D67" s="75">
        <f>SUM(D36:D66)</f>
        <v>0</v>
      </c>
      <c r="E67" s="75">
        <f>SUM(E36:E66)</f>
        <v>1857.777</v>
      </c>
      <c r="F67" s="75">
        <f>SUM(F36:F66)</f>
        <v>0</v>
      </c>
      <c r="G67" s="75">
        <f>SUM(G36:G66)</f>
        <v>0</v>
      </c>
      <c r="H67" s="75">
        <f>SUM(H36:H66)</f>
        <v>0</v>
      </c>
      <c r="I67" s="75">
        <f>SUM(I36:I66)</f>
        <v>341.63999999999999</v>
      </c>
      <c r="J67" s="75">
        <f>SUM(J36:J66)</f>
        <v>0</v>
      </c>
      <c r="K67" s="75">
        <f>SUM(K36:K66)</f>
        <v>0</v>
      </c>
      <c r="L67" s="75">
        <f>SUM(L36:L66)</f>
        <v>0</v>
      </c>
      <c r="M67" s="75">
        <f>SUM(M36:M66)</f>
        <v>0</v>
      </c>
      <c r="N67" s="75">
        <f>SUM(N36:N66)</f>
        <v>0</v>
      </c>
      <c r="O67" s="75">
        <f>SUM(O36:O66)</f>
        <v>0</v>
      </c>
      <c r="P67" s="75">
        <f>SUM(P36:P66)</f>
        <v>0</v>
      </c>
      <c r="Q67" s="75">
        <f>SUM(Q36:Q66)</f>
        <v>0</v>
      </c>
      <c r="R67" s="75">
        <f>SUM(R36:R66)</f>
        <v>0</v>
      </c>
      <c r="S67" s="75">
        <f>SUM(B67:R67)</f>
        <v>527913.41700000002</v>
      </c>
      <c r="T67" s="107" t="s">
        <v>88</v>
      </c>
    </row>
    <row r="68">
      <c r="A68" s="108" t="s">
        <v>89</v>
      </c>
      <c r="B68" s="110">
        <f>B67/'Сводная таблица'!B84</f>
        <v>120026.02739726027</v>
      </c>
      <c r="C68" s="110"/>
      <c r="D68" s="110"/>
      <c r="E68" s="110">
        <f>E67/'Сводная таблица'!B67</f>
        <v>424.15000000000003</v>
      </c>
      <c r="F68" s="110"/>
      <c r="G68" s="110"/>
      <c r="H68" s="110"/>
      <c r="I68" s="110">
        <f>I67/'Сводная таблица'!B67</f>
        <v>78</v>
      </c>
      <c r="J68" s="110"/>
      <c r="K68" s="110"/>
      <c r="L68" s="110"/>
      <c r="M68" s="110"/>
      <c r="N68" s="110"/>
      <c r="O68" s="110"/>
      <c r="P68" s="110"/>
      <c r="Q68" s="110"/>
      <c r="R68" s="110"/>
      <c r="S68" s="110">
        <f>S67/'Сводная таблица'!B84</f>
        <v>120528.17739726028</v>
      </c>
      <c r="T68" s="107" t="s">
        <v>90</v>
      </c>
    </row>
    <row r="69">
      <c r="A69" s="123" t="s">
        <v>67</v>
      </c>
      <c r="B69" s="26"/>
      <c r="C69" s="26"/>
      <c r="D69" s="26"/>
      <c r="E69" s="26"/>
      <c r="F69" s="26"/>
      <c r="G69" s="26"/>
      <c r="H69" s="26"/>
      <c r="I69" s="26"/>
      <c r="J69" s="26"/>
      <c r="K69" s="26"/>
      <c r="L69" s="26"/>
      <c r="M69" s="26"/>
      <c r="N69" s="26"/>
      <c r="O69" s="26"/>
      <c r="P69" s="26"/>
      <c r="Q69" s="26"/>
      <c r="R69" s="26"/>
      <c r="S69" s="26"/>
      <c r="T69" s="116"/>
    </row>
    <row r="70">
      <c r="A70" s="5" t="s">
        <v>68</v>
      </c>
      <c r="B70" s="118">
        <f>21000-344+2039+(23000-23000)-344-344+8164.1-4600-3300+(3000-3000)+80000+2000+(5500-5500)+(5650-5100)+1000+300+300+11814.99+10000</f>
        <v>128236.09000000001</v>
      </c>
      <c r="C70" s="5"/>
      <c r="D70" s="5"/>
      <c r="E70" s="5"/>
      <c r="F70" s="5"/>
      <c r="G70" s="5"/>
      <c r="H70" s="5"/>
      <c r="I70" s="5"/>
      <c r="J70" s="5"/>
      <c r="K70" s="5"/>
      <c r="L70" s="5"/>
      <c r="M70" s="5"/>
      <c r="N70" s="5"/>
      <c r="O70" s="5"/>
      <c r="P70" s="5"/>
      <c r="Q70" s="5"/>
      <c r="R70" s="5"/>
      <c r="S70" s="5"/>
      <c r="T70" s="116"/>
    </row>
    <row r="71">
      <c r="A71" s="5" t="s">
        <v>76</v>
      </c>
      <c r="B71" s="5">
        <f>3000+1000+1200+1300+1500</f>
        <v>8000</v>
      </c>
      <c r="C71" s="5"/>
      <c r="D71" s="5"/>
      <c r="E71" s="5"/>
      <c r="F71" s="5"/>
      <c r="G71" s="5"/>
      <c r="H71" s="5"/>
      <c r="I71" s="5"/>
      <c r="J71" s="5"/>
      <c r="K71" s="5"/>
      <c r="L71" s="5"/>
      <c r="M71" s="5"/>
      <c r="N71" s="5"/>
      <c r="O71" s="5"/>
      <c r="P71" s="5"/>
      <c r="Q71" s="5"/>
      <c r="R71" s="5"/>
      <c r="S71" s="5"/>
      <c r="T71" s="1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4" percent="1" timePeriod="today" id="{00600083-001D-47E8-9E54-009C002D0089}">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3" percent="1" timePeriod="today" id="{00620007-00D5-4842-9D1E-0057008D006D}">
            <x14:dxf>
              <font>
                <color rgb="FF006100"/>
              </font>
              <fill>
                <patternFill patternType="solid">
                  <fgColor rgb="FFC6EFCE"/>
                  <bgColor rgb="FFC6EFCE"/>
                </patternFill>
              </fill>
            </x14:dxf>
          </x14:cfRule>
          <xm:sqref>A36 A37 A38 A39 A40 A41 A42 A43 A44 A45 A46 A47 A48 A49 A50 A51 A52 A53 A54 A55 A56 A57 A58 A59 A60 A61 A62 A63 A64 A65 A66</xm:sqref>
        </x14:conditionalFormatting>
        <x14:conditionalFormatting xmlns:xm="http://schemas.microsoft.com/office/excel/2006/main">
          <x14:cfRule type="timePeriod" priority="2" percent="1" timePeriod="today" id="{004300D2-00FF-4FEA-9AFC-00EA004100FB}">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840077-00A9-47FA-99A3-00EB00BF0086}">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s>
    </ext>
  </extLst>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43" zoomScale="100" workbookViewId="0">
      <selection activeCell="A1" activeCellId="0" sqref="A1"/>
    </sheetView>
  </sheetViews>
  <sheetFormatPr defaultRowHeight="14.25"/>
  <cols>
    <col customWidth="1" min="1" max="1" width="13.2812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16"/>
    </row>
    <row r="2">
      <c r="A2" s="103">
        <v>44593</v>
      </c>
      <c r="B2" s="14">
        <v>200</v>
      </c>
      <c r="C2" s="14"/>
      <c r="D2" s="14"/>
      <c r="E2" s="14"/>
      <c r="F2" s="14"/>
      <c r="G2" s="14"/>
      <c r="H2" s="14"/>
      <c r="I2" s="14"/>
      <c r="J2" s="14"/>
      <c r="K2" s="14"/>
      <c r="L2" s="14">
        <v>88000</v>
      </c>
      <c r="M2" s="14"/>
      <c r="N2" s="14"/>
      <c r="O2" s="14"/>
      <c r="P2" s="14"/>
      <c r="Q2" s="14"/>
      <c r="R2" s="14"/>
      <c r="S2" s="14"/>
      <c r="T2" s="116"/>
    </row>
    <row r="3">
      <c r="A3" s="103">
        <v>44594</v>
      </c>
      <c r="B3" s="5">
        <v>200</v>
      </c>
      <c r="C3" s="5">
        <v>1380</v>
      </c>
      <c r="D3" s="5"/>
      <c r="E3" s="5"/>
      <c r="F3" s="5"/>
      <c r="G3" s="5"/>
      <c r="H3" s="5"/>
      <c r="I3" s="5"/>
      <c r="J3" s="5"/>
      <c r="K3" s="5"/>
      <c r="L3" s="5"/>
      <c r="M3" s="5"/>
      <c r="N3" s="5"/>
      <c r="O3" s="5"/>
      <c r="P3" s="5"/>
      <c r="Q3" s="5"/>
      <c r="R3" s="5"/>
      <c r="S3" s="5"/>
      <c r="T3" s="116"/>
    </row>
    <row r="4">
      <c r="A4" s="103">
        <v>44595</v>
      </c>
      <c r="B4" s="14">
        <v>200</v>
      </c>
      <c r="C4" s="14"/>
      <c r="D4" s="14"/>
      <c r="E4" s="14"/>
      <c r="F4" s="14"/>
      <c r="G4" s="14"/>
      <c r="H4" s="14"/>
      <c r="I4" s="14"/>
      <c r="J4" s="14"/>
      <c r="K4" s="14"/>
      <c r="L4" s="14"/>
      <c r="M4" s="14"/>
      <c r="N4" s="14"/>
      <c r="O4" s="14"/>
      <c r="P4" s="14"/>
      <c r="Q4" s="14"/>
      <c r="R4" s="14"/>
      <c r="S4" s="14"/>
      <c r="T4" s="116"/>
    </row>
    <row r="5">
      <c r="A5" s="103">
        <v>44596</v>
      </c>
      <c r="B5" s="5"/>
      <c r="C5" s="5"/>
      <c r="D5" s="5"/>
      <c r="E5" s="5"/>
      <c r="F5" s="5"/>
      <c r="G5" s="5"/>
      <c r="H5" s="5"/>
      <c r="I5" s="5"/>
      <c r="J5" s="5"/>
      <c r="K5" s="5"/>
      <c r="L5" s="5"/>
      <c r="M5" s="5"/>
      <c r="N5" s="5"/>
      <c r="O5" s="5"/>
      <c r="P5" s="5"/>
      <c r="Q5" s="5"/>
      <c r="R5" s="5"/>
      <c r="S5" s="5"/>
      <c r="T5" s="116"/>
    </row>
    <row r="6">
      <c r="A6" s="103">
        <v>44597</v>
      </c>
      <c r="B6" s="14"/>
      <c r="C6" s="14"/>
      <c r="D6" s="14"/>
      <c r="E6" s="14"/>
      <c r="F6" s="14"/>
      <c r="G6" s="14"/>
      <c r="H6" s="14"/>
      <c r="I6" s="14"/>
      <c r="J6" s="14"/>
      <c r="K6" s="14"/>
      <c r="L6" s="14"/>
      <c r="M6" s="14">
        <f>2000*'Сводная таблица'!B84</f>
        <v>8760</v>
      </c>
      <c r="N6" s="14"/>
      <c r="O6" s="14"/>
      <c r="P6" s="14"/>
      <c r="Q6" s="14"/>
      <c r="R6" s="14"/>
      <c r="S6" s="14"/>
      <c r="T6" s="116"/>
    </row>
    <row r="7">
      <c r="A7" s="103">
        <v>44598</v>
      </c>
      <c r="B7" s="5">
        <v>100</v>
      </c>
      <c r="C7" s="5"/>
      <c r="D7" s="5"/>
      <c r="E7" s="5"/>
      <c r="F7" s="5"/>
      <c r="G7" s="5"/>
      <c r="H7" s="5"/>
      <c r="I7" s="5"/>
      <c r="J7" s="5"/>
      <c r="K7" s="5">
        <v>10500</v>
      </c>
      <c r="L7" s="5"/>
      <c r="M7" s="5">
        <v>500</v>
      </c>
      <c r="N7" s="5"/>
      <c r="O7" s="5"/>
      <c r="P7" s="5"/>
      <c r="Q7" s="5"/>
      <c r="R7" s="5"/>
      <c r="S7" s="5"/>
      <c r="T7" s="116"/>
    </row>
    <row r="8">
      <c r="A8" s="103">
        <v>44599</v>
      </c>
      <c r="B8" s="14">
        <v>100</v>
      </c>
      <c r="C8" s="14"/>
      <c r="D8" s="14"/>
      <c r="E8" s="14"/>
      <c r="F8" s="14"/>
      <c r="G8" s="14"/>
      <c r="H8" s="14"/>
      <c r="I8" s="14"/>
      <c r="J8" s="14"/>
      <c r="K8" s="14"/>
      <c r="L8" s="14"/>
      <c r="M8" s="14"/>
      <c r="N8" s="14"/>
      <c r="O8" s="14"/>
      <c r="P8" s="14"/>
      <c r="Q8" s="14"/>
      <c r="R8" s="14"/>
      <c r="S8" s="14"/>
      <c r="T8" s="116"/>
    </row>
    <row r="9">
      <c r="A9" s="103">
        <v>44600</v>
      </c>
      <c r="B9" s="5">
        <v>100</v>
      </c>
      <c r="C9" s="5"/>
      <c r="D9" s="5">
        <v>1250</v>
      </c>
      <c r="E9" s="5"/>
      <c r="F9" s="5"/>
      <c r="G9" s="5"/>
      <c r="H9" s="5"/>
      <c r="I9" s="5"/>
      <c r="J9" s="5"/>
      <c r="K9" s="5"/>
      <c r="L9" s="5"/>
      <c r="M9" s="5"/>
      <c r="N9" s="5"/>
      <c r="O9" s="5"/>
      <c r="P9" s="5"/>
      <c r="Q9" s="5"/>
      <c r="R9" s="5"/>
      <c r="S9" s="5"/>
      <c r="T9" s="116"/>
    </row>
    <row r="10">
      <c r="A10" s="103">
        <v>44601</v>
      </c>
      <c r="B10" s="14">
        <v>200</v>
      </c>
      <c r="C10" s="14"/>
      <c r="D10" s="14"/>
      <c r="E10" s="14"/>
      <c r="F10" s="14"/>
      <c r="G10" s="14"/>
      <c r="H10" s="14"/>
      <c r="I10" s="14"/>
      <c r="J10" s="14"/>
      <c r="K10" s="14"/>
      <c r="L10" s="14"/>
      <c r="M10" s="14"/>
      <c r="N10" s="14"/>
      <c r="O10" s="14"/>
      <c r="P10" s="14"/>
      <c r="Q10" s="14"/>
      <c r="R10" s="14"/>
      <c r="S10" s="14"/>
      <c r="T10" s="116"/>
    </row>
    <row r="11">
      <c r="A11" s="103">
        <v>44602</v>
      </c>
      <c r="B11" s="5">
        <v>200</v>
      </c>
      <c r="C11" s="5"/>
      <c r="D11" s="5">
        <v>1250</v>
      </c>
      <c r="E11" s="5"/>
      <c r="F11" s="5"/>
      <c r="G11" s="5"/>
      <c r="H11" s="5"/>
      <c r="I11" s="5"/>
      <c r="J11" s="5"/>
      <c r="K11" s="5"/>
      <c r="L11" s="5"/>
      <c r="M11" s="5"/>
      <c r="N11" s="5"/>
      <c r="O11" s="5"/>
      <c r="P11" s="5"/>
      <c r="Q11" s="5"/>
      <c r="R11" s="5"/>
      <c r="S11" s="5"/>
      <c r="T11" s="116"/>
    </row>
    <row r="12">
      <c r="A12" s="103">
        <v>44603</v>
      </c>
      <c r="B12" s="14">
        <v>200</v>
      </c>
      <c r="C12" s="14"/>
      <c r="D12" s="14"/>
      <c r="E12" s="14"/>
      <c r="F12" s="14"/>
      <c r="G12" s="14"/>
      <c r="H12" s="14"/>
      <c r="I12" s="14"/>
      <c r="J12" s="14"/>
      <c r="K12" s="14"/>
      <c r="L12" s="14"/>
      <c r="M12" s="14"/>
      <c r="N12" s="14"/>
      <c r="O12" s="14"/>
      <c r="P12" s="14"/>
      <c r="Q12" s="14"/>
      <c r="R12" s="14"/>
      <c r="S12" s="14"/>
      <c r="T12" s="116"/>
    </row>
    <row r="13">
      <c r="A13" s="103">
        <v>44604</v>
      </c>
      <c r="B13" s="5"/>
      <c r="C13" s="5"/>
      <c r="D13" s="5"/>
      <c r="E13" s="5"/>
      <c r="F13" s="5"/>
      <c r="G13" s="5"/>
      <c r="H13" s="5"/>
      <c r="I13" s="5"/>
      <c r="J13" s="5"/>
      <c r="K13" s="5"/>
      <c r="L13" s="5"/>
      <c r="M13" s="5"/>
      <c r="N13" s="5"/>
      <c r="O13" s="5"/>
      <c r="P13" s="5"/>
      <c r="Q13" s="5"/>
      <c r="R13" s="5"/>
      <c r="S13" s="5"/>
      <c r="T13" s="116"/>
    </row>
    <row r="14">
      <c r="A14" s="103">
        <v>44605</v>
      </c>
      <c r="B14" s="14">
        <v>200</v>
      </c>
      <c r="C14" s="14"/>
      <c r="D14" s="14"/>
      <c r="E14" s="14"/>
      <c r="F14" s="14"/>
      <c r="G14" s="14"/>
      <c r="H14" s="14"/>
      <c r="I14" s="14"/>
      <c r="J14" s="14"/>
      <c r="K14" s="14"/>
      <c r="L14" s="14"/>
      <c r="M14" s="14"/>
      <c r="N14" s="14"/>
      <c r="O14" s="14"/>
      <c r="P14" s="14"/>
      <c r="Q14" s="14"/>
      <c r="R14" s="14"/>
      <c r="S14" s="14"/>
      <c r="T14" s="116"/>
    </row>
    <row r="15">
      <c r="A15" s="103">
        <v>44606</v>
      </c>
      <c r="B15" s="5">
        <v>100</v>
      </c>
      <c r="C15" s="5">
        <v>2550</v>
      </c>
      <c r="D15" s="5"/>
      <c r="E15" s="5"/>
      <c r="F15" s="5"/>
      <c r="G15" s="5"/>
      <c r="H15" s="5"/>
      <c r="I15" s="5"/>
      <c r="J15" s="5"/>
      <c r="K15" s="5"/>
      <c r="L15" s="5"/>
      <c r="M15" s="5"/>
      <c r="N15" s="5"/>
      <c r="O15" s="5"/>
      <c r="P15" s="5"/>
      <c r="Q15" s="5"/>
      <c r="R15" s="5"/>
      <c r="S15" s="5"/>
      <c r="T15" s="116"/>
    </row>
    <row r="16">
      <c r="A16" s="103">
        <v>44607</v>
      </c>
      <c r="B16" s="14">
        <v>100</v>
      </c>
      <c r="C16" s="97"/>
      <c r="D16" s="14"/>
      <c r="E16" s="14"/>
      <c r="F16" s="14"/>
      <c r="G16" s="14"/>
      <c r="H16" s="14"/>
      <c r="I16" s="14"/>
      <c r="J16" s="14"/>
      <c r="K16" s="14"/>
      <c r="L16" s="14"/>
      <c r="M16" s="14">
        <f>7000*'Сводная таблица'!B84</f>
        <v>30660</v>
      </c>
      <c r="N16" s="14"/>
      <c r="O16" s="14"/>
      <c r="P16" s="14"/>
      <c r="Q16" s="14"/>
      <c r="R16" s="14"/>
      <c r="S16" s="14"/>
      <c r="T16" s="116"/>
    </row>
    <row r="17">
      <c r="A17" s="103">
        <v>44608</v>
      </c>
      <c r="B17" s="5">
        <v>200</v>
      </c>
      <c r="C17" s="6"/>
      <c r="D17" s="5"/>
      <c r="E17" s="5"/>
      <c r="F17" s="5"/>
      <c r="G17" s="5"/>
      <c r="H17" s="5"/>
      <c r="I17" s="5"/>
      <c r="J17" s="5"/>
      <c r="K17" s="5"/>
      <c r="L17" s="5"/>
      <c r="M17" s="5"/>
      <c r="N17" s="5"/>
      <c r="O17" s="5"/>
      <c r="P17" s="5"/>
      <c r="Q17" s="5"/>
      <c r="R17" s="5"/>
      <c r="S17" s="5"/>
      <c r="T17" s="116"/>
    </row>
    <row r="18">
      <c r="A18" s="103">
        <v>44609</v>
      </c>
      <c r="B18" s="14">
        <v>200</v>
      </c>
      <c r="C18" s="14"/>
      <c r="D18" s="14"/>
      <c r="E18" s="14"/>
      <c r="F18" s="14"/>
      <c r="G18" s="14"/>
      <c r="H18" s="14"/>
      <c r="I18" s="14"/>
      <c r="J18" s="14"/>
      <c r="K18" s="14"/>
      <c r="L18" s="14"/>
      <c r="M18" s="14"/>
      <c r="N18" s="14"/>
      <c r="O18" s="14"/>
      <c r="P18" s="14"/>
      <c r="Q18" s="14"/>
      <c r="R18" s="14"/>
      <c r="S18" s="14"/>
      <c r="T18" s="116"/>
    </row>
    <row r="19">
      <c r="A19" s="103">
        <v>44610</v>
      </c>
      <c r="B19" s="5">
        <v>200</v>
      </c>
      <c r="C19" s="5"/>
      <c r="D19" s="5"/>
      <c r="E19" s="5"/>
      <c r="F19" s="5"/>
      <c r="G19" s="5"/>
      <c r="H19" s="5"/>
      <c r="I19" s="5"/>
      <c r="J19" s="5"/>
      <c r="K19" s="5"/>
      <c r="L19" s="5"/>
      <c r="M19" s="5"/>
      <c r="N19" s="5"/>
      <c r="O19" s="5"/>
      <c r="P19" s="5"/>
      <c r="Q19" s="5"/>
      <c r="R19" s="6"/>
      <c r="S19" s="5"/>
      <c r="T19" s="116"/>
    </row>
    <row r="20">
      <c r="A20" s="103">
        <v>44611</v>
      </c>
      <c r="B20" s="14"/>
      <c r="C20" s="14"/>
      <c r="D20" s="14"/>
      <c r="E20" s="14"/>
      <c r="F20" s="14"/>
      <c r="G20" s="14"/>
      <c r="H20" s="14"/>
      <c r="I20" s="14"/>
      <c r="J20" s="14"/>
      <c r="K20" s="14"/>
      <c r="L20" s="14"/>
      <c r="M20" s="14"/>
      <c r="N20" s="14"/>
      <c r="O20" s="14"/>
      <c r="P20" s="34"/>
      <c r="Q20" s="14"/>
      <c r="R20" s="14"/>
      <c r="S20" s="14"/>
      <c r="T20" s="116"/>
    </row>
    <row r="21">
      <c r="A21" s="103">
        <v>44612</v>
      </c>
      <c r="B21" s="69">
        <v>100</v>
      </c>
      <c r="C21" s="6"/>
      <c r="D21" s="5"/>
      <c r="E21" s="5"/>
      <c r="F21" s="5"/>
      <c r="G21" s="5"/>
      <c r="H21" s="5"/>
      <c r="I21" s="5"/>
      <c r="J21" s="5"/>
      <c r="K21" s="5"/>
      <c r="L21" s="5"/>
      <c r="M21" s="5"/>
      <c r="N21" s="5"/>
      <c r="O21" s="5"/>
      <c r="P21" s="5"/>
      <c r="Q21" s="5"/>
      <c r="R21" s="5"/>
      <c r="S21" s="5"/>
      <c r="T21" s="116"/>
    </row>
    <row r="22">
      <c r="A22" s="103">
        <v>44613</v>
      </c>
      <c r="B22" s="22">
        <v>200</v>
      </c>
      <c r="C22" s="14"/>
      <c r="D22" s="14">
        <v>1250</v>
      </c>
      <c r="E22" s="14"/>
      <c r="F22" s="14"/>
      <c r="G22" s="14"/>
      <c r="H22" s="14"/>
      <c r="I22" s="14"/>
      <c r="J22" s="14"/>
      <c r="K22" s="14"/>
      <c r="L22" s="14"/>
      <c r="M22" s="14"/>
      <c r="N22" s="14"/>
      <c r="O22" s="14"/>
      <c r="P22" s="14"/>
      <c r="Q22" s="14"/>
      <c r="R22" s="14"/>
      <c r="S22" s="14"/>
      <c r="T22" s="116"/>
    </row>
    <row r="23">
      <c r="A23" s="103">
        <v>44614</v>
      </c>
      <c r="B23" s="5">
        <v>200</v>
      </c>
      <c r="C23" s="5"/>
      <c r="D23" s="5"/>
      <c r="E23" s="5"/>
      <c r="F23" s="5"/>
      <c r="G23" s="5"/>
      <c r="H23" s="5"/>
      <c r="I23" s="5"/>
      <c r="J23" s="5"/>
      <c r="K23" s="5"/>
      <c r="L23" s="5"/>
      <c r="M23" s="5"/>
      <c r="N23" s="5"/>
      <c r="O23" s="5"/>
      <c r="P23" s="5"/>
      <c r="Q23" s="5"/>
      <c r="R23" s="5"/>
      <c r="S23" s="5"/>
      <c r="T23" s="116"/>
    </row>
    <row r="24">
      <c r="A24" s="103">
        <v>44615</v>
      </c>
      <c r="B24" s="14">
        <v>100</v>
      </c>
      <c r="C24" s="14"/>
      <c r="D24" s="14"/>
      <c r="E24" s="14"/>
      <c r="F24" s="14"/>
      <c r="G24" s="14"/>
      <c r="H24" s="14"/>
      <c r="I24" s="14"/>
      <c r="J24" s="14"/>
      <c r="K24" s="14"/>
      <c r="L24" s="14"/>
      <c r="M24" s="14"/>
      <c r="N24" s="14"/>
      <c r="O24" s="14"/>
      <c r="P24" s="14"/>
      <c r="Q24" s="14"/>
      <c r="R24" s="14"/>
      <c r="S24" s="14"/>
      <c r="T24" s="116"/>
    </row>
    <row r="25">
      <c r="A25" s="103">
        <v>44616</v>
      </c>
      <c r="B25" s="28">
        <f>24750*'Сводная таблица'!B84</f>
        <v>108405</v>
      </c>
      <c r="C25" s="5"/>
      <c r="D25" s="5"/>
      <c r="E25" s="5"/>
      <c r="F25" s="5"/>
      <c r="G25" s="5"/>
      <c r="H25" s="5"/>
      <c r="I25" s="5"/>
      <c r="J25" s="5"/>
      <c r="K25" s="5"/>
      <c r="L25" s="5"/>
      <c r="M25" s="5"/>
      <c r="N25" s="5"/>
      <c r="O25" s="5"/>
      <c r="P25" s="5"/>
      <c r="Q25" s="5"/>
      <c r="R25" s="5"/>
      <c r="S25" s="5"/>
      <c r="T25" s="116"/>
    </row>
    <row r="26">
      <c r="A26" s="103">
        <v>44617</v>
      </c>
      <c r="B26" s="14">
        <v>200</v>
      </c>
      <c r="C26" s="14"/>
      <c r="D26" s="14"/>
      <c r="E26" s="14"/>
      <c r="F26" s="14"/>
      <c r="G26" s="14"/>
      <c r="H26" s="14"/>
      <c r="I26" s="14"/>
      <c r="J26" s="14"/>
      <c r="K26" s="14"/>
      <c r="L26" s="14"/>
      <c r="M26" s="14"/>
      <c r="N26" s="14"/>
      <c r="O26" s="14"/>
      <c r="P26" s="14"/>
      <c r="Q26" s="14"/>
      <c r="R26" s="14"/>
      <c r="S26" s="14"/>
      <c r="T26" s="116"/>
    </row>
    <row r="27">
      <c r="A27" s="103">
        <v>44618</v>
      </c>
      <c r="B27" s="5"/>
      <c r="C27" s="6"/>
      <c r="D27" s="5"/>
      <c r="E27" s="5"/>
      <c r="F27" s="5"/>
      <c r="G27" s="5"/>
      <c r="H27" s="5"/>
      <c r="I27" s="5"/>
      <c r="J27" s="5"/>
      <c r="K27" s="5"/>
      <c r="L27" s="5"/>
      <c r="M27" s="5"/>
      <c r="N27" s="5"/>
      <c r="O27" s="5"/>
      <c r="P27" s="5"/>
      <c r="Q27" s="5"/>
      <c r="R27" s="5"/>
      <c r="S27" s="5"/>
      <c r="T27" s="116"/>
    </row>
    <row r="28">
      <c r="A28" s="103">
        <v>44619</v>
      </c>
      <c r="B28" s="14">
        <f>200+(1430*'Сводная таблица'!B84)</f>
        <v>6463.3999999999996</v>
      </c>
      <c r="C28" s="14"/>
      <c r="D28" s="14"/>
      <c r="E28" s="14"/>
      <c r="F28" s="14"/>
      <c r="G28" s="14"/>
      <c r="H28" s="14"/>
      <c r="I28" s="14"/>
      <c r="J28" s="14"/>
      <c r="K28" s="14"/>
      <c r="L28" s="14"/>
      <c r="M28" s="14"/>
      <c r="N28" s="14"/>
      <c r="O28" s="14"/>
      <c r="P28" s="14"/>
      <c r="Q28" s="14"/>
      <c r="R28" s="14"/>
      <c r="S28" s="14"/>
      <c r="T28" s="116"/>
    </row>
    <row r="29">
      <c r="A29" s="103">
        <v>44620</v>
      </c>
      <c r="B29" s="5">
        <v>100</v>
      </c>
      <c r="C29" s="5">
        <v>2020</v>
      </c>
      <c r="D29" s="5"/>
      <c r="E29" s="5"/>
      <c r="F29" s="5"/>
      <c r="G29" s="5"/>
      <c r="H29" s="5"/>
      <c r="I29" s="5"/>
      <c r="J29" s="5"/>
      <c r="K29" s="5"/>
      <c r="L29" s="5"/>
      <c r="M29" s="5"/>
      <c r="N29" s="5">
        <v>2700</v>
      </c>
      <c r="O29" s="5"/>
      <c r="P29" s="5"/>
      <c r="Q29" s="5"/>
      <c r="R29" s="5"/>
      <c r="S29" s="5"/>
      <c r="T29" s="116"/>
    </row>
    <row r="30">
      <c r="A30" s="103"/>
      <c r="B30" s="22"/>
      <c r="C30" s="22"/>
      <c r="D30" s="22"/>
      <c r="E30" s="22"/>
      <c r="F30" s="22"/>
      <c r="G30" s="22"/>
      <c r="H30" s="22"/>
      <c r="I30" s="22"/>
      <c r="J30" s="22"/>
      <c r="K30" s="22"/>
      <c r="L30" s="22"/>
      <c r="M30" s="22"/>
      <c r="N30" s="22"/>
      <c r="O30" s="22"/>
      <c r="P30" s="22"/>
      <c r="Q30" s="22"/>
      <c r="R30" s="22"/>
      <c r="S30" s="22"/>
      <c r="T30" s="116"/>
    </row>
    <row r="31">
      <c r="A31" s="103"/>
      <c r="B31" s="5"/>
      <c r="C31" s="5"/>
      <c r="D31" s="5"/>
      <c r="E31" s="5"/>
      <c r="F31" s="5"/>
      <c r="G31" s="5"/>
      <c r="H31" s="5"/>
      <c r="I31" s="5"/>
      <c r="J31" s="5"/>
      <c r="K31" s="5"/>
      <c r="L31" s="5"/>
      <c r="M31" s="5"/>
      <c r="N31" s="5"/>
      <c r="O31" s="5"/>
      <c r="P31" s="5"/>
      <c r="Q31" s="5"/>
      <c r="R31" s="5"/>
      <c r="S31" s="5"/>
      <c r="T31" s="116"/>
    </row>
    <row r="32">
      <c r="A32" s="103"/>
      <c r="B32" s="22"/>
      <c r="C32" s="22">
        <v>35000</v>
      </c>
      <c r="D32" s="22"/>
      <c r="E32" s="22"/>
      <c r="F32" s="22"/>
      <c r="G32" s="22"/>
      <c r="H32" s="22"/>
      <c r="I32" s="22"/>
      <c r="J32" s="22"/>
      <c r="K32" s="22"/>
      <c r="L32" s="22"/>
      <c r="M32" s="22"/>
      <c r="N32" s="22"/>
      <c r="O32" s="22"/>
      <c r="P32" s="22"/>
      <c r="Q32" s="22"/>
      <c r="R32" s="22"/>
      <c r="S32" s="22"/>
      <c r="T32" s="116"/>
    </row>
    <row r="33">
      <c r="A33" s="113" t="s">
        <v>87</v>
      </c>
      <c r="B33" s="113">
        <f>SUM(B2:B32)</f>
        <v>118268.39999999999</v>
      </c>
      <c r="C33" s="113">
        <f>SUM(C2:C32)</f>
        <v>40950</v>
      </c>
      <c r="D33" s="113">
        <f>SUM(D2:D32)</f>
        <v>3750</v>
      </c>
      <c r="E33" s="113">
        <f>SUM(E2:E32)</f>
        <v>0</v>
      </c>
      <c r="F33" s="113">
        <f>SUM(F2:F32)</f>
        <v>0</v>
      </c>
      <c r="G33" s="113">
        <f>SUM(G2:G32)</f>
        <v>0</v>
      </c>
      <c r="H33" s="113">
        <f>SUM(H2:H32)</f>
        <v>0</v>
      </c>
      <c r="I33" s="113">
        <f>SUM(I2:I32)</f>
        <v>0</v>
      </c>
      <c r="J33" s="113">
        <f>SUM(J2:J32)</f>
        <v>0</v>
      </c>
      <c r="K33" s="113">
        <f>SUM(K2:K32)</f>
        <v>10500</v>
      </c>
      <c r="L33" s="113">
        <f>SUM(L2:L32)</f>
        <v>88000</v>
      </c>
      <c r="M33" s="113">
        <f>SUM(M2:M32)</f>
        <v>39920</v>
      </c>
      <c r="N33" s="113">
        <f>SUM(N2:N32)</f>
        <v>2700</v>
      </c>
      <c r="O33" s="113">
        <f>SUM(O2:O32)</f>
        <v>0</v>
      </c>
      <c r="P33" s="113">
        <f>SUM(P2:P32)</f>
        <v>0</v>
      </c>
      <c r="Q33" s="113">
        <f>SUM(Q2:Q32)</f>
        <v>0</v>
      </c>
      <c r="R33" s="113">
        <f>SUM(R2:R32)</f>
        <v>0</v>
      </c>
      <c r="S33" s="113">
        <f>SUM(B33:R33)+SUM(S2:S32)</f>
        <v>304088.40000000002</v>
      </c>
      <c r="T33" s="124" t="s">
        <v>88</v>
      </c>
    </row>
    <row r="34">
      <c r="A34" s="108" t="s">
        <v>89</v>
      </c>
      <c r="B34" s="110">
        <f>B33/'Сводная таблица'!B67</f>
        <v>27001.917808219176</v>
      </c>
      <c r="C34" s="110">
        <f>C33/'Сводная таблица'!B67</f>
        <v>9349.3150684931516</v>
      </c>
      <c r="D34" s="110">
        <f>D33/'Сводная таблица'!B67</f>
        <v>856.16438356164383</v>
      </c>
      <c r="E34" s="110">
        <f>E33/'Сводная таблица'!B67</f>
        <v>0</v>
      </c>
      <c r="F34" s="110">
        <f>F33/'Сводная таблица'!B67</f>
        <v>0</v>
      </c>
      <c r="G34" s="110">
        <f>G33/'Сводная таблица'!B67</f>
        <v>0</v>
      </c>
      <c r="H34" s="110">
        <f>H33/'Сводная таблица'!B67</f>
        <v>0</v>
      </c>
      <c r="I34" s="110">
        <f>I33/'Сводная таблица'!B67</f>
        <v>0</v>
      </c>
      <c r="J34" s="110">
        <f>J33/'Сводная таблица'!B67</f>
        <v>0</v>
      </c>
      <c r="K34" s="110">
        <f>K33/'Сводная таблица'!B67</f>
        <v>2397.2602739726026</v>
      </c>
      <c r="L34" s="110">
        <f>L33/'Сводная таблица'!B67</f>
        <v>20091.324200913241</v>
      </c>
      <c r="M34" s="110">
        <f>M33/'Сводная таблица'!B67</f>
        <v>9114.1552511415521</v>
      </c>
      <c r="N34" s="110">
        <f>N33/'Сводная таблица'!B67</f>
        <v>616.43835616438355</v>
      </c>
      <c r="O34" s="110">
        <f>O33/'Сводная таблица'!B67</f>
        <v>0</v>
      </c>
      <c r="P34" s="110">
        <f>P33/'Сводная таблица'!B67</f>
        <v>0</v>
      </c>
      <c r="Q34" s="110">
        <f>Q33/'Сводная таблица'!B67</f>
        <v>0</v>
      </c>
      <c r="R34" s="110">
        <f>R33/'Сводная таблица'!B67</f>
        <v>0</v>
      </c>
      <c r="S34" s="120">
        <f>S33/'Сводная таблица'!B67</f>
        <v>69426.57534246576</v>
      </c>
      <c r="T34" s="125" t="s">
        <v>90</v>
      </c>
    </row>
    <row r="35">
      <c r="A35" s="121" t="s">
        <v>0</v>
      </c>
      <c r="B35" s="121" t="s">
        <v>50</v>
      </c>
      <c r="C35" s="121" t="s">
        <v>13</v>
      </c>
      <c r="D35" s="121" t="s">
        <v>11</v>
      </c>
      <c r="E35" s="121" t="s">
        <v>51</v>
      </c>
      <c r="F35" s="121" t="s">
        <v>52</v>
      </c>
      <c r="G35" s="121" t="s">
        <v>53</v>
      </c>
      <c r="H35" s="121" t="s">
        <v>54</v>
      </c>
      <c r="I35" s="121" t="s">
        <v>55</v>
      </c>
      <c r="J35" s="121" t="s">
        <v>61</v>
      </c>
      <c r="K35" s="121" t="s">
        <v>74</v>
      </c>
      <c r="L35" s="122"/>
      <c r="M35" s="122"/>
      <c r="N35" s="122"/>
      <c r="O35" s="122"/>
      <c r="P35" s="122"/>
      <c r="Q35" s="122"/>
      <c r="R35" s="122"/>
      <c r="S35" s="122"/>
      <c r="T35" s="116"/>
    </row>
    <row r="36">
      <c r="A36" s="103">
        <v>44593</v>
      </c>
      <c r="B36" s="14">
        <f>500000+50633</f>
        <v>550633</v>
      </c>
      <c r="C36" s="14"/>
      <c r="D36" s="14"/>
      <c r="E36" s="14"/>
      <c r="F36" s="14"/>
      <c r="G36" s="14"/>
      <c r="H36" s="14"/>
      <c r="I36" s="14"/>
      <c r="J36" s="22"/>
      <c r="K36" s="22"/>
      <c r="L36" s="22"/>
      <c r="M36" s="22"/>
      <c r="N36" s="22"/>
      <c r="O36" s="22"/>
      <c r="P36" s="22"/>
      <c r="Q36" s="22"/>
      <c r="R36" s="22"/>
      <c r="S36" s="22"/>
      <c r="T36" s="116"/>
    </row>
    <row r="37">
      <c r="A37" s="103">
        <v>44594</v>
      </c>
      <c r="B37" s="5"/>
      <c r="C37" s="5"/>
      <c r="D37" s="5"/>
      <c r="E37" s="5"/>
      <c r="F37" s="5"/>
      <c r="G37" s="5"/>
      <c r="H37" s="5"/>
      <c r="I37" s="5"/>
      <c r="J37" s="5"/>
      <c r="K37" s="5"/>
      <c r="L37" s="5"/>
      <c r="M37" s="5"/>
      <c r="N37" s="5"/>
      <c r="O37" s="5"/>
      <c r="P37" s="5"/>
      <c r="Q37" s="5"/>
      <c r="R37" s="5"/>
      <c r="S37" s="5"/>
      <c r="T37" s="116"/>
    </row>
    <row r="38">
      <c r="A38" s="103">
        <v>44595</v>
      </c>
      <c r="B38" s="14"/>
      <c r="C38" s="14"/>
      <c r="D38" s="14"/>
      <c r="E38" s="14"/>
      <c r="F38" s="14"/>
      <c r="G38" s="14"/>
      <c r="H38" s="14"/>
      <c r="I38" s="14"/>
      <c r="J38" s="22"/>
      <c r="K38" s="22"/>
      <c r="L38" s="22"/>
      <c r="M38" s="22"/>
      <c r="N38" s="22"/>
      <c r="O38" s="22"/>
      <c r="P38" s="22"/>
      <c r="Q38" s="22"/>
      <c r="R38" s="22"/>
      <c r="S38" s="22"/>
      <c r="T38" s="116"/>
    </row>
    <row r="39">
      <c r="A39" s="103">
        <v>44596</v>
      </c>
      <c r="B39" s="5"/>
      <c r="C39" s="5"/>
      <c r="D39" s="5"/>
      <c r="E39" s="71"/>
      <c r="F39" s="5"/>
      <c r="G39" s="5"/>
      <c r="H39" s="5"/>
      <c r="I39" s="5"/>
      <c r="J39" s="5"/>
      <c r="K39" s="5"/>
      <c r="L39" s="5"/>
      <c r="M39" s="5"/>
      <c r="N39" s="5"/>
      <c r="O39" s="5"/>
      <c r="P39" s="5"/>
      <c r="Q39" s="5"/>
      <c r="R39" s="5"/>
      <c r="S39" s="5"/>
      <c r="T39" s="116"/>
    </row>
    <row r="40">
      <c r="A40" s="103">
        <v>44597</v>
      </c>
      <c r="B40" s="14"/>
      <c r="C40" s="14"/>
      <c r="D40" s="14"/>
      <c r="E40" s="14"/>
      <c r="F40" s="14"/>
      <c r="G40" s="14"/>
      <c r="H40" s="14"/>
      <c r="I40" s="14">
        <f>(10-99)*'Сводная таблица'!B84</f>
        <v>-389.81999999999999</v>
      </c>
      <c r="J40" s="14"/>
      <c r="K40" s="14"/>
      <c r="L40" s="14"/>
      <c r="M40" s="14"/>
      <c r="N40" s="14"/>
      <c r="O40" s="14"/>
      <c r="P40" s="14"/>
      <c r="Q40" s="14"/>
      <c r="R40" s="14"/>
      <c r="S40" s="14"/>
      <c r="T40" s="116"/>
    </row>
    <row r="41">
      <c r="A41" s="103">
        <v>44598</v>
      </c>
      <c r="B41" s="5"/>
      <c r="C41" s="5"/>
      <c r="D41" s="5"/>
      <c r="E41" s="5">
        <f>63.26*'Сводная таблица'!B84</f>
        <v>277.0788</v>
      </c>
      <c r="F41" s="5"/>
      <c r="G41" s="5"/>
      <c r="H41" s="5"/>
      <c r="I41" s="5"/>
      <c r="J41" s="5"/>
      <c r="K41" s="5"/>
      <c r="L41" s="5"/>
      <c r="M41" s="5"/>
      <c r="N41" s="5"/>
      <c r="O41" s="5"/>
      <c r="P41" s="5"/>
      <c r="Q41" s="5"/>
      <c r="R41" s="5"/>
      <c r="S41" s="5"/>
      <c r="T41" s="116"/>
    </row>
    <row r="42">
      <c r="A42" s="103">
        <v>44599</v>
      </c>
      <c r="B42" s="14"/>
      <c r="C42" s="14"/>
      <c r="D42" s="14"/>
      <c r="E42" s="14"/>
      <c r="F42" s="14"/>
      <c r="G42" s="14"/>
      <c r="H42" s="14"/>
      <c r="I42" s="14"/>
      <c r="J42" s="14"/>
      <c r="K42" s="14"/>
      <c r="L42" s="14"/>
      <c r="M42" s="14"/>
      <c r="N42" s="14"/>
      <c r="O42" s="14"/>
      <c r="P42" s="14"/>
      <c r="Q42" s="14"/>
      <c r="R42" s="14"/>
      <c r="S42" s="14"/>
      <c r="T42" s="116"/>
    </row>
    <row r="43">
      <c r="A43" s="103">
        <v>44600</v>
      </c>
      <c r="B43" s="5"/>
      <c r="C43" s="5"/>
      <c r="D43" s="5"/>
      <c r="E43" s="5"/>
      <c r="F43" s="5"/>
      <c r="G43" s="5"/>
      <c r="H43" s="5"/>
      <c r="I43" s="5"/>
      <c r="J43" s="5"/>
      <c r="K43" s="5"/>
      <c r="L43" s="5"/>
      <c r="M43" s="5"/>
      <c r="N43" s="5"/>
      <c r="O43" s="5"/>
      <c r="P43" s="5"/>
      <c r="Q43" s="5"/>
      <c r="R43" s="5"/>
      <c r="S43" s="5"/>
      <c r="T43" s="116"/>
    </row>
    <row r="44">
      <c r="A44" s="103">
        <v>44601</v>
      </c>
      <c r="B44" s="79"/>
      <c r="C44" s="14"/>
      <c r="D44" s="14"/>
      <c r="E44" s="14"/>
      <c r="F44" s="14"/>
      <c r="G44" s="14"/>
      <c r="H44" s="14"/>
      <c r="I44" s="14"/>
      <c r="J44" s="14"/>
      <c r="K44" s="14"/>
      <c r="L44" s="14"/>
      <c r="M44" s="14"/>
      <c r="N44" s="14"/>
      <c r="O44" s="14"/>
      <c r="P44" s="14"/>
      <c r="Q44" s="14"/>
      <c r="R44" s="14"/>
      <c r="S44" s="14"/>
      <c r="T44" s="116"/>
    </row>
    <row r="45">
      <c r="A45" s="103">
        <v>44602</v>
      </c>
      <c r="B45" s="5"/>
      <c r="C45" s="5"/>
      <c r="D45" s="5"/>
      <c r="E45" s="5"/>
      <c r="F45" s="5"/>
      <c r="G45" s="5"/>
      <c r="H45" s="5"/>
      <c r="I45" s="5"/>
      <c r="J45" s="5"/>
      <c r="K45" s="5"/>
      <c r="L45" s="5"/>
      <c r="M45" s="5"/>
      <c r="N45" s="5"/>
      <c r="O45" s="5"/>
      <c r="P45" s="5"/>
      <c r="Q45" s="5"/>
      <c r="R45" s="5"/>
      <c r="S45" s="5"/>
      <c r="T45" s="116"/>
    </row>
    <row r="46">
      <c r="A46" s="103">
        <v>44603</v>
      </c>
      <c r="B46" s="14"/>
      <c r="C46" s="14"/>
      <c r="D46" s="14"/>
      <c r="E46" s="14"/>
      <c r="F46" s="14"/>
      <c r="G46" s="14"/>
      <c r="H46" s="14"/>
      <c r="I46" s="14"/>
      <c r="J46" s="14"/>
      <c r="K46" s="14"/>
      <c r="L46" s="14"/>
      <c r="M46" s="14"/>
      <c r="N46" s="14"/>
      <c r="O46" s="14"/>
      <c r="P46" s="14"/>
      <c r="Q46" s="14"/>
      <c r="R46" s="14"/>
      <c r="S46" s="14"/>
      <c r="T46" s="116"/>
    </row>
    <row r="47">
      <c r="A47" s="103">
        <v>44604</v>
      </c>
      <c r="B47" s="5"/>
      <c r="C47" s="5"/>
      <c r="D47" s="5"/>
      <c r="E47" s="5"/>
      <c r="F47" s="5"/>
      <c r="G47" s="5"/>
      <c r="H47" s="5"/>
      <c r="I47" s="5"/>
      <c r="J47" s="5"/>
      <c r="K47" s="5"/>
      <c r="L47" s="5"/>
      <c r="M47" s="5"/>
      <c r="N47" s="5"/>
      <c r="O47" s="5"/>
      <c r="P47" s="5"/>
      <c r="Q47" s="5"/>
      <c r="R47" s="5"/>
      <c r="S47" s="5"/>
      <c r="T47" s="116"/>
    </row>
    <row r="48">
      <c r="A48" s="103">
        <v>44605</v>
      </c>
      <c r="B48" s="14"/>
      <c r="C48" s="14"/>
      <c r="D48" s="14"/>
      <c r="E48" s="14"/>
      <c r="F48" s="14"/>
      <c r="G48" s="14"/>
      <c r="H48" s="14"/>
      <c r="I48" s="14"/>
      <c r="J48" s="14"/>
      <c r="K48" s="14"/>
      <c r="L48" s="14"/>
      <c r="M48" s="14"/>
      <c r="N48" s="14"/>
      <c r="O48" s="14"/>
      <c r="P48" s="14"/>
      <c r="Q48" s="14"/>
      <c r="R48" s="14"/>
      <c r="S48" s="14"/>
      <c r="T48" s="116"/>
    </row>
    <row r="49">
      <c r="A49" s="103">
        <v>44606</v>
      </c>
      <c r="B49" s="5"/>
      <c r="C49" s="5"/>
      <c r="D49" s="5"/>
      <c r="E49" s="5"/>
      <c r="F49" s="5"/>
      <c r="G49" s="5"/>
      <c r="H49" s="5"/>
      <c r="I49" s="5"/>
      <c r="J49" s="5"/>
      <c r="K49" s="5"/>
      <c r="L49" s="5"/>
      <c r="M49" s="5"/>
      <c r="N49" s="5"/>
      <c r="O49" s="5"/>
      <c r="P49" s="5"/>
      <c r="Q49" s="5"/>
      <c r="R49" s="5"/>
      <c r="S49" s="5"/>
      <c r="T49" s="116"/>
    </row>
    <row r="50">
      <c r="A50" s="103">
        <v>44607</v>
      </c>
      <c r="B50" s="14"/>
      <c r="C50" s="14"/>
      <c r="D50" s="14"/>
      <c r="E50" s="14"/>
      <c r="F50" s="14"/>
      <c r="G50" s="14"/>
      <c r="H50" s="14"/>
      <c r="I50" s="14"/>
      <c r="J50" s="14"/>
      <c r="K50" s="14"/>
      <c r="L50" s="14"/>
      <c r="M50" s="14"/>
      <c r="N50" s="14"/>
      <c r="O50" s="14"/>
      <c r="P50" s="14"/>
      <c r="Q50" s="14"/>
      <c r="R50" s="14"/>
      <c r="S50" s="14"/>
      <c r="T50" s="116"/>
    </row>
    <row r="51">
      <c r="A51" s="103">
        <v>44608</v>
      </c>
      <c r="B51" s="5"/>
      <c r="C51" s="5"/>
      <c r="D51" s="5"/>
      <c r="E51" s="5"/>
      <c r="F51" s="5"/>
      <c r="G51" s="5"/>
      <c r="H51" s="5"/>
      <c r="I51" s="5"/>
      <c r="J51" s="5"/>
      <c r="K51" s="5"/>
      <c r="L51" s="5"/>
      <c r="M51" s="5"/>
      <c r="N51" s="5"/>
      <c r="O51" s="5"/>
      <c r="P51" s="5"/>
      <c r="Q51" s="5"/>
      <c r="R51" s="5"/>
      <c r="S51" s="5"/>
      <c r="T51" s="116"/>
    </row>
    <row r="52">
      <c r="A52" s="103">
        <v>44609</v>
      </c>
      <c r="B52" s="14"/>
      <c r="C52" s="14"/>
      <c r="D52" s="14"/>
      <c r="E52" s="14"/>
      <c r="F52" s="14"/>
      <c r="G52" s="14"/>
      <c r="H52" s="14"/>
      <c r="I52" s="14"/>
      <c r="J52" s="14"/>
      <c r="K52" s="14"/>
      <c r="L52" s="14"/>
      <c r="M52" s="14"/>
      <c r="N52" s="14"/>
      <c r="O52" s="14"/>
      <c r="P52" s="14"/>
      <c r="Q52" s="14"/>
      <c r="R52" s="14"/>
      <c r="S52" s="14"/>
      <c r="T52" s="116"/>
    </row>
    <row r="53">
      <c r="A53" s="103">
        <v>44610</v>
      </c>
      <c r="B53" s="5"/>
      <c r="C53" s="5"/>
      <c r="D53" s="5"/>
      <c r="E53" s="5"/>
      <c r="F53" s="5"/>
      <c r="G53" s="5"/>
      <c r="H53" s="5"/>
      <c r="I53" s="5"/>
      <c r="J53" s="5"/>
      <c r="K53" s="5"/>
      <c r="L53" s="5"/>
      <c r="M53" s="5"/>
      <c r="N53" s="5"/>
      <c r="O53" s="5"/>
      <c r="P53" s="5"/>
      <c r="Q53" s="5"/>
      <c r="R53" s="5"/>
      <c r="S53" s="5"/>
      <c r="T53" s="116"/>
    </row>
    <row r="54">
      <c r="A54" s="103">
        <v>44611</v>
      </c>
      <c r="B54" s="14"/>
      <c r="C54" s="14"/>
      <c r="D54" s="14"/>
      <c r="E54" s="14"/>
      <c r="F54" s="14"/>
      <c r="G54" s="14"/>
      <c r="H54" s="14"/>
      <c r="I54" s="14"/>
      <c r="J54" s="14"/>
      <c r="K54" s="14"/>
      <c r="L54" s="14"/>
      <c r="M54" s="14"/>
      <c r="N54" s="14"/>
      <c r="O54" s="14"/>
      <c r="P54" s="14"/>
      <c r="Q54" s="14"/>
      <c r="R54" s="14"/>
      <c r="S54" s="14"/>
      <c r="T54" s="116"/>
    </row>
    <row r="55">
      <c r="A55" s="103">
        <v>44612</v>
      </c>
      <c r="B55" s="5"/>
      <c r="C55" s="5"/>
      <c r="D55" s="5"/>
      <c r="E55" s="5"/>
      <c r="F55" s="5"/>
      <c r="G55" s="5"/>
      <c r="H55" s="5"/>
      <c r="I55" s="5"/>
      <c r="J55" s="5"/>
      <c r="K55" s="5"/>
      <c r="L55" s="5"/>
      <c r="M55" s="5"/>
      <c r="N55" s="5"/>
      <c r="O55" s="5"/>
      <c r="P55" s="5"/>
      <c r="Q55" s="5"/>
      <c r="R55" s="5"/>
      <c r="S55" s="5"/>
      <c r="T55" s="116"/>
    </row>
    <row r="56">
      <c r="A56" s="103">
        <v>44613</v>
      </c>
      <c r="B56" s="14"/>
      <c r="C56" s="14"/>
      <c r="D56" s="14"/>
      <c r="E56" s="14"/>
      <c r="F56" s="14"/>
      <c r="G56" s="14"/>
      <c r="H56" s="14"/>
      <c r="I56" s="14"/>
      <c r="J56" s="14"/>
      <c r="K56" s="14"/>
      <c r="L56" s="14"/>
      <c r="M56" s="14"/>
      <c r="N56" s="14"/>
      <c r="O56" s="14"/>
      <c r="P56" s="14"/>
      <c r="Q56" s="14"/>
      <c r="R56" s="14"/>
      <c r="S56" s="14"/>
      <c r="T56" s="116"/>
    </row>
    <row r="57">
      <c r="A57" s="103">
        <v>44614</v>
      </c>
      <c r="B57" s="5"/>
      <c r="C57" s="5"/>
      <c r="D57" s="5"/>
      <c r="E57" s="5"/>
      <c r="F57" s="5"/>
      <c r="G57" s="5"/>
      <c r="H57" s="5"/>
      <c r="I57" s="5"/>
      <c r="J57" s="5"/>
      <c r="K57" s="5"/>
      <c r="L57" s="5"/>
      <c r="M57" s="5"/>
      <c r="N57" s="5"/>
      <c r="O57" s="5"/>
      <c r="P57" s="5"/>
      <c r="Q57" s="5"/>
      <c r="R57" s="5"/>
      <c r="S57" s="5"/>
      <c r="T57" s="116"/>
    </row>
    <row r="58">
      <c r="A58" s="103">
        <v>44615</v>
      </c>
      <c r="B58" s="14"/>
      <c r="C58" s="14"/>
      <c r="D58" s="14"/>
      <c r="E58" s="14"/>
      <c r="F58" s="14"/>
      <c r="G58" s="14"/>
      <c r="H58" s="14"/>
      <c r="I58" s="14"/>
      <c r="J58" s="14"/>
      <c r="K58" s="14"/>
      <c r="L58" s="14"/>
      <c r="M58" s="14"/>
      <c r="N58" s="14"/>
      <c r="O58" s="14"/>
      <c r="P58" s="14"/>
      <c r="Q58" s="14"/>
      <c r="R58" s="14"/>
      <c r="S58" s="14"/>
      <c r="T58" s="116"/>
    </row>
    <row r="59">
      <c r="A59" s="103">
        <v>44616</v>
      </c>
      <c r="B59" s="5"/>
      <c r="C59" s="5"/>
      <c r="D59" s="5"/>
      <c r="E59" s="5"/>
      <c r="F59" s="5"/>
      <c r="G59" s="5"/>
      <c r="H59" s="5"/>
      <c r="I59" s="5"/>
      <c r="J59" s="5"/>
      <c r="K59" s="5"/>
      <c r="L59" s="5"/>
      <c r="M59" s="5"/>
      <c r="N59" s="5"/>
      <c r="O59" s="5"/>
      <c r="P59" s="5"/>
      <c r="Q59" s="5"/>
      <c r="R59" s="5"/>
      <c r="S59" s="5"/>
      <c r="T59" s="116"/>
    </row>
    <row r="60">
      <c r="A60" s="103">
        <v>44617</v>
      </c>
      <c r="B60" s="14"/>
      <c r="C60" s="14"/>
      <c r="D60" s="14"/>
      <c r="E60" s="14"/>
      <c r="F60" s="14"/>
      <c r="G60" s="14"/>
      <c r="H60" s="14"/>
      <c r="I60" s="14"/>
      <c r="J60" s="14">
        <f>12017.11*'Сводная таблица'!B84</f>
        <v>52634.941800000001</v>
      </c>
      <c r="K60" s="14"/>
      <c r="L60" s="14"/>
      <c r="M60" s="14"/>
      <c r="N60" s="14"/>
      <c r="O60" s="14"/>
      <c r="P60" s="14"/>
      <c r="Q60" s="14"/>
      <c r="R60" s="14"/>
      <c r="S60" s="14"/>
      <c r="T60" s="116"/>
    </row>
    <row r="61">
      <c r="A61" s="103">
        <v>44618</v>
      </c>
      <c r="B61" s="5"/>
      <c r="C61" s="5"/>
      <c r="D61" s="5"/>
      <c r="E61" s="5"/>
      <c r="F61" s="5"/>
      <c r="G61" s="5"/>
      <c r="H61" s="5"/>
      <c r="I61" s="5"/>
      <c r="J61" s="5"/>
      <c r="K61" s="5"/>
      <c r="L61" s="5"/>
      <c r="M61" s="5"/>
      <c r="N61" s="5"/>
      <c r="O61" s="5"/>
      <c r="P61" s="5"/>
      <c r="Q61" s="5"/>
      <c r="R61" s="5"/>
      <c r="S61" s="5"/>
      <c r="T61" s="116"/>
    </row>
    <row r="62">
      <c r="A62" s="103">
        <v>44619</v>
      </c>
      <c r="B62" s="14"/>
      <c r="C62" s="14"/>
      <c r="D62" s="14"/>
      <c r="E62" s="14"/>
      <c r="F62" s="14"/>
      <c r="G62" s="14"/>
      <c r="H62" s="14"/>
      <c r="I62" s="14"/>
      <c r="J62" s="14"/>
      <c r="K62" s="14"/>
      <c r="L62" s="14"/>
      <c r="M62" s="14"/>
      <c r="N62" s="14"/>
      <c r="O62" s="14"/>
      <c r="P62" s="14"/>
      <c r="Q62" s="14"/>
      <c r="R62" s="14"/>
      <c r="S62" s="14"/>
      <c r="T62" s="116"/>
    </row>
    <row r="63">
      <c r="A63" s="103">
        <v>44620</v>
      </c>
      <c r="B63" s="5"/>
      <c r="C63" s="5"/>
      <c r="D63" s="5"/>
      <c r="E63" s="5">
        <f>(264.41+231.36)*'Сводная таблица'!B84+(2663-266.3)</f>
        <v>4568.1725999999999</v>
      </c>
      <c r="F63" s="5"/>
      <c r="G63" s="5"/>
      <c r="H63" s="5"/>
      <c r="I63" s="5"/>
      <c r="J63" s="5"/>
      <c r="K63" s="5"/>
      <c r="L63" s="5"/>
      <c r="M63" s="5"/>
      <c r="N63" s="5"/>
      <c r="O63" s="5"/>
      <c r="P63" s="5"/>
      <c r="Q63" s="5"/>
      <c r="R63" s="48"/>
      <c r="S63" s="5"/>
      <c r="T63" s="116"/>
    </row>
    <row r="64">
      <c r="A64" s="103"/>
      <c r="B64" s="22"/>
      <c r="C64" s="22"/>
      <c r="D64" s="22"/>
      <c r="E64" s="22"/>
      <c r="F64" s="22"/>
      <c r="G64" s="22"/>
      <c r="H64" s="22"/>
      <c r="I64" s="22"/>
      <c r="J64" s="14"/>
      <c r="K64" s="14"/>
      <c r="L64" s="14"/>
      <c r="M64" s="14"/>
      <c r="N64" s="14"/>
      <c r="O64" s="14"/>
      <c r="P64" s="14"/>
      <c r="Q64" s="14"/>
      <c r="R64" s="80"/>
      <c r="S64" s="14"/>
      <c r="T64" s="116"/>
    </row>
    <row r="65">
      <c r="A65" s="103"/>
      <c r="B65" s="5"/>
      <c r="C65" s="5"/>
      <c r="D65" s="5"/>
      <c r="E65" s="5"/>
      <c r="F65" s="5"/>
      <c r="G65" s="5"/>
      <c r="H65" s="5"/>
      <c r="I65" s="5"/>
      <c r="J65" s="5"/>
      <c r="K65" s="5"/>
      <c r="L65" s="5"/>
      <c r="M65" s="5"/>
      <c r="N65" s="5"/>
      <c r="O65" s="5"/>
      <c r="P65" s="5"/>
      <c r="Q65" s="5"/>
      <c r="R65" s="48"/>
      <c r="S65" s="5"/>
      <c r="T65" s="116"/>
    </row>
    <row r="66">
      <c r="A66" s="103"/>
      <c r="B66" s="22"/>
      <c r="C66" s="22"/>
      <c r="D66" s="22"/>
      <c r="E66" s="22"/>
      <c r="F66" s="22"/>
      <c r="G66" s="22"/>
      <c r="H66" s="22"/>
      <c r="I66" s="22"/>
      <c r="J66" s="14"/>
      <c r="K66" s="14"/>
      <c r="L66" s="14"/>
      <c r="M66" s="14"/>
      <c r="N66" s="14"/>
      <c r="O66" s="14"/>
      <c r="P66" s="14"/>
      <c r="Q66" s="14"/>
      <c r="R66" s="80"/>
      <c r="S66" s="14"/>
      <c r="T66" s="116"/>
    </row>
    <row r="67">
      <c r="A67" s="113" t="s">
        <v>87</v>
      </c>
      <c r="B67" s="113">
        <f>SUM(B36:B66)</f>
        <v>550633</v>
      </c>
      <c r="C67" s="113">
        <f>SUM(C36:C66)</f>
        <v>0</v>
      </c>
      <c r="D67" s="113">
        <f>SUM(D36:D66)</f>
        <v>0</v>
      </c>
      <c r="E67" s="113">
        <f>SUM(E36:E66)</f>
        <v>4845.2514000000001</v>
      </c>
      <c r="F67" s="113">
        <f>SUM(F36:F66)</f>
        <v>0</v>
      </c>
      <c r="G67" s="113">
        <f>SUM(G36:G66)</f>
        <v>0</v>
      </c>
      <c r="H67" s="113">
        <f>SUM(H36:H66)</f>
        <v>0</v>
      </c>
      <c r="I67" s="113">
        <f>SUM(I36:I66)</f>
        <v>-389.81999999999999</v>
      </c>
      <c r="J67" s="113">
        <f>SUM(J36:J66)</f>
        <v>52634.941800000001</v>
      </c>
      <c r="K67" s="113">
        <f>SUM(K36:K66)</f>
        <v>0</v>
      </c>
      <c r="L67" s="113">
        <f>SUM(L36:L66)</f>
        <v>0</v>
      </c>
      <c r="M67" s="113">
        <f>SUM(M36:M66)</f>
        <v>0</v>
      </c>
      <c r="N67" s="113">
        <f>SUM(N36:N66)</f>
        <v>0</v>
      </c>
      <c r="O67" s="113">
        <f>SUM(O36:O66)</f>
        <v>0</v>
      </c>
      <c r="P67" s="113">
        <f>SUM(P36:P66)</f>
        <v>0</v>
      </c>
      <c r="Q67" s="113">
        <f>SUM(Q36:Q66)</f>
        <v>0</v>
      </c>
      <c r="R67" s="113">
        <f>SUM(R36:R66)</f>
        <v>0</v>
      </c>
      <c r="S67" s="113">
        <f>SUM(B67:R67)</f>
        <v>607723.37320000003</v>
      </c>
      <c r="T67" s="124" t="s">
        <v>88</v>
      </c>
    </row>
    <row r="68">
      <c r="A68" s="108" t="s">
        <v>89</v>
      </c>
      <c r="B68" s="110">
        <f>B67/'Сводная таблица'!B84</f>
        <v>125715.29680365298</v>
      </c>
      <c r="C68" s="110"/>
      <c r="D68" s="110"/>
      <c r="E68" s="110">
        <f>E67/'Сводная таблица'!B67</f>
        <v>1106.2217808219179</v>
      </c>
      <c r="F68" s="110"/>
      <c r="G68" s="110"/>
      <c r="H68" s="110"/>
      <c r="I68" s="110">
        <f>I67/'Сводная таблица'!B67</f>
        <v>-89</v>
      </c>
      <c r="J68" s="110"/>
      <c r="K68" s="110"/>
      <c r="L68" s="110"/>
      <c r="M68" s="110"/>
      <c r="N68" s="110"/>
      <c r="O68" s="110"/>
      <c r="P68" s="110"/>
      <c r="Q68" s="110"/>
      <c r="R68" s="110"/>
      <c r="S68" s="110">
        <f>S67/'Сводная таблица'!B84</f>
        <v>138749.62858447491</v>
      </c>
      <c r="T68" s="125" t="s">
        <v>90</v>
      </c>
    </row>
    <row r="69">
      <c r="A69" s="123" t="s">
        <v>67</v>
      </c>
      <c r="B69" s="123"/>
      <c r="C69" s="123"/>
      <c r="D69" s="123"/>
      <c r="E69" s="123"/>
      <c r="F69" s="123"/>
      <c r="G69" s="123"/>
      <c r="H69" s="123"/>
      <c r="I69" s="123"/>
      <c r="J69" s="123"/>
      <c r="K69" s="123"/>
      <c r="L69" s="123"/>
      <c r="M69" s="123"/>
      <c r="N69" s="123"/>
      <c r="O69" s="123"/>
      <c r="P69" s="123"/>
      <c r="Q69" s="123"/>
      <c r="R69" s="123"/>
      <c r="S69" s="123"/>
      <c r="T69" s="116"/>
    </row>
    <row r="70">
      <c r="A70" s="5" t="s">
        <v>68</v>
      </c>
      <c r="B70" s="118">
        <f>21000-344+2039+(23000-23000)-344-344+8164.1-4600-3300+(3000-3000)+80000+2000+(5500-5500)+(5650-5100)+1000+300+300+11814.99+10000</f>
        <v>128236.09000000001</v>
      </c>
      <c r="C70" s="5"/>
      <c r="D70" s="5"/>
      <c r="E70" s="5"/>
      <c r="F70" s="5"/>
      <c r="G70" s="5"/>
      <c r="H70" s="5"/>
      <c r="I70" s="5"/>
      <c r="J70" s="5"/>
      <c r="K70" s="5"/>
      <c r="L70" s="5"/>
      <c r="M70" s="5"/>
      <c r="N70" s="5"/>
      <c r="O70" s="5"/>
      <c r="P70" s="5"/>
      <c r="Q70" s="5"/>
      <c r="R70" s="5"/>
      <c r="S70" s="5"/>
      <c r="T70" s="116"/>
    </row>
    <row r="71">
      <c r="A71" s="5" t="s">
        <v>76</v>
      </c>
      <c r="B71" s="5">
        <f>3000+1000+1200+1300+1500</f>
        <v>8000</v>
      </c>
      <c r="C71" s="5"/>
      <c r="D71" s="5"/>
      <c r="E71" s="5"/>
      <c r="F71" s="5"/>
      <c r="G71" s="5"/>
      <c r="H71" s="5"/>
      <c r="I71" s="5"/>
      <c r="J71" s="5"/>
      <c r="K71" s="5"/>
      <c r="L71" s="5"/>
      <c r="M71" s="5"/>
      <c r="N71" s="5"/>
      <c r="O71" s="5"/>
      <c r="P71" s="5"/>
      <c r="Q71" s="5"/>
      <c r="R71" s="5"/>
      <c r="S71" s="5"/>
      <c r="T71" s="1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4" percent="1" timePeriod="today" id="{009E001F-009D-4431-B49A-001A001300D6}">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3" percent="1" timePeriod="today" id="{004700CF-005B-404B-9566-00540076002A}">
            <x14:dxf>
              <font>
                <color rgb="FF006100"/>
              </font>
              <fill>
                <patternFill patternType="solid">
                  <fgColor rgb="FFC6EFCE"/>
                  <bgColor rgb="FFC6EFCE"/>
                </patternFill>
              </fill>
            </x14:dxf>
          </x14:cfRule>
          <xm:sqref>A36 A64 A65 A66 A37 A38 A39 A40 A41 A42 A43 A44 A45 A46 A47 A48 A49 A50 A51 A52 A53 A54 A55 A56 A57 A58 A59 A60 A61 A62 A63</xm:sqref>
        </x14:conditionalFormatting>
        <x14:conditionalFormatting xmlns:xm="http://schemas.microsoft.com/office/excel/2006/main">
          <x14:cfRule type="timePeriod" priority="2" percent="1" timePeriod="today" id="{003F00CA-007E-4BB8-A32F-00AC00B9009C}">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3500BC-00AD-4B5E-9924-003500B5003E}">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s>
    </ext>
  </extLst>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31" zoomScale="100" workbookViewId="0">
      <selection activeCell="A1" activeCellId="0" sqref="A1"/>
    </sheetView>
  </sheetViews>
  <sheetFormatPr defaultRowHeight="14.25"/>
  <cols>
    <col customWidth="1" min="1" max="1" width="11.5742187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16"/>
    </row>
    <row r="2">
      <c r="A2" s="103">
        <v>44621</v>
      </c>
      <c r="B2" s="14">
        <v>100</v>
      </c>
      <c r="C2" s="14"/>
      <c r="D2" s="14"/>
      <c r="E2" s="14"/>
      <c r="F2" s="14"/>
      <c r="G2" s="14"/>
      <c r="H2" s="14"/>
      <c r="I2" s="14"/>
      <c r="J2" s="14"/>
      <c r="K2" s="14"/>
      <c r="L2" s="14"/>
      <c r="M2" s="14"/>
      <c r="N2" s="14"/>
      <c r="O2" s="14"/>
      <c r="P2" s="14"/>
      <c r="Q2" s="14"/>
      <c r="R2" s="14"/>
      <c r="S2" s="14"/>
      <c r="T2" s="116"/>
    </row>
    <row r="3">
      <c r="A3" s="103">
        <v>44622</v>
      </c>
      <c r="B3" s="5"/>
      <c r="C3" s="5"/>
      <c r="D3" s="5"/>
      <c r="E3" s="5"/>
      <c r="F3" s="5"/>
      <c r="G3" s="5"/>
      <c r="H3" s="5"/>
      <c r="I3" s="5"/>
      <c r="J3" s="5"/>
      <c r="K3" s="5"/>
      <c r="L3" s="5"/>
      <c r="M3" s="5"/>
      <c r="N3" s="5"/>
      <c r="O3" s="5"/>
      <c r="P3" s="5"/>
      <c r="Q3" s="5"/>
      <c r="R3" s="5"/>
      <c r="S3" s="5"/>
      <c r="T3" s="116"/>
    </row>
    <row r="4">
      <c r="A4" s="103">
        <v>44623</v>
      </c>
      <c r="B4" s="14"/>
      <c r="C4" s="14"/>
      <c r="D4" s="14"/>
      <c r="E4" s="14"/>
      <c r="F4" s="14"/>
      <c r="G4" s="14"/>
      <c r="H4" s="14"/>
      <c r="I4" s="14"/>
      <c r="J4" s="14"/>
      <c r="K4" s="14"/>
      <c r="L4" s="14"/>
      <c r="M4" s="14"/>
      <c r="N4" s="14"/>
      <c r="O4" s="14"/>
      <c r="P4" s="14"/>
      <c r="Q4" s="14"/>
      <c r="R4" s="14"/>
      <c r="S4" s="14"/>
      <c r="T4" s="116"/>
    </row>
    <row r="5">
      <c r="A5" s="103">
        <v>44624</v>
      </c>
      <c r="B5" s="5">
        <f>(1+250)*'Сводная таблица'!B84</f>
        <v>1099.3799999999999</v>
      </c>
      <c r="C5" s="5">
        <f>(70)*'Сводная таблица'!B84</f>
        <v>306.59999999999997</v>
      </c>
      <c r="D5" s="5"/>
      <c r="E5" s="5">
        <f>(1+228)*'Сводная таблица'!B84</f>
        <v>1003.02</v>
      </c>
      <c r="F5" s="5"/>
      <c r="G5" s="5"/>
      <c r="H5" s="5"/>
      <c r="I5" s="5"/>
      <c r="J5" s="5"/>
      <c r="K5" s="5"/>
      <c r="L5" s="5"/>
      <c r="M5" s="5"/>
      <c r="N5" s="5">
        <f>625*'Сводная таблица'!B84</f>
        <v>2737.5</v>
      </c>
      <c r="O5" s="5"/>
      <c r="P5" s="5"/>
      <c r="Q5" s="5"/>
      <c r="R5" s="5"/>
      <c r="S5" s="5"/>
      <c r="T5" s="116"/>
    </row>
    <row r="6">
      <c r="A6" s="103">
        <v>44625</v>
      </c>
      <c r="B6" s="14"/>
      <c r="C6" s="14">
        <f>(149.98+573.97)*'Сводная таблица'!B84</f>
        <v>3170.9010000000003</v>
      </c>
      <c r="D6" s="14"/>
      <c r="E6" s="14"/>
      <c r="F6" s="14"/>
      <c r="G6" s="14"/>
      <c r="H6" s="14"/>
      <c r="I6" s="14"/>
      <c r="J6" s="14"/>
      <c r="K6" s="14"/>
      <c r="L6" s="14"/>
      <c r="M6" s="14"/>
      <c r="N6" s="14"/>
      <c r="O6" s="14"/>
      <c r="P6" s="14"/>
      <c r="Q6" s="14"/>
      <c r="R6" s="14"/>
      <c r="S6" s="14"/>
      <c r="T6" s="116"/>
    </row>
    <row r="7">
      <c r="A7" s="103">
        <v>44626</v>
      </c>
      <c r="B7" s="5"/>
      <c r="C7" s="5"/>
      <c r="D7" s="5"/>
      <c r="E7" s="5"/>
      <c r="F7" s="5"/>
      <c r="G7" s="5"/>
      <c r="H7" s="5"/>
      <c r="I7" s="5"/>
      <c r="J7" s="5"/>
      <c r="K7" s="5"/>
      <c r="L7" s="5"/>
      <c r="M7" s="5"/>
      <c r="N7" s="5"/>
      <c r="O7" s="5"/>
      <c r="P7" s="5"/>
      <c r="Q7" s="5">
        <f>(160+580)*'Сводная таблица'!B84</f>
        <v>3241.1999999999998</v>
      </c>
      <c r="R7" s="5"/>
      <c r="S7" s="5"/>
      <c r="T7" s="116"/>
    </row>
    <row r="8">
      <c r="A8" s="103">
        <v>44627</v>
      </c>
      <c r="B8" s="14">
        <f>1808.4*'Сводная таблица'!B84</f>
        <v>7920.7920000000004</v>
      </c>
      <c r="C8" s="14">
        <f>658.87*'Сводная таблица'!B84</f>
        <v>2885.8505999999998</v>
      </c>
      <c r="D8" s="14"/>
      <c r="E8" s="14">
        <f>889*'Сводная таблица'!B84</f>
        <v>3893.8199999999997</v>
      </c>
      <c r="F8" s="14"/>
      <c r="G8" s="14"/>
      <c r="H8" s="14"/>
      <c r="I8" s="14"/>
      <c r="J8" s="14"/>
      <c r="K8" s="14"/>
      <c r="L8" s="14">
        <f>100000+14000</f>
        <v>114000</v>
      </c>
      <c r="M8" s="14"/>
      <c r="N8" s="14"/>
      <c r="O8" s="14"/>
      <c r="P8" s="14"/>
      <c r="Q8" s="14"/>
      <c r="R8" s="14"/>
      <c r="S8" s="14"/>
      <c r="T8" s="116"/>
    </row>
    <row r="9">
      <c r="A9" s="103">
        <v>44628</v>
      </c>
      <c r="B9" s="5">
        <f>55*'Сводная таблица'!B84</f>
        <v>240.90000000000001</v>
      </c>
      <c r="C9" s="5"/>
      <c r="D9" s="5"/>
      <c r="E9" s="5"/>
      <c r="F9" s="5"/>
      <c r="G9" s="5"/>
      <c r="H9" s="5"/>
      <c r="I9" s="5"/>
      <c r="J9" s="5"/>
      <c r="K9" s="5"/>
      <c r="L9" s="5"/>
      <c r="M9" s="5">
        <f>(2770+1555)*'Сводная таблица'!B84</f>
        <v>18943.5</v>
      </c>
      <c r="N9" s="5"/>
      <c r="O9" s="5"/>
      <c r="P9" s="5"/>
      <c r="Q9" s="5"/>
      <c r="R9" s="5"/>
      <c r="S9" s="5"/>
      <c r="T9" s="116"/>
    </row>
    <row r="10">
      <c r="A10" s="103">
        <v>44629</v>
      </c>
      <c r="B10" s="14"/>
      <c r="C10" s="14">
        <f>311.47*'Сводная таблица'!B84</f>
        <v>1364.2386000000001</v>
      </c>
      <c r="D10" s="14"/>
      <c r="E10" s="14"/>
      <c r="F10" s="14"/>
      <c r="G10" s="14"/>
      <c r="H10" s="14"/>
      <c r="I10" s="14"/>
      <c r="J10" s="14"/>
      <c r="K10" s="14"/>
      <c r="L10" s="14"/>
      <c r="M10" s="14">
        <f>948*'Сводная таблица'!B84</f>
        <v>4152.2399999999998</v>
      </c>
      <c r="N10" s="14"/>
      <c r="O10" s="14"/>
      <c r="P10" s="14"/>
      <c r="Q10" s="14"/>
      <c r="R10" s="14"/>
      <c r="S10" s="14"/>
      <c r="T10" s="116"/>
    </row>
    <row r="11">
      <c r="A11" s="103">
        <v>44630</v>
      </c>
      <c r="B11" s="5"/>
      <c r="C11" s="5"/>
      <c r="D11" s="5"/>
      <c r="E11" s="5">
        <f>731*'Сводная таблица'!B84</f>
        <v>3201.7799999999997</v>
      </c>
      <c r="F11" s="5"/>
      <c r="G11" s="5"/>
      <c r="H11" s="5"/>
      <c r="I11" s="5"/>
      <c r="J11" s="5"/>
      <c r="K11" s="5"/>
      <c r="L11" s="5"/>
      <c r="M11" s="5"/>
      <c r="N11" s="5"/>
      <c r="O11" s="5"/>
      <c r="P11" s="5"/>
      <c r="Q11" s="5"/>
      <c r="R11" s="5"/>
      <c r="S11" s="5"/>
      <c r="T11" s="116"/>
    </row>
    <row r="12">
      <c r="A12" s="103">
        <v>44631</v>
      </c>
      <c r="B12" s="14"/>
      <c r="C12" s="14">
        <f>300.95*'Сводная таблица'!B84</f>
        <v>1318.1609999999998</v>
      </c>
      <c r="D12" s="14"/>
      <c r="E12" s="14"/>
      <c r="F12" s="14"/>
      <c r="G12" s="14"/>
      <c r="H12" s="14"/>
      <c r="I12" s="14"/>
      <c r="J12" s="14"/>
      <c r="K12" s="14"/>
      <c r="L12" s="14"/>
      <c r="M12" s="14"/>
      <c r="N12" s="14"/>
      <c r="O12" s="14"/>
      <c r="P12" s="14"/>
      <c r="Q12" s="14"/>
      <c r="R12" s="14"/>
      <c r="S12" s="14"/>
      <c r="T12" s="116"/>
    </row>
    <row r="13">
      <c r="A13" s="103">
        <v>44632</v>
      </c>
      <c r="B13" s="5"/>
      <c r="C13" s="5">
        <f>444.96*'Сводная таблица'!B84</f>
        <v>1948.9247999999998</v>
      </c>
      <c r="D13" s="5"/>
      <c r="E13" s="5"/>
      <c r="F13" s="5"/>
      <c r="G13" s="5"/>
      <c r="H13" s="5"/>
      <c r="I13" s="5"/>
      <c r="J13" s="5"/>
      <c r="K13" s="5"/>
      <c r="L13" s="5"/>
      <c r="M13" s="5"/>
      <c r="N13" s="5"/>
      <c r="O13" s="5"/>
      <c r="P13" s="5"/>
      <c r="Q13" s="5"/>
      <c r="R13" s="5"/>
      <c r="S13" s="5"/>
      <c r="T13" s="116"/>
    </row>
    <row r="14">
      <c r="A14" s="103">
        <v>44633</v>
      </c>
      <c r="B14" s="14">
        <f>(251*'Сводная таблица'!B84)+1800</f>
        <v>2899.3800000000001</v>
      </c>
      <c r="C14" s="14">
        <f>150*'Сводная таблица'!B84</f>
        <v>657</v>
      </c>
      <c r="D14" s="14"/>
      <c r="E14" s="14"/>
      <c r="F14" s="14"/>
      <c r="G14" s="14"/>
      <c r="H14" s="14"/>
      <c r="I14" s="14"/>
      <c r="J14" s="14"/>
      <c r="K14" s="14"/>
      <c r="L14" s="14"/>
      <c r="M14" s="14"/>
      <c r="N14" s="14"/>
      <c r="O14" s="14"/>
      <c r="P14" s="14"/>
      <c r="Q14" s="14"/>
      <c r="R14" s="14"/>
      <c r="S14" s="14"/>
      <c r="T14" s="116"/>
    </row>
    <row r="15">
      <c r="A15" s="103">
        <v>44634</v>
      </c>
      <c r="B15" s="5">
        <v>100</v>
      </c>
      <c r="C15" s="5"/>
      <c r="D15" s="5"/>
      <c r="E15" s="5"/>
      <c r="F15" s="5"/>
      <c r="G15" s="5"/>
      <c r="H15" s="5"/>
      <c r="I15" s="5"/>
      <c r="J15" s="5"/>
      <c r="K15" s="5"/>
      <c r="L15" s="5"/>
      <c r="M15" s="5"/>
      <c r="N15" s="5"/>
      <c r="O15" s="5"/>
      <c r="P15" s="5"/>
      <c r="Q15" s="5"/>
      <c r="R15" s="5"/>
      <c r="S15" s="5"/>
      <c r="T15" s="116"/>
    </row>
    <row r="16">
      <c r="A16" s="103">
        <v>44635</v>
      </c>
      <c r="B16" s="14">
        <v>0</v>
      </c>
      <c r="C16" s="97">
        <v>830</v>
      </c>
      <c r="D16" s="14"/>
      <c r="E16" s="14"/>
      <c r="F16" s="14"/>
      <c r="G16" s="14"/>
      <c r="H16" s="14"/>
      <c r="I16" s="14"/>
      <c r="J16" s="14"/>
      <c r="K16" s="14"/>
      <c r="L16" s="14"/>
      <c r="M16" s="14"/>
      <c r="N16" s="14"/>
      <c r="O16" s="14"/>
      <c r="P16" s="14"/>
      <c r="Q16" s="14"/>
      <c r="R16" s="14"/>
      <c r="S16" s="14"/>
      <c r="T16" s="116"/>
    </row>
    <row r="17">
      <c r="A17" s="103">
        <v>44636</v>
      </c>
      <c r="B17" s="5">
        <v>200</v>
      </c>
      <c r="C17" s="6"/>
      <c r="D17" s="5"/>
      <c r="E17" s="5"/>
      <c r="F17" s="5"/>
      <c r="G17" s="5"/>
      <c r="H17" s="5"/>
      <c r="I17" s="5"/>
      <c r="J17" s="5"/>
      <c r="K17" s="5"/>
      <c r="L17" s="5"/>
      <c r="M17" s="5"/>
      <c r="N17" s="5"/>
      <c r="O17" s="5"/>
      <c r="P17" s="5"/>
      <c r="Q17" s="5"/>
      <c r="R17" s="5"/>
      <c r="S17" s="5"/>
      <c r="T17" s="116"/>
    </row>
    <row r="18">
      <c r="A18" s="103">
        <v>44637</v>
      </c>
      <c r="B18" s="14">
        <v>200</v>
      </c>
      <c r="C18" s="14"/>
      <c r="D18" s="14"/>
      <c r="E18" s="14"/>
      <c r="F18" s="14"/>
      <c r="G18" s="14"/>
      <c r="H18" s="14"/>
      <c r="I18" s="14"/>
      <c r="J18" s="14"/>
      <c r="K18" s="14"/>
      <c r="L18" s="14"/>
      <c r="M18" s="14"/>
      <c r="N18" s="14"/>
      <c r="O18" s="14"/>
      <c r="P18" s="14"/>
      <c r="Q18" s="14"/>
      <c r="R18" s="14"/>
      <c r="S18" s="14"/>
      <c r="T18" s="116"/>
    </row>
    <row r="19">
      <c r="A19" s="103">
        <v>44638</v>
      </c>
      <c r="B19" s="5"/>
      <c r="C19" s="5"/>
      <c r="D19" s="5"/>
      <c r="E19" s="5">
        <f>11100*1.1</f>
        <v>12210.000000000002</v>
      </c>
      <c r="F19" s="5"/>
      <c r="G19" s="5"/>
      <c r="H19" s="5"/>
      <c r="I19" s="5"/>
      <c r="J19" s="5"/>
      <c r="K19" s="5"/>
      <c r="L19" s="5"/>
      <c r="M19" s="5"/>
      <c r="N19" s="5"/>
      <c r="O19" s="5"/>
      <c r="P19" s="5"/>
      <c r="Q19" s="5"/>
      <c r="R19" s="6"/>
      <c r="S19" s="5"/>
      <c r="T19" s="116"/>
    </row>
    <row r="20">
      <c r="A20" s="103">
        <v>44639</v>
      </c>
      <c r="B20" s="14"/>
      <c r="C20" s="14"/>
      <c r="D20" s="14"/>
      <c r="E20" s="14"/>
      <c r="F20" s="14"/>
      <c r="G20" s="14"/>
      <c r="H20" s="14"/>
      <c r="I20" s="14"/>
      <c r="J20" s="14"/>
      <c r="K20" s="14"/>
      <c r="L20" s="14"/>
      <c r="M20" s="14"/>
      <c r="N20" s="14"/>
      <c r="O20" s="14"/>
      <c r="P20" s="34"/>
      <c r="Q20" s="14"/>
      <c r="R20" s="14"/>
      <c r="S20" s="14"/>
      <c r="T20" s="116"/>
    </row>
    <row r="21">
      <c r="A21" s="103">
        <v>44640</v>
      </c>
      <c r="B21" s="69">
        <v>200</v>
      </c>
      <c r="C21" s="6"/>
      <c r="D21" s="5"/>
      <c r="E21" s="5"/>
      <c r="F21" s="5"/>
      <c r="G21" s="5"/>
      <c r="H21" s="5"/>
      <c r="I21" s="5"/>
      <c r="J21" s="5"/>
      <c r="K21" s="5"/>
      <c r="L21" s="5"/>
      <c r="M21" s="5"/>
      <c r="N21" s="5"/>
      <c r="O21" s="5"/>
      <c r="P21" s="5"/>
      <c r="Q21" s="5"/>
      <c r="R21" s="5"/>
      <c r="S21" s="5"/>
      <c r="T21" s="116"/>
    </row>
    <row r="22">
      <c r="A22" s="103">
        <v>44641</v>
      </c>
      <c r="B22" s="22">
        <v>100</v>
      </c>
      <c r="C22" s="14"/>
      <c r="D22" s="14"/>
      <c r="E22" s="14"/>
      <c r="F22" s="14"/>
      <c r="G22" s="14"/>
      <c r="H22" s="14"/>
      <c r="I22" s="14"/>
      <c r="J22" s="14">
        <v>360</v>
      </c>
      <c r="K22" s="14"/>
      <c r="L22" s="14"/>
      <c r="M22" s="14"/>
      <c r="N22" s="14"/>
      <c r="O22" s="14"/>
      <c r="P22" s="14"/>
      <c r="Q22" s="14"/>
      <c r="R22" s="14"/>
      <c r="S22" s="14"/>
      <c r="T22" s="116"/>
    </row>
    <row r="23">
      <c r="A23" s="103">
        <v>44642</v>
      </c>
      <c r="B23" s="5">
        <v>100</v>
      </c>
      <c r="C23" s="5">
        <v>2424</v>
      </c>
      <c r="D23" s="5"/>
      <c r="E23" s="5"/>
      <c r="F23" s="5"/>
      <c r="G23" s="5"/>
      <c r="H23" s="5"/>
      <c r="I23" s="5"/>
      <c r="J23" s="5"/>
      <c r="K23" s="5"/>
      <c r="L23" s="5"/>
      <c r="M23" s="5"/>
      <c r="N23" s="5"/>
      <c r="O23" s="5"/>
      <c r="P23" s="5"/>
      <c r="Q23" s="5"/>
      <c r="R23" s="5"/>
      <c r="S23" s="5"/>
      <c r="T23" s="116"/>
    </row>
    <row r="24">
      <c r="A24" s="103">
        <v>44643</v>
      </c>
      <c r="B24" s="14">
        <v>200</v>
      </c>
      <c r="C24" s="14">
        <v>1060</v>
      </c>
      <c r="D24" s="14"/>
      <c r="E24" s="14"/>
      <c r="F24" s="14"/>
      <c r="G24" s="14"/>
      <c r="H24" s="14"/>
      <c r="I24" s="14"/>
      <c r="J24" s="14"/>
      <c r="K24" s="14"/>
      <c r="L24" s="14"/>
      <c r="M24" s="14"/>
      <c r="N24" s="14"/>
      <c r="O24" s="14"/>
      <c r="P24" s="14"/>
      <c r="Q24" s="14"/>
      <c r="R24" s="14"/>
      <c r="S24" s="14"/>
      <c r="T24" s="116"/>
    </row>
    <row r="25">
      <c r="A25" s="103">
        <v>44644</v>
      </c>
      <c r="B25" s="28">
        <v>200</v>
      </c>
      <c r="C25" s="5"/>
      <c r="D25" s="5"/>
      <c r="E25" s="5"/>
      <c r="F25" s="5"/>
      <c r="G25" s="5"/>
      <c r="H25" s="5"/>
      <c r="I25" s="5"/>
      <c r="J25" s="5"/>
      <c r="K25" s="5"/>
      <c r="L25" s="5"/>
      <c r="M25" s="5"/>
      <c r="N25" s="5"/>
      <c r="O25" s="5"/>
      <c r="P25" s="5"/>
      <c r="Q25" s="5"/>
      <c r="R25" s="5"/>
      <c r="S25" s="5"/>
      <c r="T25" s="116"/>
    </row>
    <row r="26">
      <c r="A26" s="103">
        <v>44645</v>
      </c>
      <c r="B26" s="14">
        <v>100</v>
      </c>
      <c r="C26" s="14">
        <v>2130</v>
      </c>
      <c r="D26" s="14"/>
      <c r="E26" s="14">
        <f>4424+610</f>
        <v>5034</v>
      </c>
      <c r="F26" s="14"/>
      <c r="G26" s="14"/>
      <c r="H26" s="14"/>
      <c r="I26" s="14"/>
      <c r="J26" s="14"/>
      <c r="K26" s="14"/>
      <c r="L26" s="14"/>
      <c r="M26" s="14"/>
      <c r="N26" s="14"/>
      <c r="O26" s="14"/>
      <c r="P26" s="14"/>
      <c r="Q26" s="14"/>
      <c r="R26" s="14"/>
      <c r="S26" s="14"/>
      <c r="T26" s="116"/>
    </row>
    <row r="27">
      <c r="A27" s="103">
        <v>44646</v>
      </c>
      <c r="B27" s="5"/>
      <c r="C27" s="6"/>
      <c r="D27" s="5"/>
      <c r="E27" s="5"/>
      <c r="F27" s="5"/>
      <c r="G27" s="5"/>
      <c r="H27" s="5"/>
      <c r="I27" s="5"/>
      <c r="J27" s="5"/>
      <c r="K27" s="5"/>
      <c r="L27" s="5"/>
      <c r="M27" s="5"/>
      <c r="N27" s="5"/>
      <c r="O27" s="5"/>
      <c r="P27" s="5"/>
      <c r="Q27" s="5"/>
      <c r="R27" s="5"/>
      <c r="S27" s="5"/>
      <c r="T27" s="116"/>
    </row>
    <row r="28">
      <c r="A28" s="103">
        <v>44647</v>
      </c>
      <c r="B28" s="14">
        <v>200</v>
      </c>
      <c r="C28" s="14"/>
      <c r="D28" s="14"/>
      <c r="E28" s="14"/>
      <c r="F28" s="14"/>
      <c r="G28" s="14"/>
      <c r="H28" s="14"/>
      <c r="I28" s="14"/>
      <c r="J28" s="14"/>
      <c r="K28" s="14"/>
      <c r="L28" s="14"/>
      <c r="M28" s="14"/>
      <c r="N28" s="14"/>
      <c r="O28" s="14"/>
      <c r="P28" s="14"/>
      <c r="Q28" s="14"/>
      <c r="R28" s="14"/>
      <c r="S28" s="14"/>
      <c r="T28" s="116"/>
    </row>
    <row r="29">
      <c r="A29" s="103">
        <v>44648</v>
      </c>
      <c r="B29" s="5">
        <v>100</v>
      </c>
      <c r="C29" s="5">
        <f>1570+825+917.5</f>
        <v>3312.5</v>
      </c>
      <c r="D29" s="5"/>
      <c r="E29" s="5"/>
      <c r="F29" s="5"/>
      <c r="G29" s="5"/>
      <c r="H29" s="5"/>
      <c r="I29" s="5"/>
      <c r="J29" s="5"/>
      <c r="K29" s="5"/>
      <c r="L29" s="5"/>
      <c r="M29" s="5">
        <f>1686*'Сводная таблица'!B84</f>
        <v>7384.6799999999994</v>
      </c>
      <c r="N29" s="5">
        <v>2900</v>
      </c>
      <c r="O29" s="5"/>
      <c r="P29" s="5"/>
      <c r="Q29" s="5"/>
      <c r="R29" s="5"/>
      <c r="S29" s="5"/>
      <c r="T29" s="116"/>
    </row>
    <row r="30">
      <c r="A30" s="103">
        <v>44649</v>
      </c>
      <c r="B30" s="22"/>
      <c r="C30" s="22"/>
      <c r="D30" s="22"/>
      <c r="E30" s="22"/>
      <c r="F30" s="22"/>
      <c r="G30" s="22"/>
      <c r="H30" s="22"/>
      <c r="I30" s="22"/>
      <c r="J30" s="22"/>
      <c r="K30" s="22"/>
      <c r="L30" s="22"/>
      <c r="M30" s="22"/>
      <c r="N30" s="22"/>
      <c r="O30" s="22"/>
      <c r="P30" s="22"/>
      <c r="Q30" s="22"/>
      <c r="R30" s="22"/>
      <c r="S30" s="22"/>
      <c r="T30" s="116"/>
    </row>
    <row r="31">
      <c r="A31" s="103">
        <v>44650</v>
      </c>
      <c r="B31" s="5">
        <v>100</v>
      </c>
      <c r="C31" s="5">
        <v>320</v>
      </c>
      <c r="D31" s="5"/>
      <c r="E31" s="5"/>
      <c r="F31" s="5"/>
      <c r="G31" s="5"/>
      <c r="H31" s="5"/>
      <c r="I31" s="5"/>
      <c r="J31" s="5"/>
      <c r="K31" s="5"/>
      <c r="L31" s="5"/>
      <c r="M31" s="5"/>
      <c r="N31" s="5"/>
      <c r="O31" s="5"/>
      <c r="P31" s="5"/>
      <c r="Q31" s="5"/>
      <c r="R31" s="5"/>
      <c r="S31" s="5"/>
      <c r="T31" s="116"/>
    </row>
    <row r="32">
      <c r="A32" s="103">
        <v>44651</v>
      </c>
      <c r="B32" s="22">
        <v>200</v>
      </c>
      <c r="C32" s="22"/>
      <c r="D32" s="22"/>
      <c r="E32" s="22"/>
      <c r="F32" s="22"/>
      <c r="G32" s="22">
        <v>36000</v>
      </c>
      <c r="H32" s="22"/>
      <c r="I32" s="22"/>
      <c r="J32" s="22"/>
      <c r="K32" s="22"/>
      <c r="L32" s="22"/>
      <c r="M32" s="22"/>
      <c r="N32" s="22"/>
      <c r="O32" s="22"/>
      <c r="P32" s="22"/>
      <c r="Q32" s="22"/>
      <c r="R32" s="22"/>
      <c r="S32" s="22"/>
      <c r="T32" s="116"/>
    </row>
    <row r="33">
      <c r="A33" s="113" t="s">
        <v>87</v>
      </c>
      <c r="B33" s="113">
        <f>SUM(B2:B32)</f>
        <v>14260.452000000001</v>
      </c>
      <c r="C33" s="113">
        <f>SUM(C2:C32)</f>
        <v>21728.175999999999</v>
      </c>
      <c r="D33" s="113">
        <f>SUM(D2:D32)</f>
        <v>0</v>
      </c>
      <c r="E33" s="113">
        <f>SUM(E2:E32)</f>
        <v>25342.620000000003</v>
      </c>
      <c r="F33" s="113">
        <f>SUM(F2:F32)</f>
        <v>0</v>
      </c>
      <c r="G33" s="113">
        <f>SUM(G2:G32)</f>
        <v>36000</v>
      </c>
      <c r="H33" s="113">
        <f>SUM(H2:H32)</f>
        <v>0</v>
      </c>
      <c r="I33" s="113">
        <f>SUM(I2:I32)</f>
        <v>0</v>
      </c>
      <c r="J33" s="113">
        <f>SUM(J2:J32)</f>
        <v>360</v>
      </c>
      <c r="K33" s="113">
        <f>SUM(K2:K32)</f>
        <v>0</v>
      </c>
      <c r="L33" s="113">
        <f>SUM(L2:L32)</f>
        <v>114000</v>
      </c>
      <c r="M33" s="113">
        <f>SUM(M2:M32)</f>
        <v>30480.419999999998</v>
      </c>
      <c r="N33" s="113">
        <f>SUM(N2:N32)</f>
        <v>5637.5</v>
      </c>
      <c r="O33" s="113">
        <f>SUM(O2:O32)</f>
        <v>0</v>
      </c>
      <c r="P33" s="113">
        <f>SUM(P2:P32)</f>
        <v>0</v>
      </c>
      <c r="Q33" s="113">
        <f>SUM(Q2:Q32)</f>
        <v>3241.1999999999998</v>
      </c>
      <c r="R33" s="113">
        <f>SUM(R2:R32)</f>
        <v>0</v>
      </c>
      <c r="S33" s="113">
        <f>SUM(B33:R33)+SUM(S2:S32)</f>
        <v>251050.36800000002</v>
      </c>
      <c r="T33" s="124" t="s">
        <v>88</v>
      </c>
    </row>
    <row r="34">
      <c r="A34" s="108" t="s">
        <v>89</v>
      </c>
      <c r="B34" s="110">
        <f>B33/'Сводная таблица'!B67</f>
        <v>3255.8109589041101</v>
      </c>
      <c r="C34" s="110">
        <f>C33/'Сводная таблица'!B67</f>
        <v>4960.7707762557075</v>
      </c>
      <c r="D34" s="110">
        <f>D33/'Сводная таблица'!B67</f>
        <v>0</v>
      </c>
      <c r="E34" s="110">
        <f>E33/'Сводная таблица'!B67</f>
        <v>5785.9863013698641</v>
      </c>
      <c r="F34" s="110">
        <f>F33/'Сводная таблица'!B67</f>
        <v>0</v>
      </c>
      <c r="G34" s="110">
        <f>G33/'Сводная таблица'!B67</f>
        <v>8219.1780821917819</v>
      </c>
      <c r="H34" s="110">
        <f>H33/'Сводная таблица'!B67</f>
        <v>0</v>
      </c>
      <c r="I34" s="110">
        <f>I33/'Сводная таблица'!B67</f>
        <v>0</v>
      </c>
      <c r="J34" s="110">
        <f>J33/'Сводная таблица'!B67</f>
        <v>82.191780821917817</v>
      </c>
      <c r="K34" s="110">
        <f>K33/'Сводная таблица'!B67</f>
        <v>0</v>
      </c>
      <c r="L34" s="110">
        <f>L33/'Сводная таблица'!B67</f>
        <v>26027.397260273974</v>
      </c>
      <c r="M34" s="110">
        <f>M33/'Сводная таблица'!B67</f>
        <v>6959</v>
      </c>
      <c r="N34" s="110">
        <f>N33/'Сводная таблица'!B67</f>
        <v>1287.1004566210047</v>
      </c>
      <c r="O34" s="110">
        <f>O33/'Сводная таблица'!B67</f>
        <v>0</v>
      </c>
      <c r="P34" s="110">
        <f>P33/'Сводная таблица'!B67</f>
        <v>0</v>
      </c>
      <c r="Q34" s="110">
        <f>Q33/'Сводная таблица'!B67</f>
        <v>740</v>
      </c>
      <c r="R34" s="110">
        <f>R33/'Сводная таблица'!B67</f>
        <v>0</v>
      </c>
      <c r="S34" s="120">
        <f>S33/'Сводная таблица'!B67</f>
        <v>57317.435616438364</v>
      </c>
      <c r="T34" s="125" t="s">
        <v>90</v>
      </c>
    </row>
    <row r="35">
      <c r="A35" s="121" t="s">
        <v>0</v>
      </c>
      <c r="B35" s="121" t="s">
        <v>50</v>
      </c>
      <c r="C35" s="121" t="s">
        <v>13</v>
      </c>
      <c r="D35" s="121" t="s">
        <v>11</v>
      </c>
      <c r="E35" s="121" t="s">
        <v>51</v>
      </c>
      <c r="F35" s="121" t="s">
        <v>52</v>
      </c>
      <c r="G35" s="121" t="s">
        <v>53</v>
      </c>
      <c r="H35" s="121" t="s">
        <v>54</v>
      </c>
      <c r="I35" s="121" t="s">
        <v>55</v>
      </c>
      <c r="J35" s="121" t="s">
        <v>61</v>
      </c>
      <c r="K35" s="121" t="s">
        <v>74</v>
      </c>
      <c r="L35" s="122"/>
      <c r="M35" s="122"/>
      <c r="N35" s="122"/>
      <c r="O35" s="122"/>
      <c r="P35" s="122"/>
      <c r="Q35" s="122"/>
      <c r="R35" s="122"/>
      <c r="S35" s="122"/>
      <c r="T35" s="116"/>
    </row>
    <row r="36">
      <c r="A36" s="103">
        <v>44621</v>
      </c>
      <c r="B36" s="14">
        <v>500000</v>
      </c>
      <c r="C36" s="14"/>
      <c r="D36" s="14"/>
      <c r="E36" s="14"/>
      <c r="F36" s="14"/>
      <c r="G36" s="14"/>
      <c r="H36" s="14"/>
      <c r="I36" s="14"/>
      <c r="J36" s="22"/>
      <c r="K36" s="22"/>
      <c r="L36" s="22"/>
      <c r="M36" s="22"/>
      <c r="N36" s="22"/>
      <c r="O36" s="22"/>
      <c r="P36" s="22"/>
      <c r="Q36" s="22"/>
      <c r="R36" s="22"/>
      <c r="S36" s="22"/>
      <c r="T36" s="116"/>
    </row>
    <row r="37">
      <c r="A37" s="103">
        <v>44622</v>
      </c>
      <c r="B37" s="5"/>
      <c r="C37" s="5"/>
      <c r="D37" s="5"/>
      <c r="E37" s="5"/>
      <c r="F37" s="5"/>
      <c r="G37" s="5"/>
      <c r="H37" s="5"/>
      <c r="I37" s="5"/>
      <c r="J37" s="5"/>
      <c r="K37" s="5"/>
      <c r="L37" s="5"/>
      <c r="M37" s="5"/>
      <c r="N37" s="5"/>
      <c r="O37" s="5"/>
      <c r="P37" s="5"/>
      <c r="Q37" s="5"/>
      <c r="R37" s="5"/>
      <c r="S37" s="5"/>
      <c r="T37" s="116"/>
    </row>
    <row r="38">
      <c r="A38" s="103">
        <v>44623</v>
      </c>
      <c r="B38" s="14"/>
      <c r="C38" s="14"/>
      <c r="D38" s="14"/>
      <c r="E38" s="14"/>
      <c r="F38" s="14"/>
      <c r="G38" s="14"/>
      <c r="H38" s="14"/>
      <c r="I38" s="14"/>
      <c r="J38" s="22"/>
      <c r="K38" s="22"/>
      <c r="L38" s="22"/>
      <c r="M38" s="22"/>
      <c r="N38" s="22"/>
      <c r="O38" s="22"/>
      <c r="P38" s="22"/>
      <c r="Q38" s="22"/>
      <c r="R38" s="22"/>
      <c r="S38" s="22"/>
      <c r="T38" s="116"/>
    </row>
    <row r="39">
      <c r="A39" s="103">
        <v>44624</v>
      </c>
      <c r="B39" s="5"/>
      <c r="C39" s="5"/>
      <c r="D39" s="5"/>
      <c r="E39" s="71"/>
      <c r="F39" s="5"/>
      <c r="G39" s="5"/>
      <c r="H39" s="5"/>
      <c r="I39" s="5">
        <f>(2-99)*'Сводная таблица'!B84</f>
        <v>-424.86000000000001</v>
      </c>
      <c r="J39" s="5"/>
      <c r="K39" s="5"/>
      <c r="L39" s="5"/>
      <c r="M39" s="5"/>
      <c r="N39" s="5"/>
      <c r="O39" s="5"/>
      <c r="P39" s="5"/>
      <c r="Q39" s="5"/>
      <c r="R39" s="5"/>
      <c r="S39" s="5"/>
      <c r="T39" s="116"/>
    </row>
    <row r="40">
      <c r="A40" s="103">
        <v>44625</v>
      </c>
      <c r="B40" s="14"/>
      <c r="C40" s="14"/>
      <c r="D40" s="14"/>
      <c r="E40" s="14"/>
      <c r="F40" s="14"/>
      <c r="G40" s="14"/>
      <c r="H40" s="14"/>
      <c r="I40" s="14"/>
      <c r="J40" s="14"/>
      <c r="K40" s="14"/>
      <c r="L40" s="14"/>
      <c r="M40" s="14"/>
      <c r="N40" s="14"/>
      <c r="O40" s="14"/>
      <c r="P40" s="14"/>
      <c r="Q40" s="14"/>
      <c r="R40" s="14"/>
      <c r="S40" s="14"/>
      <c r="T40" s="116"/>
    </row>
    <row r="41">
      <c r="A41" s="103">
        <v>44626</v>
      </c>
      <c r="B41" s="5"/>
      <c r="C41" s="5"/>
      <c r="D41" s="5"/>
      <c r="E41" s="5">
        <f>41.9*'Сводная таблица'!B84</f>
        <v>183.52199999999999</v>
      </c>
      <c r="F41" s="5"/>
      <c r="G41" s="5"/>
      <c r="H41" s="5"/>
      <c r="I41" s="5"/>
      <c r="J41" s="5"/>
      <c r="K41" s="5"/>
      <c r="L41" s="5"/>
      <c r="M41" s="5"/>
      <c r="N41" s="5"/>
      <c r="O41" s="5"/>
      <c r="P41" s="5"/>
      <c r="Q41" s="5"/>
      <c r="R41" s="5"/>
      <c r="S41" s="5"/>
      <c r="T41" s="116"/>
    </row>
    <row r="42">
      <c r="A42" s="103">
        <v>44627</v>
      </c>
      <c r="B42" s="14"/>
      <c r="C42" s="14"/>
      <c r="D42" s="14"/>
      <c r="E42" s="14"/>
      <c r="F42" s="14"/>
      <c r="G42" s="14"/>
      <c r="H42" s="14"/>
      <c r="I42" s="14"/>
      <c r="J42" s="14"/>
      <c r="K42" s="14"/>
      <c r="L42" s="14"/>
      <c r="M42" s="14"/>
      <c r="N42" s="14"/>
      <c r="O42" s="14"/>
      <c r="P42" s="14"/>
      <c r="Q42" s="14"/>
      <c r="R42" s="14"/>
      <c r="S42" s="14"/>
      <c r="T42" s="116"/>
    </row>
    <row r="43">
      <c r="A43" s="103">
        <v>44628</v>
      </c>
      <c r="B43" s="5"/>
      <c r="C43" s="5"/>
      <c r="D43" s="5"/>
      <c r="E43" s="5"/>
      <c r="F43" s="5"/>
      <c r="G43" s="5"/>
      <c r="H43" s="5"/>
      <c r="I43" s="5"/>
      <c r="J43" s="5"/>
      <c r="K43" s="5"/>
      <c r="L43" s="5"/>
      <c r="M43" s="5"/>
      <c r="N43" s="5"/>
      <c r="O43" s="5"/>
      <c r="P43" s="5"/>
      <c r="Q43" s="5"/>
      <c r="R43" s="5"/>
      <c r="S43" s="5"/>
      <c r="T43" s="116"/>
    </row>
    <row r="44">
      <c r="A44" s="103">
        <v>44629</v>
      </c>
      <c r="B44" s="79"/>
      <c r="C44" s="14"/>
      <c r="D44" s="14"/>
      <c r="E44" s="14"/>
      <c r="F44" s="14"/>
      <c r="G44" s="14"/>
      <c r="H44" s="14"/>
      <c r="I44" s="14"/>
      <c r="J44" s="14"/>
      <c r="K44" s="14"/>
      <c r="L44" s="14"/>
      <c r="M44" s="14"/>
      <c r="N44" s="14"/>
      <c r="O44" s="14"/>
      <c r="P44" s="14"/>
      <c r="Q44" s="14"/>
      <c r="R44" s="14"/>
      <c r="S44" s="14"/>
      <c r="T44" s="116"/>
    </row>
    <row r="45">
      <c r="A45" s="103">
        <v>44630</v>
      </c>
      <c r="B45" s="5"/>
      <c r="C45" s="5"/>
      <c r="D45" s="5"/>
      <c r="E45" s="5"/>
      <c r="F45" s="5"/>
      <c r="G45" s="5"/>
      <c r="H45" s="5"/>
      <c r="I45" s="5">
        <f>1249*'Сводная таблица'!B84</f>
        <v>5470.6199999999999</v>
      </c>
      <c r="J45" s="5"/>
      <c r="K45" s="5"/>
      <c r="L45" s="5"/>
      <c r="M45" s="5"/>
      <c r="N45" s="5"/>
      <c r="O45" s="5"/>
      <c r="P45" s="5"/>
      <c r="Q45" s="5"/>
      <c r="R45" s="5"/>
      <c r="S45" s="5"/>
      <c r="T45" s="116"/>
    </row>
    <row r="46">
      <c r="A46" s="103">
        <v>44631</v>
      </c>
      <c r="B46" s="14"/>
      <c r="C46" s="14"/>
      <c r="D46" s="14"/>
      <c r="E46" s="14"/>
      <c r="F46" s="14"/>
      <c r="G46" s="14"/>
      <c r="H46" s="14"/>
      <c r="I46" s="14"/>
      <c r="J46" s="14"/>
      <c r="K46" s="14"/>
      <c r="L46" s="14"/>
      <c r="M46" s="14"/>
      <c r="N46" s="14"/>
      <c r="O46" s="14"/>
      <c r="P46" s="14"/>
      <c r="Q46" s="14"/>
      <c r="R46" s="14"/>
      <c r="S46" s="14"/>
      <c r="T46" s="116"/>
    </row>
    <row r="47">
      <c r="A47" s="103">
        <v>44632</v>
      </c>
      <c r="B47" s="5"/>
      <c r="C47" s="5"/>
      <c r="D47" s="5"/>
      <c r="E47" s="5"/>
      <c r="F47" s="5"/>
      <c r="G47" s="5"/>
      <c r="H47" s="5"/>
      <c r="I47" s="5"/>
      <c r="J47" s="5"/>
      <c r="K47" s="5"/>
      <c r="L47" s="5"/>
      <c r="M47" s="5"/>
      <c r="N47" s="5"/>
      <c r="O47" s="5"/>
      <c r="P47" s="5"/>
      <c r="Q47" s="5"/>
      <c r="R47" s="5"/>
      <c r="S47" s="5"/>
      <c r="T47" s="116"/>
    </row>
    <row r="48">
      <c r="A48" s="103">
        <v>44633</v>
      </c>
      <c r="B48" s="14"/>
      <c r="C48" s="14"/>
      <c r="D48" s="14"/>
      <c r="E48" s="14"/>
      <c r="F48" s="14"/>
      <c r="G48" s="14"/>
      <c r="H48" s="14"/>
      <c r="I48" s="14"/>
      <c r="J48" s="14"/>
      <c r="K48" s="14"/>
      <c r="L48" s="14"/>
      <c r="M48" s="14"/>
      <c r="N48" s="14"/>
      <c r="O48" s="14"/>
      <c r="P48" s="14"/>
      <c r="Q48" s="14"/>
      <c r="R48" s="14"/>
      <c r="S48" s="14"/>
      <c r="T48" s="116"/>
    </row>
    <row r="49">
      <c r="A49" s="103">
        <v>44634</v>
      </c>
      <c r="B49" s="5"/>
      <c r="C49" s="5"/>
      <c r="D49" s="5"/>
      <c r="E49" s="5"/>
      <c r="F49" s="5"/>
      <c r="G49" s="5"/>
      <c r="H49" s="5"/>
      <c r="I49" s="5"/>
      <c r="J49" s="5"/>
      <c r="K49" s="5"/>
      <c r="L49" s="5"/>
      <c r="M49" s="5"/>
      <c r="N49" s="5"/>
      <c r="O49" s="5"/>
      <c r="P49" s="5"/>
      <c r="Q49" s="5"/>
      <c r="R49" s="5"/>
      <c r="S49" s="5"/>
      <c r="T49" s="116"/>
    </row>
    <row r="50">
      <c r="A50" s="103">
        <v>44635</v>
      </c>
      <c r="B50" s="14"/>
      <c r="C50" s="14"/>
      <c r="D50" s="14"/>
      <c r="E50" s="14"/>
      <c r="F50" s="14"/>
      <c r="G50" s="14"/>
      <c r="H50" s="14"/>
      <c r="I50" s="14"/>
      <c r="J50" s="14"/>
      <c r="K50" s="14"/>
      <c r="L50" s="14"/>
      <c r="M50" s="14"/>
      <c r="N50" s="14"/>
      <c r="O50" s="14"/>
      <c r="P50" s="14"/>
      <c r="Q50" s="14"/>
      <c r="R50" s="14"/>
      <c r="S50" s="14"/>
      <c r="T50" s="116"/>
    </row>
    <row r="51">
      <c r="A51" s="103">
        <v>44636</v>
      </c>
      <c r="B51" s="5"/>
      <c r="C51" s="5"/>
      <c r="D51" s="5"/>
      <c r="E51" s="5"/>
      <c r="F51" s="5"/>
      <c r="G51" s="5"/>
      <c r="H51" s="5"/>
      <c r="I51" s="5"/>
      <c r="J51" s="5"/>
      <c r="K51" s="5"/>
      <c r="L51" s="5"/>
      <c r="M51" s="5"/>
      <c r="N51" s="5"/>
      <c r="O51" s="5"/>
      <c r="P51" s="5"/>
      <c r="Q51" s="5"/>
      <c r="R51" s="5"/>
      <c r="S51" s="5"/>
      <c r="T51" s="116"/>
    </row>
    <row r="52">
      <c r="A52" s="103">
        <v>44637</v>
      </c>
      <c r="B52" s="14"/>
      <c r="C52" s="14"/>
      <c r="D52" s="14"/>
      <c r="E52" s="14"/>
      <c r="F52" s="14"/>
      <c r="G52" s="14"/>
      <c r="H52" s="14"/>
      <c r="I52" s="14"/>
      <c r="J52" s="14"/>
      <c r="K52" s="14"/>
      <c r="L52" s="14"/>
      <c r="M52" s="14"/>
      <c r="N52" s="14"/>
      <c r="O52" s="14"/>
      <c r="P52" s="14"/>
      <c r="Q52" s="14"/>
      <c r="R52" s="14"/>
      <c r="S52" s="14"/>
      <c r="T52" s="116"/>
    </row>
    <row r="53">
      <c r="A53" s="103">
        <v>44638</v>
      </c>
      <c r="B53" s="5"/>
      <c r="C53" s="5"/>
      <c r="D53" s="5"/>
      <c r="E53" s="5"/>
      <c r="F53" s="5"/>
      <c r="G53" s="5"/>
      <c r="H53" s="5"/>
      <c r="I53" s="5"/>
      <c r="J53" s="5"/>
      <c r="K53" s="5"/>
      <c r="L53" s="5"/>
      <c r="M53" s="5"/>
      <c r="N53" s="5"/>
      <c r="O53" s="5"/>
      <c r="P53" s="5"/>
      <c r="Q53" s="5"/>
      <c r="R53" s="5"/>
      <c r="S53" s="5"/>
      <c r="T53" s="116"/>
    </row>
    <row r="54">
      <c r="A54" s="103">
        <v>44639</v>
      </c>
      <c r="B54" s="14"/>
      <c r="C54" s="14"/>
      <c r="D54" s="14"/>
      <c r="E54" s="14"/>
      <c r="F54" s="14"/>
      <c r="G54" s="14"/>
      <c r="H54" s="14"/>
      <c r="I54" s="14"/>
      <c r="J54" s="14"/>
      <c r="K54" s="14"/>
      <c r="L54" s="14"/>
      <c r="M54" s="14"/>
      <c r="N54" s="14"/>
      <c r="O54" s="14"/>
      <c r="P54" s="14"/>
      <c r="Q54" s="14"/>
      <c r="R54" s="14"/>
      <c r="S54" s="14"/>
      <c r="T54" s="116"/>
    </row>
    <row r="55">
      <c r="A55" s="103">
        <v>44640</v>
      </c>
      <c r="B55" s="5"/>
      <c r="C55" s="5"/>
      <c r="D55" s="5"/>
      <c r="E55" s="5"/>
      <c r="F55" s="5"/>
      <c r="G55" s="5"/>
      <c r="H55" s="5"/>
      <c r="I55" s="5"/>
      <c r="J55" s="5"/>
      <c r="K55" s="5"/>
      <c r="L55" s="5"/>
      <c r="M55" s="5"/>
      <c r="N55" s="5"/>
      <c r="O55" s="5"/>
      <c r="P55" s="5"/>
      <c r="Q55" s="5"/>
      <c r="R55" s="5"/>
      <c r="S55" s="5"/>
      <c r="T55" s="116"/>
    </row>
    <row r="56">
      <c r="A56" s="103">
        <v>44641</v>
      </c>
      <c r="B56" s="14"/>
      <c r="C56" s="14"/>
      <c r="D56" s="14"/>
      <c r="E56" s="14"/>
      <c r="F56" s="14"/>
      <c r="G56" s="14"/>
      <c r="H56" s="14"/>
      <c r="I56" s="14"/>
      <c r="J56" s="14"/>
      <c r="K56" s="14"/>
      <c r="L56" s="14"/>
      <c r="M56" s="14"/>
      <c r="N56" s="14"/>
      <c r="O56" s="14"/>
      <c r="P56" s="14"/>
      <c r="Q56" s="14"/>
      <c r="R56" s="14"/>
      <c r="S56" s="14"/>
      <c r="T56" s="116"/>
    </row>
    <row r="57">
      <c r="A57" s="103">
        <v>44642</v>
      </c>
      <c r="B57" s="5"/>
      <c r="C57" s="5"/>
      <c r="D57" s="5"/>
      <c r="E57" s="5"/>
      <c r="F57" s="5"/>
      <c r="G57" s="5"/>
      <c r="H57" s="5">
        <f>1000*'Сводная таблица'!B84</f>
        <v>4380</v>
      </c>
      <c r="I57" s="5"/>
      <c r="J57" s="5"/>
      <c r="K57" s="5"/>
      <c r="L57" s="5"/>
      <c r="M57" s="5"/>
      <c r="N57" s="5"/>
      <c r="O57" s="5"/>
      <c r="P57" s="5"/>
      <c r="Q57" s="5"/>
      <c r="R57" s="5"/>
      <c r="S57" s="5"/>
      <c r="T57" s="116"/>
    </row>
    <row r="58">
      <c r="A58" s="103">
        <v>44643</v>
      </c>
      <c r="B58" s="14"/>
      <c r="C58" s="14"/>
      <c r="D58" s="14"/>
      <c r="E58" s="14"/>
      <c r="F58" s="14"/>
      <c r="G58" s="14"/>
      <c r="H58" s="14"/>
      <c r="I58" s="14">
        <f>294</f>
        <v>294</v>
      </c>
      <c r="J58" s="14"/>
      <c r="K58" s="14"/>
      <c r="L58" s="14"/>
      <c r="M58" s="14"/>
      <c r="N58" s="14"/>
      <c r="O58" s="14"/>
      <c r="P58" s="14"/>
      <c r="Q58" s="14"/>
      <c r="R58" s="14"/>
      <c r="S58" s="14"/>
      <c r="T58" s="116"/>
    </row>
    <row r="59">
      <c r="A59" s="103">
        <v>44644</v>
      </c>
      <c r="B59" s="5"/>
      <c r="C59" s="5"/>
      <c r="D59" s="5"/>
      <c r="E59" s="5"/>
      <c r="F59" s="5"/>
      <c r="G59" s="5"/>
      <c r="H59" s="5"/>
      <c r="I59" s="5"/>
      <c r="J59" s="5"/>
      <c r="K59" s="5"/>
      <c r="L59" s="5"/>
      <c r="M59" s="5"/>
      <c r="N59" s="5"/>
      <c r="O59" s="5"/>
      <c r="P59" s="5"/>
      <c r="Q59" s="5"/>
      <c r="R59" s="5"/>
      <c r="S59" s="5"/>
      <c r="T59" s="116"/>
    </row>
    <row r="60">
      <c r="A60" s="103">
        <v>44645</v>
      </c>
      <c r="B60" s="14"/>
      <c r="C60" s="14"/>
      <c r="D60" s="14"/>
      <c r="E60" s="14"/>
      <c r="F60" s="14"/>
      <c r="G60" s="14"/>
      <c r="H60" s="14"/>
      <c r="I60" s="14"/>
      <c r="J60" s="14"/>
      <c r="K60" s="14"/>
      <c r="L60" s="14"/>
      <c r="M60" s="14"/>
      <c r="N60" s="14"/>
      <c r="O60" s="14"/>
      <c r="P60" s="14"/>
      <c r="Q60" s="14"/>
      <c r="R60" s="14"/>
      <c r="S60" s="14"/>
      <c r="T60" s="116"/>
    </row>
    <row r="61">
      <c r="A61" s="103">
        <v>44646</v>
      </c>
      <c r="B61" s="5"/>
      <c r="C61" s="5"/>
      <c r="D61" s="5"/>
      <c r="E61" s="5"/>
      <c r="F61" s="5"/>
      <c r="G61" s="5"/>
      <c r="H61" s="5"/>
      <c r="I61" s="5"/>
      <c r="J61" s="5"/>
      <c r="K61" s="5"/>
      <c r="L61" s="5"/>
      <c r="M61" s="5"/>
      <c r="N61" s="5"/>
      <c r="O61" s="5"/>
      <c r="P61" s="5"/>
      <c r="Q61" s="5"/>
      <c r="R61" s="5"/>
      <c r="S61" s="5"/>
      <c r="T61" s="116"/>
    </row>
    <row r="62">
      <c r="A62" s="103">
        <v>44647</v>
      </c>
      <c r="B62" s="14"/>
      <c r="C62" s="14"/>
      <c r="D62" s="14"/>
      <c r="E62" s="14"/>
      <c r="F62" s="14"/>
      <c r="G62" s="14"/>
      <c r="H62" s="14"/>
      <c r="I62" s="14"/>
      <c r="J62" s="14"/>
      <c r="K62" s="14"/>
      <c r="L62" s="14"/>
      <c r="M62" s="14"/>
      <c r="N62" s="14"/>
      <c r="O62" s="14"/>
      <c r="P62" s="14"/>
      <c r="Q62" s="14"/>
      <c r="R62" s="14"/>
      <c r="S62" s="14"/>
      <c r="T62" s="116"/>
    </row>
    <row r="63">
      <c r="A63" s="103">
        <v>44648</v>
      </c>
      <c r="B63" s="5"/>
      <c r="C63" s="5"/>
      <c r="D63" s="5"/>
      <c r="E63" s="5"/>
      <c r="F63" s="5"/>
      <c r="G63" s="5"/>
      <c r="H63" s="5"/>
      <c r="I63" s="5"/>
      <c r="J63" s="5"/>
      <c r="K63" s="5"/>
      <c r="L63" s="5"/>
      <c r="M63" s="5"/>
      <c r="N63" s="5"/>
      <c r="O63" s="5"/>
      <c r="P63" s="5"/>
      <c r="Q63" s="5"/>
      <c r="R63" s="48"/>
      <c r="S63" s="5"/>
      <c r="T63" s="116"/>
    </row>
    <row r="64">
      <c r="A64" s="103">
        <v>44649</v>
      </c>
      <c r="B64" s="22"/>
      <c r="C64" s="22"/>
      <c r="D64" s="22"/>
      <c r="E64" s="22"/>
      <c r="F64" s="22"/>
      <c r="G64" s="22"/>
      <c r="H64" s="22"/>
      <c r="I64" s="22"/>
      <c r="J64" s="14"/>
      <c r="K64" s="14"/>
      <c r="L64" s="14"/>
      <c r="M64" s="14"/>
      <c r="N64" s="14"/>
      <c r="O64" s="14"/>
      <c r="P64" s="14"/>
      <c r="Q64" s="14"/>
      <c r="R64" s="80"/>
      <c r="S64" s="14"/>
      <c r="T64" s="116"/>
    </row>
    <row r="65">
      <c r="A65" s="103">
        <v>44650</v>
      </c>
      <c r="B65" s="5"/>
      <c r="C65" s="5"/>
      <c r="D65" s="5"/>
      <c r="E65" s="5"/>
      <c r="F65" s="5"/>
      <c r="G65" s="5"/>
      <c r="H65" s="5"/>
      <c r="I65" s="5"/>
      <c r="J65" s="5"/>
      <c r="K65" s="5"/>
      <c r="L65" s="5"/>
      <c r="M65" s="5"/>
      <c r="N65" s="5"/>
      <c r="O65" s="5"/>
      <c r="P65" s="5"/>
      <c r="Q65" s="5"/>
      <c r="R65" s="48"/>
      <c r="S65" s="5"/>
      <c r="T65" s="116"/>
    </row>
    <row r="66">
      <c r="A66" s="103">
        <v>44651</v>
      </c>
      <c r="B66" s="22"/>
      <c r="C66" s="22"/>
      <c r="D66" s="22"/>
      <c r="E66" s="22">
        <f>(230.87+263.85)*'Сводная таблица'!B84+(4406.9-440.7)</f>
        <v>6133.0735999999997</v>
      </c>
      <c r="F66" s="22"/>
      <c r="G66" s="22"/>
      <c r="H66" s="22"/>
      <c r="I66" s="22"/>
      <c r="J66" s="14"/>
      <c r="K66" s="14"/>
      <c r="L66" s="14"/>
      <c r="M66" s="14"/>
      <c r="N66" s="14"/>
      <c r="O66" s="14"/>
      <c r="P66" s="14"/>
      <c r="Q66" s="14"/>
      <c r="R66" s="80"/>
      <c r="S66" s="14"/>
      <c r="T66" s="116"/>
    </row>
    <row r="67">
      <c r="A67" s="113" t="s">
        <v>87</v>
      </c>
      <c r="B67" s="113">
        <f>SUM(B36:B66)</f>
        <v>500000</v>
      </c>
      <c r="C67" s="113">
        <f>SUM(C36:C66)</f>
        <v>0</v>
      </c>
      <c r="D67" s="113">
        <f>SUM(D36:D66)</f>
        <v>0</v>
      </c>
      <c r="E67" s="113">
        <f>SUM(E36:E66)</f>
        <v>6316.5955999999996</v>
      </c>
      <c r="F67" s="113">
        <f>SUM(F36:F66)</f>
        <v>0</v>
      </c>
      <c r="G67" s="113">
        <f>SUM(G36:G66)</f>
        <v>0</v>
      </c>
      <c r="H67" s="113">
        <f>SUM(H36:H66)</f>
        <v>4380</v>
      </c>
      <c r="I67" s="113">
        <f>SUM(I36:I66)</f>
        <v>5339.7600000000002</v>
      </c>
      <c r="J67" s="113">
        <f>SUM(J36:J66)</f>
        <v>0</v>
      </c>
      <c r="K67" s="113">
        <f>SUM(K36:K66)</f>
        <v>0</v>
      </c>
      <c r="L67" s="113">
        <f>SUM(L36:L66)</f>
        <v>0</v>
      </c>
      <c r="M67" s="113">
        <f>SUM(M36:M66)</f>
        <v>0</v>
      </c>
      <c r="N67" s="113">
        <f>SUM(N36:N66)</f>
        <v>0</v>
      </c>
      <c r="O67" s="113">
        <f>SUM(O36:O66)</f>
        <v>0</v>
      </c>
      <c r="P67" s="113">
        <f>SUM(P36:P66)</f>
        <v>0</v>
      </c>
      <c r="Q67" s="113">
        <f>SUM(Q36:Q66)</f>
        <v>0</v>
      </c>
      <c r="R67" s="113">
        <f>SUM(R36:R66)</f>
        <v>0</v>
      </c>
      <c r="S67" s="113">
        <f>SUM(B67:R67)</f>
        <v>516036.35560000001</v>
      </c>
      <c r="T67" s="124" t="s">
        <v>88</v>
      </c>
    </row>
    <row r="68">
      <c r="A68" s="108" t="s">
        <v>89</v>
      </c>
      <c r="B68" s="110">
        <f>B67/'Сводная таблица'!B84</f>
        <v>114155.25114155251</v>
      </c>
      <c r="C68" s="110"/>
      <c r="D68" s="110"/>
      <c r="E68" s="110">
        <f>E67/'Сводная таблица'!B67</f>
        <v>1442.1451141552511</v>
      </c>
      <c r="F68" s="110"/>
      <c r="G68" s="110"/>
      <c r="H68" s="110">
        <f>H67/'Сводная таблица'!B67</f>
        <v>1000</v>
      </c>
      <c r="I68" s="110">
        <f>I67/'Сводная таблица'!B67</f>
        <v>1219.1232876712329</v>
      </c>
      <c r="J68" s="110"/>
      <c r="K68" s="110"/>
      <c r="L68" s="110"/>
      <c r="M68" s="110"/>
      <c r="N68" s="110"/>
      <c r="O68" s="110"/>
      <c r="P68" s="110"/>
      <c r="Q68" s="110"/>
      <c r="R68" s="110"/>
      <c r="S68" s="110">
        <f>S67/'Сводная таблица'!B84</f>
        <v>117816.51954337901</v>
      </c>
      <c r="T68" s="125" t="s">
        <v>90</v>
      </c>
    </row>
    <row r="69">
      <c r="A69" s="123" t="s">
        <v>67</v>
      </c>
      <c r="B69" s="123"/>
      <c r="C69" s="123"/>
      <c r="D69" s="123"/>
      <c r="E69" s="123"/>
      <c r="F69" s="123"/>
      <c r="G69" s="123"/>
      <c r="H69" s="123"/>
      <c r="I69" s="123"/>
      <c r="J69" s="123"/>
      <c r="K69" s="123"/>
      <c r="L69" s="123"/>
      <c r="M69" s="123"/>
      <c r="N69" s="123"/>
      <c r="O69" s="123"/>
      <c r="P69" s="123"/>
      <c r="Q69" s="123"/>
      <c r="R69" s="123"/>
      <c r="S69" s="123"/>
      <c r="T69" s="116"/>
    </row>
    <row r="70">
      <c r="A70" s="5" t="s">
        <v>68</v>
      </c>
      <c r="B70" s="118">
        <f>21000-344+2039+(23000-23000)-344-344+8164.1-4600-3300+(3000-3000)+80000+2000+(5500-5500)+(5650-5100)+1000+300+300+11814.99+10000</f>
        <v>128236.09000000001</v>
      </c>
      <c r="C70" s="5"/>
      <c r="D70" s="5"/>
      <c r="E70" s="5"/>
      <c r="F70" s="5"/>
      <c r="G70" s="5"/>
      <c r="H70" s="5"/>
      <c r="I70" s="5"/>
      <c r="J70" s="5"/>
      <c r="K70" s="5"/>
      <c r="L70" s="5"/>
      <c r="M70" s="5"/>
      <c r="N70" s="5"/>
      <c r="O70" s="5"/>
      <c r="P70" s="5"/>
      <c r="Q70" s="5"/>
      <c r="R70" s="5"/>
      <c r="S70" s="5"/>
      <c r="T70" s="116"/>
    </row>
    <row r="71">
      <c r="A71" s="5" t="s">
        <v>76</v>
      </c>
      <c r="B71" s="5">
        <f>3000+1000+1200+1300+1500</f>
        <v>8000</v>
      </c>
      <c r="C71" s="5"/>
      <c r="D71" s="5"/>
      <c r="E71" s="5"/>
      <c r="F71" s="5"/>
      <c r="G71" s="5"/>
      <c r="H71" s="5"/>
      <c r="I71" s="5"/>
      <c r="J71" s="5"/>
      <c r="K71" s="5"/>
      <c r="L71" s="5"/>
      <c r="M71" s="5"/>
      <c r="N71" s="5"/>
      <c r="O71" s="5"/>
      <c r="P71" s="5"/>
      <c r="Q71" s="5"/>
      <c r="R71" s="5"/>
      <c r="S71" s="5"/>
      <c r="T71" s="1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4" percent="1" timePeriod="today" id="{009F0090-0013-4974-8522-00F400D700C0}">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3" percent="1" timePeriod="today" id="{00DB001B-00DB-4A3F-A0E3-000C00E40089}">
            <x14:dxf>
              <font>
                <color rgb="FF006100"/>
              </font>
              <fill>
                <patternFill patternType="solid">
                  <fgColor rgb="FFC6EFCE"/>
                  <bgColor rgb="FFC6EFCE"/>
                </patternFill>
              </fill>
            </x14:dxf>
          </x14:cfRule>
          <xm:sqref>A36 A37 A38 A39 A40 A41 A42 A43 A44 A45 A46 A47 A48 A49 A50 A51 A52 A53 A54 A55 A56 A57 A58 A59 A60 A61 A62 A63 A64 A65 A66</xm:sqref>
        </x14:conditionalFormatting>
        <x14:conditionalFormatting xmlns:xm="http://schemas.microsoft.com/office/excel/2006/main">
          <x14:cfRule type="timePeriod" priority="2" percent="1" timePeriod="today" id="{0084008C-002D-4D46-BDA1-006200C70095}">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2F0076-0079-426F-9E24-00BC00C200E2}">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s>
    </ext>
  </extLst>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RowHeight="14.25"/>
  <cols>
    <col customWidth="1" min="1" max="1" width="13.0039062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16"/>
    </row>
    <row r="2">
      <c r="A2" s="103">
        <v>44652</v>
      </c>
      <c r="B2" s="14">
        <v>200</v>
      </c>
      <c r="C2" s="14"/>
      <c r="D2" s="14"/>
      <c r="E2" s="14"/>
      <c r="F2" s="14"/>
      <c r="G2" s="14"/>
      <c r="H2" s="14"/>
      <c r="I2" s="14"/>
      <c r="J2" s="14"/>
      <c r="K2" s="14"/>
      <c r="L2" s="14"/>
      <c r="M2" s="14"/>
      <c r="N2" s="14"/>
      <c r="O2" s="14"/>
      <c r="P2" s="14"/>
      <c r="Q2" s="14"/>
      <c r="R2" s="14"/>
      <c r="S2" s="14"/>
      <c r="T2" s="116"/>
    </row>
    <row r="3">
      <c r="A3" s="103">
        <v>44653</v>
      </c>
      <c r="B3" s="5"/>
      <c r="C3" s="5"/>
      <c r="D3" s="5"/>
      <c r="E3" s="5"/>
      <c r="F3" s="5"/>
      <c r="G3" s="5"/>
      <c r="H3" s="5"/>
      <c r="I3" s="5"/>
      <c r="J3" s="5"/>
      <c r="K3" s="5"/>
      <c r="L3" s="5">
        <f>434400-150000-20000-150000</f>
        <v>114400</v>
      </c>
      <c r="M3" s="5"/>
      <c r="N3" s="5"/>
      <c r="O3" s="5"/>
      <c r="P3" s="5"/>
      <c r="Q3" s="5"/>
      <c r="R3" s="5"/>
      <c r="S3" s="5"/>
      <c r="T3" s="116"/>
    </row>
    <row r="4">
      <c r="A4" s="103">
        <v>44654</v>
      </c>
      <c r="B4" s="14">
        <v>200</v>
      </c>
      <c r="C4" s="14">
        <v>540</v>
      </c>
      <c r="D4" s="14"/>
      <c r="E4" s="14"/>
      <c r="F4" s="14"/>
      <c r="G4" s="14"/>
      <c r="H4" s="14"/>
      <c r="I4" s="14"/>
      <c r="J4" s="14"/>
      <c r="K4" s="14"/>
      <c r="L4" s="14"/>
      <c r="M4" s="14"/>
      <c r="N4" s="14"/>
      <c r="O4" s="14"/>
      <c r="P4" s="14"/>
      <c r="Q4" s="14"/>
      <c r="R4" s="14"/>
      <c r="S4" s="14"/>
      <c r="T4" s="116"/>
    </row>
    <row r="5">
      <c r="A5" s="103">
        <v>44655</v>
      </c>
      <c r="B5" s="5"/>
      <c r="C5" s="5"/>
      <c r="D5" s="5"/>
      <c r="E5" s="5"/>
      <c r="F5" s="5"/>
      <c r="G5" s="5"/>
      <c r="H5" s="5"/>
      <c r="I5" s="5"/>
      <c r="J5" s="5"/>
      <c r="K5" s="5"/>
      <c r="L5" s="5"/>
      <c r="M5" s="5"/>
      <c r="N5" s="5"/>
      <c r="O5" s="5"/>
      <c r="P5" s="5"/>
      <c r="Q5" s="5"/>
      <c r="R5" s="5"/>
      <c r="S5" s="5"/>
      <c r="T5" s="116"/>
    </row>
    <row r="6">
      <c r="A6" s="103">
        <v>44656</v>
      </c>
      <c r="B6" s="14">
        <v>100</v>
      </c>
      <c r="C6" s="14">
        <f>2680+2627</f>
        <v>5307</v>
      </c>
      <c r="D6" s="14"/>
      <c r="E6" s="14"/>
      <c r="F6" s="14"/>
      <c r="G6" s="14"/>
      <c r="H6" s="14"/>
      <c r="I6" s="14"/>
      <c r="J6" s="14"/>
      <c r="K6" s="14"/>
      <c r="L6" s="14">
        <v>3500</v>
      </c>
      <c r="M6" s="14"/>
      <c r="N6" s="14"/>
      <c r="O6" s="14"/>
      <c r="P6" s="14"/>
      <c r="Q6" s="14"/>
      <c r="R6" s="14"/>
      <c r="S6" s="14"/>
      <c r="T6" s="116"/>
    </row>
    <row r="7">
      <c r="A7" s="103">
        <v>44657</v>
      </c>
      <c r="B7" s="5">
        <v>200</v>
      </c>
      <c r="C7" s="5"/>
      <c r="D7" s="5"/>
      <c r="E7" s="5"/>
      <c r="F7" s="5"/>
      <c r="G7" s="5"/>
      <c r="H7" s="5"/>
      <c r="I7" s="5"/>
      <c r="J7" s="5"/>
      <c r="K7" s="5"/>
      <c r="L7" s="5"/>
      <c r="M7" s="5"/>
      <c r="N7" s="5"/>
      <c r="O7" s="5"/>
      <c r="P7" s="5"/>
      <c r="Q7" s="5"/>
      <c r="R7" s="5"/>
      <c r="S7" s="5"/>
      <c r="T7" s="116"/>
    </row>
    <row r="8">
      <c r="A8" s="103">
        <v>44658</v>
      </c>
      <c r="B8" s="14">
        <v>100</v>
      </c>
      <c r="C8" s="14"/>
      <c r="D8" s="14"/>
      <c r="E8" s="14"/>
      <c r="F8" s="14"/>
      <c r="G8" s="14"/>
      <c r="H8" s="14"/>
      <c r="I8" s="14"/>
      <c r="J8" s="14"/>
      <c r="K8" s="14"/>
      <c r="L8" s="14"/>
      <c r="M8" s="14"/>
      <c r="N8" s="14"/>
      <c r="O8" s="14"/>
      <c r="P8" s="14"/>
      <c r="Q8" s="14"/>
      <c r="R8" s="14"/>
      <c r="S8" s="14"/>
      <c r="T8" s="116"/>
    </row>
    <row r="9">
      <c r="A9" s="103">
        <v>44659</v>
      </c>
      <c r="B9" s="5">
        <v>100</v>
      </c>
      <c r="C9" s="5"/>
      <c r="D9" s="5"/>
      <c r="E9" s="5"/>
      <c r="F9" s="5"/>
      <c r="G9" s="5"/>
      <c r="H9" s="5"/>
      <c r="I9" s="5"/>
      <c r="J9" s="5"/>
      <c r="K9" s="5"/>
      <c r="L9" s="5"/>
      <c r="M9" s="5"/>
      <c r="N9" s="5"/>
      <c r="O9" s="5"/>
      <c r="P9" s="5"/>
      <c r="Q9" s="5"/>
      <c r="R9" s="5"/>
      <c r="S9" s="5"/>
      <c r="T9" s="116"/>
    </row>
    <row r="10">
      <c r="A10" s="103">
        <v>44660</v>
      </c>
      <c r="B10" s="14"/>
      <c r="C10" s="14"/>
      <c r="D10" s="14"/>
      <c r="E10" s="14"/>
      <c r="F10" s="14"/>
      <c r="G10" s="14"/>
      <c r="H10" s="14"/>
      <c r="I10" s="14"/>
      <c r="J10" s="14"/>
      <c r="K10" s="14"/>
      <c r="L10" s="14">
        <v>140600</v>
      </c>
      <c r="M10" s="14"/>
      <c r="N10" s="14"/>
      <c r="O10" s="14"/>
      <c r="P10" s="14"/>
      <c r="Q10" s="14"/>
      <c r="R10" s="14"/>
      <c r="S10" s="14"/>
      <c r="T10" s="116"/>
    </row>
    <row r="11">
      <c r="A11" s="103">
        <v>44661</v>
      </c>
      <c r="B11" s="5">
        <v>200</v>
      </c>
      <c r="C11" s="5">
        <v>4060</v>
      </c>
      <c r="D11" s="5"/>
      <c r="E11" s="5"/>
      <c r="F11" s="5"/>
      <c r="G11" s="5"/>
      <c r="H11" s="5"/>
      <c r="I11" s="5"/>
      <c r="J11" s="5"/>
      <c r="K11" s="5"/>
      <c r="L11" s="5"/>
      <c r="M11" s="5"/>
      <c r="N11" s="5"/>
      <c r="O11" s="5"/>
      <c r="P11" s="5"/>
      <c r="Q11" s="5"/>
      <c r="R11" s="5"/>
      <c r="S11" s="5"/>
      <c r="T11" s="116"/>
    </row>
    <row r="12">
      <c r="A12" s="103">
        <v>44662</v>
      </c>
      <c r="B12" s="14">
        <v>200</v>
      </c>
      <c r="C12" s="14"/>
      <c r="D12" s="14"/>
      <c r="E12" s="14"/>
      <c r="F12" s="14"/>
      <c r="G12" s="14"/>
      <c r="H12" s="14"/>
      <c r="I12" s="14"/>
      <c r="J12" s="14"/>
      <c r="K12" s="14"/>
      <c r="L12" s="14">
        <f>5589+16.8</f>
        <v>5605.8000000000002</v>
      </c>
      <c r="M12" s="14"/>
      <c r="N12" s="14"/>
      <c r="O12" s="14"/>
      <c r="P12" s="14"/>
      <c r="Q12" s="14"/>
      <c r="R12" s="14"/>
      <c r="S12" s="14"/>
      <c r="T12" s="116"/>
    </row>
    <row r="13">
      <c r="A13" s="103">
        <v>44663</v>
      </c>
      <c r="B13" s="5">
        <v>100</v>
      </c>
      <c r="C13" s="5"/>
      <c r="D13" s="5"/>
      <c r="E13" s="5"/>
      <c r="F13" s="5"/>
      <c r="G13" s="5"/>
      <c r="H13" s="5"/>
      <c r="I13" s="5"/>
      <c r="J13" s="5"/>
      <c r="K13" s="5"/>
      <c r="L13" s="5"/>
      <c r="M13" s="5"/>
      <c r="N13" s="5"/>
      <c r="O13" s="5"/>
      <c r="P13" s="5"/>
      <c r="Q13" s="5"/>
      <c r="R13" s="5"/>
      <c r="S13" s="5"/>
      <c r="T13" s="116"/>
    </row>
    <row r="14">
      <c r="A14" s="103">
        <v>44664</v>
      </c>
      <c r="B14" s="14">
        <v>100</v>
      </c>
      <c r="C14" s="14">
        <f>1350+820</f>
        <v>2170</v>
      </c>
      <c r="D14" s="14">
        <v>1700</v>
      </c>
      <c r="E14" s="14"/>
      <c r="F14" s="14"/>
      <c r="G14" s="14"/>
      <c r="H14" s="14"/>
      <c r="I14" s="14"/>
      <c r="J14" s="14"/>
      <c r="K14" s="14"/>
      <c r="L14" s="14"/>
      <c r="M14" s="14"/>
      <c r="N14" s="14"/>
      <c r="O14" s="14"/>
      <c r="P14" s="14"/>
      <c r="Q14" s="14"/>
      <c r="R14" s="14"/>
      <c r="S14" s="14"/>
      <c r="T14" s="116"/>
    </row>
    <row r="15">
      <c r="A15" s="103">
        <v>44665</v>
      </c>
      <c r="B15" s="5">
        <v>200</v>
      </c>
      <c r="C15" s="5"/>
      <c r="D15" s="5">
        <v>1250</v>
      </c>
      <c r="E15" s="5"/>
      <c r="F15" s="5"/>
      <c r="G15" s="5"/>
      <c r="H15" s="5"/>
      <c r="I15" s="5"/>
      <c r="J15" s="5"/>
      <c r="K15" s="5"/>
      <c r="L15" s="5"/>
      <c r="M15" s="5"/>
      <c r="N15" s="5"/>
      <c r="O15" s="5"/>
      <c r="P15" s="5"/>
      <c r="Q15" s="5"/>
      <c r="R15" s="5"/>
      <c r="S15" s="5"/>
      <c r="T15" s="116"/>
    </row>
    <row r="16">
      <c r="A16" s="103">
        <v>44666</v>
      </c>
      <c r="B16" s="14">
        <v>100</v>
      </c>
      <c r="C16" s="97"/>
      <c r="D16" s="14">
        <v>1160</v>
      </c>
      <c r="E16" s="14"/>
      <c r="F16" s="14"/>
      <c r="G16" s="14"/>
      <c r="H16" s="14"/>
      <c r="I16" s="14"/>
      <c r="J16" s="14"/>
      <c r="K16" s="14"/>
      <c r="L16" s="14"/>
      <c r="M16" s="14"/>
      <c r="N16" s="14"/>
      <c r="O16" s="14"/>
      <c r="P16" s="14"/>
      <c r="Q16" s="14"/>
      <c r="R16" s="14"/>
      <c r="S16" s="14"/>
      <c r="T16" s="116"/>
    </row>
    <row r="17">
      <c r="A17" s="103">
        <v>44667</v>
      </c>
      <c r="B17" s="5"/>
      <c r="C17" s="6"/>
      <c r="D17" s="5"/>
      <c r="E17" s="5">
        <v>6600</v>
      </c>
      <c r="F17" s="5"/>
      <c r="G17" s="5"/>
      <c r="H17" s="5"/>
      <c r="I17" s="5"/>
      <c r="J17" s="5"/>
      <c r="K17" s="5"/>
      <c r="L17" s="5"/>
      <c r="M17" s="5">
        <v>1000</v>
      </c>
      <c r="N17" s="5"/>
      <c r="O17" s="5"/>
      <c r="P17" s="5"/>
      <c r="Q17" s="5"/>
      <c r="R17" s="5"/>
      <c r="S17" s="5"/>
      <c r="T17" s="116"/>
    </row>
    <row r="18">
      <c r="A18" s="103">
        <v>44668</v>
      </c>
      <c r="B18" s="14">
        <v>100</v>
      </c>
      <c r="C18" s="14"/>
      <c r="D18" s="14">
        <v>360</v>
      </c>
      <c r="E18" s="14"/>
      <c r="F18" s="14"/>
      <c r="G18" s="14"/>
      <c r="H18" s="14"/>
      <c r="I18" s="14"/>
      <c r="J18" s="14"/>
      <c r="K18" s="14"/>
      <c r="L18" s="14"/>
      <c r="M18" s="14"/>
      <c r="N18" s="14"/>
      <c r="O18" s="14"/>
      <c r="P18" s="14"/>
      <c r="Q18" s="14"/>
      <c r="R18" s="14"/>
      <c r="S18" s="14"/>
      <c r="T18" s="116"/>
    </row>
    <row r="19">
      <c r="A19" s="103">
        <v>44669</v>
      </c>
      <c r="B19" s="5">
        <v>0</v>
      </c>
      <c r="C19" s="5">
        <v>5360</v>
      </c>
      <c r="D19" s="5"/>
      <c r="E19" s="5"/>
      <c r="F19" s="5"/>
      <c r="G19" s="5"/>
      <c r="H19" s="5"/>
      <c r="I19" s="5"/>
      <c r="J19" s="5"/>
      <c r="K19" s="5"/>
      <c r="L19" s="5"/>
      <c r="M19" s="5"/>
      <c r="N19" s="5"/>
      <c r="O19" s="5"/>
      <c r="P19" s="5">
        <v>6000</v>
      </c>
      <c r="Q19" s="5"/>
      <c r="R19" s="6"/>
      <c r="S19" s="5"/>
      <c r="T19" s="116"/>
    </row>
    <row r="20">
      <c r="A20" s="103">
        <v>44670</v>
      </c>
      <c r="B20" s="14">
        <v>0</v>
      </c>
      <c r="C20" s="14"/>
      <c r="D20" s="14">
        <v>1720</v>
      </c>
      <c r="E20" s="14"/>
      <c r="F20" s="14"/>
      <c r="G20" s="14"/>
      <c r="H20" s="14"/>
      <c r="I20" s="14"/>
      <c r="J20" s="14"/>
      <c r="K20" s="14"/>
      <c r="L20" s="14"/>
      <c r="M20" s="14"/>
      <c r="N20" s="14"/>
      <c r="O20" s="14"/>
      <c r="P20" s="34"/>
      <c r="Q20" s="14"/>
      <c r="R20" s="14"/>
      <c r="S20" s="14"/>
      <c r="T20" s="116"/>
    </row>
    <row r="21">
      <c r="A21" s="103">
        <v>44671</v>
      </c>
      <c r="B21" s="69">
        <v>200</v>
      </c>
      <c r="C21" s="6"/>
      <c r="D21" s="5">
        <v>1440</v>
      </c>
      <c r="E21" s="5"/>
      <c r="F21" s="5"/>
      <c r="G21" s="5"/>
      <c r="H21" s="5"/>
      <c r="I21" s="5"/>
      <c r="J21" s="5"/>
      <c r="K21" s="5"/>
      <c r="L21" s="5"/>
      <c r="M21" s="5"/>
      <c r="N21" s="5"/>
      <c r="O21" s="5"/>
      <c r="P21" s="5"/>
      <c r="Q21" s="5"/>
      <c r="R21" s="5"/>
      <c r="S21" s="5"/>
      <c r="T21" s="116"/>
    </row>
    <row r="22">
      <c r="A22" s="103">
        <v>44672</v>
      </c>
      <c r="B22" s="22">
        <v>100</v>
      </c>
      <c r="C22" s="14"/>
      <c r="D22" s="14"/>
      <c r="E22" s="14"/>
      <c r="F22" s="14"/>
      <c r="G22" s="14"/>
      <c r="H22" s="14"/>
      <c r="I22" s="14"/>
      <c r="J22" s="14"/>
      <c r="K22" s="14"/>
      <c r="L22" s="14"/>
      <c r="M22" s="14"/>
      <c r="N22" s="14"/>
      <c r="O22" s="14"/>
      <c r="P22" s="14"/>
      <c r="Q22" s="14"/>
      <c r="R22" s="14"/>
      <c r="S22" s="14"/>
      <c r="T22" s="116"/>
    </row>
    <row r="23">
      <c r="A23" s="103">
        <v>44673</v>
      </c>
      <c r="B23" s="5">
        <v>200</v>
      </c>
      <c r="C23" s="5"/>
      <c r="D23" s="5"/>
      <c r="E23" s="5"/>
      <c r="F23" s="5"/>
      <c r="G23" s="5"/>
      <c r="H23" s="5"/>
      <c r="I23" s="5"/>
      <c r="J23" s="5"/>
      <c r="K23" s="5"/>
      <c r="L23" s="5"/>
      <c r="M23" s="5"/>
      <c r="N23" s="5"/>
      <c r="O23" s="5"/>
      <c r="P23" s="5"/>
      <c r="Q23" s="5"/>
      <c r="R23" s="5"/>
      <c r="S23" s="5"/>
      <c r="T23" s="116"/>
    </row>
    <row r="24">
      <c r="A24" s="103">
        <v>44674</v>
      </c>
      <c r="B24" s="14"/>
      <c r="C24" s="14"/>
      <c r="D24" s="14"/>
      <c r="E24" s="14"/>
      <c r="F24" s="14"/>
      <c r="G24" s="14"/>
      <c r="H24" s="14"/>
      <c r="I24" s="14"/>
      <c r="J24" s="14"/>
      <c r="K24" s="14">
        <v>1950</v>
      </c>
      <c r="L24" s="14"/>
      <c r="M24" s="14"/>
      <c r="N24" s="14"/>
      <c r="O24" s="14"/>
      <c r="P24" s="14"/>
      <c r="Q24" s="14"/>
      <c r="R24" s="14"/>
      <c r="S24" s="14"/>
      <c r="T24" s="116"/>
    </row>
    <row r="25">
      <c r="A25" s="103">
        <v>44675</v>
      </c>
      <c r="B25" s="28">
        <v>100</v>
      </c>
      <c r="C25" s="5">
        <f>1388+350</f>
        <v>1738</v>
      </c>
      <c r="D25" s="5"/>
      <c r="E25" s="5"/>
      <c r="F25" s="5"/>
      <c r="G25" s="5"/>
      <c r="H25" s="5"/>
      <c r="I25" s="5"/>
      <c r="J25" s="5"/>
      <c r="K25" s="5"/>
      <c r="L25" s="5"/>
      <c r="M25" s="5"/>
      <c r="N25" s="5"/>
      <c r="O25" s="5"/>
      <c r="P25" s="5"/>
      <c r="Q25" s="5"/>
      <c r="R25" s="5"/>
      <c r="S25" s="5"/>
      <c r="T25" s="116"/>
    </row>
    <row r="26">
      <c r="A26" s="103">
        <v>44676</v>
      </c>
      <c r="B26" s="14">
        <v>0</v>
      </c>
      <c r="C26" s="14"/>
      <c r="D26" s="14"/>
      <c r="E26" s="14">
        <v>1450</v>
      </c>
      <c r="F26" s="14"/>
      <c r="G26" s="14"/>
      <c r="H26" s="14"/>
      <c r="I26" s="14"/>
      <c r="J26" s="14"/>
      <c r="K26" s="14"/>
      <c r="L26" s="14"/>
      <c r="M26" s="14"/>
      <c r="N26" s="14"/>
      <c r="O26" s="14"/>
      <c r="P26" s="14"/>
      <c r="Q26" s="14"/>
      <c r="R26" s="14"/>
      <c r="S26" s="14"/>
      <c r="T26" s="116"/>
    </row>
    <row r="27">
      <c r="A27" s="103">
        <v>44677</v>
      </c>
      <c r="B27" s="5">
        <v>100</v>
      </c>
      <c r="C27" s="6"/>
      <c r="D27" s="5"/>
      <c r="E27" s="5"/>
      <c r="F27" s="5"/>
      <c r="G27" s="5"/>
      <c r="H27" s="5"/>
      <c r="I27" s="5"/>
      <c r="J27" s="5"/>
      <c r="K27" s="5"/>
      <c r="L27" s="5"/>
      <c r="M27" s="5"/>
      <c r="N27" s="5"/>
      <c r="O27" s="5"/>
      <c r="P27" s="5"/>
      <c r="Q27" s="5"/>
      <c r="R27" s="5"/>
      <c r="S27" s="5"/>
      <c r="T27" s="116"/>
    </row>
    <row r="28">
      <c r="A28" s="103">
        <v>44678</v>
      </c>
      <c r="B28" s="14"/>
      <c r="C28" s="14"/>
      <c r="D28" s="14"/>
      <c r="E28" s="14"/>
      <c r="F28" s="14"/>
      <c r="G28" s="14"/>
      <c r="H28" s="14"/>
      <c r="I28" s="14"/>
      <c r="J28" s="14"/>
      <c r="K28" s="14"/>
      <c r="L28" s="14"/>
      <c r="M28" s="14"/>
      <c r="N28" s="14"/>
      <c r="O28" s="14"/>
      <c r="P28" s="14"/>
      <c r="Q28" s="14"/>
      <c r="R28" s="14"/>
      <c r="S28" s="14"/>
      <c r="T28" s="116"/>
    </row>
    <row r="29">
      <c r="A29" s="103">
        <v>44679</v>
      </c>
      <c r="B29" s="5"/>
      <c r="C29" s="5"/>
      <c r="D29" s="5"/>
      <c r="E29" s="5"/>
      <c r="F29" s="5"/>
      <c r="G29" s="5"/>
      <c r="H29" s="5"/>
      <c r="I29" s="5"/>
      <c r="J29" s="5"/>
      <c r="K29" s="5"/>
      <c r="L29" s="5"/>
      <c r="M29" s="5"/>
      <c r="N29" s="5">
        <v>2900</v>
      </c>
      <c r="O29" s="5"/>
      <c r="P29" s="5"/>
      <c r="Q29" s="5"/>
      <c r="R29" s="5"/>
      <c r="S29" s="5"/>
      <c r="T29" s="116"/>
    </row>
    <row r="30">
      <c r="A30" s="103">
        <v>44680</v>
      </c>
      <c r="B30" s="22">
        <v>100</v>
      </c>
      <c r="C30" s="22"/>
      <c r="D30" s="22"/>
      <c r="E30" s="22"/>
      <c r="F30" s="22"/>
      <c r="G30" s="22"/>
      <c r="H30" s="22"/>
      <c r="I30" s="22"/>
      <c r="J30" s="22"/>
      <c r="K30" s="22"/>
      <c r="L30" s="22"/>
      <c r="M30" s="22"/>
      <c r="N30" s="22"/>
      <c r="O30" s="22"/>
      <c r="P30" s="22"/>
      <c r="Q30" s="22"/>
      <c r="R30" s="22"/>
      <c r="S30" s="22"/>
      <c r="T30" s="116"/>
    </row>
    <row r="31">
      <c r="A31" s="103">
        <v>44681</v>
      </c>
      <c r="B31" s="5"/>
      <c r="C31" s="5"/>
      <c r="D31" s="5"/>
      <c r="E31" s="5">
        <f>2748-1300</f>
        <v>1448</v>
      </c>
      <c r="F31" s="5"/>
      <c r="G31" s="5"/>
      <c r="H31" s="5"/>
      <c r="I31" s="5"/>
      <c r="J31" s="5"/>
      <c r="K31" s="5"/>
      <c r="L31" s="5"/>
      <c r="M31" s="5"/>
      <c r="N31" s="5"/>
      <c r="O31" s="5"/>
      <c r="P31" s="5"/>
      <c r="Q31" s="5"/>
      <c r="R31" s="5"/>
      <c r="S31" s="5"/>
      <c r="T31" s="116"/>
    </row>
    <row r="32">
      <c r="A32" s="103"/>
      <c r="B32" s="22"/>
      <c r="C32" s="22"/>
      <c r="D32" s="22"/>
      <c r="E32" s="22"/>
      <c r="F32" s="22"/>
      <c r="G32" s="22"/>
      <c r="H32" s="22"/>
      <c r="I32" s="22"/>
      <c r="J32" s="22"/>
      <c r="K32" s="22"/>
      <c r="L32" s="22"/>
      <c r="M32" s="22"/>
      <c r="N32" s="22"/>
      <c r="O32" s="22"/>
      <c r="P32" s="22"/>
      <c r="Q32" s="22"/>
      <c r="R32" s="22"/>
      <c r="S32" s="22"/>
      <c r="T32" s="116"/>
    </row>
    <row r="33">
      <c r="A33" s="113" t="s">
        <v>87</v>
      </c>
      <c r="B33" s="113">
        <f>SUM(B2:B32)</f>
        <v>2700</v>
      </c>
      <c r="C33" s="113">
        <f>SUM(C2:C32)</f>
        <v>19175</v>
      </c>
      <c r="D33" s="113">
        <f>SUM(D2:D32)</f>
        <v>7630</v>
      </c>
      <c r="E33" s="113">
        <f>SUM(E2:E32)</f>
        <v>9498</v>
      </c>
      <c r="F33" s="113">
        <f>SUM(F2:F32)</f>
        <v>0</v>
      </c>
      <c r="G33" s="113">
        <f>SUM(G2:G32)</f>
        <v>0</v>
      </c>
      <c r="H33" s="113">
        <f>SUM(H2:H32)</f>
        <v>0</v>
      </c>
      <c r="I33" s="113">
        <f>SUM(I2:I32)</f>
        <v>0</v>
      </c>
      <c r="J33" s="113">
        <f>SUM(J2:J32)</f>
        <v>0</v>
      </c>
      <c r="K33" s="113">
        <f>SUM(K2:K32)</f>
        <v>1950</v>
      </c>
      <c r="L33" s="113">
        <f>SUM(L2:L32)</f>
        <v>264105.79999999999</v>
      </c>
      <c r="M33" s="113">
        <f>SUM(M2:M32)</f>
        <v>1000</v>
      </c>
      <c r="N33" s="113">
        <f>SUM(N2:N32)</f>
        <v>2900</v>
      </c>
      <c r="O33" s="113">
        <f>SUM(O2:O32)</f>
        <v>0</v>
      </c>
      <c r="P33" s="113">
        <f>SUM(P2:P32)</f>
        <v>6000</v>
      </c>
      <c r="Q33" s="113">
        <f>SUM(Q2:Q32)</f>
        <v>0</v>
      </c>
      <c r="R33" s="113">
        <f>SUM(R2:R32)</f>
        <v>0</v>
      </c>
      <c r="S33" s="113">
        <f>SUM(B33:R33)+SUM(S2:S32)</f>
        <v>314958.79999999999</v>
      </c>
      <c r="T33" s="124" t="s">
        <v>88</v>
      </c>
    </row>
    <row r="34">
      <c r="A34" s="108" t="s">
        <v>89</v>
      </c>
      <c r="B34" s="110">
        <f>B33/'Сводная таблица'!B67</f>
        <v>616.43835616438355</v>
      </c>
      <c r="C34" s="110">
        <f>C33/'Сводная таблица'!B67</f>
        <v>4377.8538812785391</v>
      </c>
      <c r="D34" s="110">
        <f>D33/'Сводная таблица'!B67</f>
        <v>1742.0091324200914</v>
      </c>
      <c r="E34" s="110">
        <f>E33/'Сводная таблица'!B67</f>
        <v>2168.4931506849316</v>
      </c>
      <c r="F34" s="110">
        <f>F33/'Сводная таблица'!B67</f>
        <v>0</v>
      </c>
      <c r="G34" s="110">
        <f>G33/'Сводная таблица'!B67</f>
        <v>0</v>
      </c>
      <c r="H34" s="110">
        <f>H33/'Сводная таблица'!B67</f>
        <v>0</v>
      </c>
      <c r="I34" s="110">
        <f>I33/'Сводная таблица'!B67</f>
        <v>0</v>
      </c>
      <c r="J34" s="110">
        <f>J33/'Сводная таблица'!B67</f>
        <v>0</v>
      </c>
      <c r="K34" s="110">
        <f>K33/'Сводная таблица'!B67</f>
        <v>445.20547945205482</v>
      </c>
      <c r="L34" s="110">
        <f>L33/'Сводная таблица'!B67</f>
        <v>60298.127853881277</v>
      </c>
      <c r="M34" s="110">
        <f>M33/'Сводная таблица'!B67</f>
        <v>228.31050228310502</v>
      </c>
      <c r="N34" s="110">
        <f>N33/'Сводная таблица'!B67</f>
        <v>662.10045662100458</v>
      </c>
      <c r="O34" s="110">
        <f>O33/'Сводная таблица'!B67</f>
        <v>0</v>
      </c>
      <c r="P34" s="110">
        <f>P33/'Сводная таблица'!B67</f>
        <v>1369.8630136986301</v>
      </c>
      <c r="Q34" s="110">
        <f>Q33/'Сводная таблица'!B67</f>
        <v>0</v>
      </c>
      <c r="R34" s="110">
        <f>R33/'Сводная таблица'!B67</f>
        <v>0</v>
      </c>
      <c r="S34" s="120">
        <f>S33/'Сводная таблица'!B67</f>
        <v>71908.401826484012</v>
      </c>
      <c r="T34" s="125" t="s">
        <v>90</v>
      </c>
    </row>
    <row r="35">
      <c r="A35" s="121" t="s">
        <v>0</v>
      </c>
      <c r="B35" s="121" t="s">
        <v>50</v>
      </c>
      <c r="C35" s="121" t="s">
        <v>13</v>
      </c>
      <c r="D35" s="121" t="s">
        <v>11</v>
      </c>
      <c r="E35" s="121" t="s">
        <v>51</v>
      </c>
      <c r="F35" s="121" t="s">
        <v>52</v>
      </c>
      <c r="G35" s="121" t="s">
        <v>53</v>
      </c>
      <c r="H35" s="121" t="s">
        <v>54</v>
      </c>
      <c r="I35" s="121" t="s">
        <v>55</v>
      </c>
      <c r="J35" s="121" t="s">
        <v>61</v>
      </c>
      <c r="K35" s="121" t="s">
        <v>74</v>
      </c>
      <c r="L35" s="122"/>
      <c r="M35" s="122"/>
      <c r="N35" s="122"/>
      <c r="O35" s="122"/>
      <c r="P35" s="122"/>
      <c r="Q35" s="122"/>
      <c r="R35" s="122"/>
      <c r="S35" s="122"/>
      <c r="T35" s="116"/>
    </row>
    <row r="36">
      <c r="A36" s="103">
        <v>44652</v>
      </c>
      <c r="B36" s="14">
        <v>500000</v>
      </c>
      <c r="C36" s="14"/>
      <c r="D36" s="14"/>
      <c r="E36" s="14"/>
      <c r="F36" s="14"/>
      <c r="G36" s="14"/>
      <c r="H36" s="14"/>
      <c r="I36" s="14"/>
      <c r="J36" s="22"/>
      <c r="K36" s="22"/>
      <c r="L36" s="22"/>
      <c r="M36" s="22"/>
      <c r="N36" s="22"/>
      <c r="O36" s="22"/>
      <c r="P36" s="22"/>
      <c r="Q36" s="22"/>
      <c r="R36" s="22"/>
      <c r="S36" s="22"/>
      <c r="T36" s="116"/>
    </row>
    <row r="37">
      <c r="A37" s="103">
        <v>44653</v>
      </c>
      <c r="B37" s="5"/>
      <c r="C37" s="5"/>
      <c r="D37" s="5"/>
      <c r="E37" s="5"/>
      <c r="F37" s="5"/>
      <c r="G37" s="5"/>
      <c r="H37" s="5"/>
      <c r="I37" s="5"/>
      <c r="J37" s="5"/>
      <c r="K37" s="5"/>
      <c r="L37" s="5"/>
      <c r="M37" s="5"/>
      <c r="N37" s="5"/>
      <c r="O37" s="5"/>
      <c r="P37" s="5"/>
      <c r="Q37" s="5"/>
      <c r="R37" s="5"/>
      <c r="S37" s="5"/>
      <c r="T37" s="116"/>
    </row>
    <row r="38">
      <c r="A38" s="103">
        <v>44654</v>
      </c>
      <c r="B38" s="14"/>
      <c r="C38" s="14"/>
      <c r="D38" s="14"/>
      <c r="E38" s="14"/>
      <c r="F38" s="14"/>
      <c r="G38" s="14"/>
      <c r="H38" s="14"/>
      <c r="I38" s="14"/>
      <c r="J38" s="22"/>
      <c r="K38" s="22"/>
      <c r="L38" s="22"/>
      <c r="M38" s="22"/>
      <c r="N38" s="22"/>
      <c r="O38" s="22"/>
      <c r="P38" s="22"/>
      <c r="Q38" s="22"/>
      <c r="R38" s="22"/>
      <c r="S38" s="22"/>
      <c r="T38" s="116"/>
    </row>
    <row r="39">
      <c r="A39" s="103">
        <v>44655</v>
      </c>
      <c r="B39" s="5"/>
      <c r="C39" s="5"/>
      <c r="D39" s="5">
        <f>(2000+3000)*'Сводная таблица'!B84</f>
        <v>21900</v>
      </c>
      <c r="E39" s="71"/>
      <c r="F39" s="5"/>
      <c r="G39" s="5"/>
      <c r="H39" s="5"/>
      <c r="I39" s="5">
        <f>(110-99)*'Сводная таблица'!B84</f>
        <v>48.18</v>
      </c>
      <c r="J39" s="5"/>
      <c r="K39" s="5"/>
      <c r="L39" s="5"/>
      <c r="M39" s="5"/>
      <c r="N39" s="5"/>
      <c r="O39" s="5"/>
      <c r="P39" s="5"/>
      <c r="Q39" s="5"/>
      <c r="R39" s="5"/>
      <c r="S39" s="5"/>
      <c r="T39" s="116"/>
    </row>
    <row r="40">
      <c r="A40" s="103">
        <v>44656</v>
      </c>
      <c r="B40" s="14"/>
      <c r="C40" s="14"/>
      <c r="D40" s="14"/>
      <c r="E40" s="14"/>
      <c r="F40" s="14"/>
      <c r="G40" s="14"/>
      <c r="H40" s="14"/>
      <c r="I40" s="14"/>
      <c r="J40" s="14"/>
      <c r="K40" s="14"/>
      <c r="L40" s="14"/>
      <c r="M40" s="14"/>
      <c r="N40" s="14"/>
      <c r="O40" s="14"/>
      <c r="P40" s="14"/>
      <c r="Q40" s="14"/>
      <c r="R40" s="14"/>
      <c r="S40" s="14"/>
      <c r="T40" s="116"/>
    </row>
    <row r="41">
      <c r="A41" s="103">
        <v>44657</v>
      </c>
      <c r="B41" s="5"/>
      <c r="C41" s="5"/>
      <c r="D41" s="5"/>
      <c r="E41" s="5">
        <f>41.86*'Сводная таблица'!B84</f>
        <v>183.3468</v>
      </c>
      <c r="F41" s="5"/>
      <c r="G41" s="5"/>
      <c r="H41" s="5">
        <f>200+(467*'Сводная таблица'!B84)</f>
        <v>2245.46</v>
      </c>
      <c r="I41" s="5"/>
      <c r="J41" s="5"/>
      <c r="K41" s="5"/>
      <c r="L41" s="5"/>
      <c r="M41" s="5"/>
      <c r="N41" s="5"/>
      <c r="O41" s="5"/>
      <c r="P41" s="5"/>
      <c r="Q41" s="5"/>
      <c r="R41" s="5"/>
      <c r="S41" s="5"/>
      <c r="T41" s="116"/>
    </row>
    <row r="42">
      <c r="A42" s="103">
        <v>44658</v>
      </c>
      <c r="B42" s="14"/>
      <c r="C42" s="14"/>
      <c r="D42" s="14"/>
      <c r="E42" s="14"/>
      <c r="F42" s="14"/>
      <c r="G42" s="14"/>
      <c r="H42" s="14">
        <f>1500*'Сводная таблица'!B84</f>
        <v>6570</v>
      </c>
      <c r="I42" s="14"/>
      <c r="J42" s="14"/>
      <c r="K42" s="14"/>
      <c r="L42" s="14"/>
      <c r="M42" s="14"/>
      <c r="N42" s="14"/>
      <c r="O42" s="14"/>
      <c r="P42" s="14"/>
      <c r="Q42" s="14"/>
      <c r="R42" s="14"/>
      <c r="S42" s="14"/>
      <c r="T42" s="116"/>
    </row>
    <row r="43">
      <c r="A43" s="103">
        <v>44659</v>
      </c>
      <c r="B43" s="5"/>
      <c r="C43" s="5"/>
      <c r="D43" s="5"/>
      <c r="E43" s="5"/>
      <c r="F43" s="5"/>
      <c r="G43" s="5"/>
      <c r="H43" s="5">
        <v>9340</v>
      </c>
      <c r="I43" s="5"/>
      <c r="J43" s="5"/>
      <c r="K43" s="5"/>
      <c r="L43" s="5"/>
      <c r="M43" s="5"/>
      <c r="N43" s="5"/>
      <c r="O43" s="5"/>
      <c r="P43" s="5"/>
      <c r="Q43" s="5"/>
      <c r="R43" s="5"/>
      <c r="S43" s="5"/>
      <c r="T43" s="116"/>
    </row>
    <row r="44">
      <c r="A44" s="103">
        <v>44660</v>
      </c>
      <c r="B44" s="79"/>
      <c r="C44" s="14"/>
      <c r="D44" s="14"/>
      <c r="E44" s="14"/>
      <c r="F44" s="14"/>
      <c r="G44" s="14"/>
      <c r="H44" s="14"/>
      <c r="I44" s="14"/>
      <c r="J44" s="14"/>
      <c r="K44" s="14"/>
      <c r="L44" s="14"/>
      <c r="M44" s="14"/>
      <c r="N44" s="14"/>
      <c r="O44" s="14"/>
      <c r="P44" s="14"/>
      <c r="Q44" s="14"/>
      <c r="R44" s="14"/>
      <c r="S44" s="14"/>
      <c r="T44" s="116"/>
    </row>
    <row r="45">
      <c r="A45" s="103">
        <v>44661</v>
      </c>
      <c r="B45" s="5"/>
      <c r="C45" s="5"/>
      <c r="D45" s="5"/>
      <c r="E45" s="5"/>
      <c r="F45" s="5"/>
      <c r="G45" s="5"/>
      <c r="H45" s="5"/>
      <c r="I45" s="5"/>
      <c r="J45" s="5"/>
      <c r="K45" s="5"/>
      <c r="L45" s="5"/>
      <c r="M45" s="5"/>
      <c r="N45" s="5"/>
      <c r="O45" s="5"/>
      <c r="P45" s="5"/>
      <c r="Q45" s="5"/>
      <c r="R45" s="5"/>
      <c r="S45" s="5"/>
      <c r="T45" s="116"/>
    </row>
    <row r="46">
      <c r="A46" s="103">
        <v>44662</v>
      </c>
      <c r="B46" s="14"/>
      <c r="C46" s="14"/>
      <c r="D46" s="14"/>
      <c r="E46" s="14"/>
      <c r="F46" s="14"/>
      <c r="G46" s="14"/>
      <c r="H46" s="14"/>
      <c r="I46" s="14"/>
      <c r="J46" s="14"/>
      <c r="K46" s="14"/>
      <c r="L46" s="14"/>
      <c r="M46" s="14"/>
      <c r="N46" s="14"/>
      <c r="O46" s="14"/>
      <c r="P46" s="14"/>
      <c r="Q46" s="14"/>
      <c r="R46" s="14"/>
      <c r="S46" s="14"/>
      <c r="T46" s="116"/>
    </row>
    <row r="47">
      <c r="A47" s="103">
        <v>44663</v>
      </c>
      <c r="B47" s="5"/>
      <c r="C47" s="5"/>
      <c r="D47" s="5"/>
      <c r="E47" s="5"/>
      <c r="F47" s="5"/>
      <c r="G47" s="5"/>
      <c r="H47" s="5"/>
      <c r="I47" s="5"/>
      <c r="J47" s="5"/>
      <c r="K47" s="5"/>
      <c r="L47" s="5"/>
      <c r="M47" s="5"/>
      <c r="N47" s="5"/>
      <c r="O47" s="5"/>
      <c r="P47" s="5"/>
      <c r="Q47" s="5"/>
      <c r="R47" s="5"/>
      <c r="S47" s="5"/>
      <c r="T47" s="116"/>
    </row>
    <row r="48">
      <c r="A48" s="103">
        <v>44664</v>
      </c>
      <c r="B48" s="14"/>
      <c r="C48" s="14"/>
      <c r="D48" s="14"/>
      <c r="E48" s="14"/>
      <c r="F48" s="14"/>
      <c r="G48" s="14"/>
      <c r="H48" s="14"/>
      <c r="I48" s="14"/>
      <c r="J48" s="14"/>
      <c r="K48" s="14"/>
      <c r="L48" s="14"/>
      <c r="M48" s="14"/>
      <c r="N48" s="14"/>
      <c r="O48" s="14"/>
      <c r="P48" s="14"/>
      <c r="Q48" s="14"/>
      <c r="R48" s="14"/>
      <c r="S48" s="14"/>
      <c r="T48" s="116"/>
    </row>
    <row r="49">
      <c r="A49" s="103">
        <v>44665</v>
      </c>
      <c r="B49" s="5"/>
      <c r="C49" s="5"/>
      <c r="D49" s="5"/>
      <c r="E49" s="5"/>
      <c r="F49" s="5"/>
      <c r="G49" s="5"/>
      <c r="H49" s="5">
        <f>5000*'Сводная таблица'!B84</f>
        <v>21900</v>
      </c>
      <c r="I49" s="5"/>
      <c r="J49" s="5"/>
      <c r="K49" s="5"/>
      <c r="L49" s="5"/>
      <c r="M49" s="5"/>
      <c r="N49" s="5"/>
      <c r="O49" s="5"/>
      <c r="P49" s="5"/>
      <c r="Q49" s="5"/>
      <c r="R49" s="5"/>
      <c r="S49" s="5"/>
      <c r="T49" s="116"/>
    </row>
    <row r="50">
      <c r="A50" s="103">
        <v>44666</v>
      </c>
      <c r="B50" s="14"/>
      <c r="C50" s="14"/>
      <c r="D50" s="14"/>
      <c r="E50" s="14"/>
      <c r="F50" s="14"/>
      <c r="G50" s="14"/>
      <c r="H50" s="14">
        <f>3000*'Сводная таблица'!B84</f>
        <v>13140</v>
      </c>
      <c r="I50" s="14"/>
      <c r="J50" s="14"/>
      <c r="K50" s="14"/>
      <c r="L50" s="14"/>
      <c r="M50" s="14"/>
      <c r="N50" s="14"/>
      <c r="O50" s="14"/>
      <c r="P50" s="14"/>
      <c r="Q50" s="14"/>
      <c r="R50" s="14"/>
      <c r="S50" s="14"/>
      <c r="T50" s="116"/>
    </row>
    <row r="51">
      <c r="A51" s="103">
        <v>44667</v>
      </c>
      <c r="B51" s="5"/>
      <c r="C51" s="5"/>
      <c r="D51" s="5"/>
      <c r="E51" s="5"/>
      <c r="F51" s="5"/>
      <c r="G51" s="5"/>
      <c r="H51" s="5"/>
      <c r="I51" s="5"/>
      <c r="J51" s="5"/>
      <c r="K51" s="5"/>
      <c r="L51" s="5"/>
      <c r="M51" s="5"/>
      <c r="N51" s="5"/>
      <c r="O51" s="5"/>
      <c r="P51" s="5"/>
      <c r="Q51" s="5"/>
      <c r="R51" s="5"/>
      <c r="S51" s="5"/>
      <c r="T51" s="116"/>
    </row>
    <row r="52">
      <c r="A52" s="103">
        <v>44668</v>
      </c>
      <c r="B52" s="14"/>
      <c r="C52" s="14"/>
      <c r="D52" s="14"/>
      <c r="E52" s="14"/>
      <c r="F52" s="14"/>
      <c r="G52" s="14"/>
      <c r="H52" s="14"/>
      <c r="I52" s="14">
        <f>225*'Сводная таблица'!B84</f>
        <v>985.5</v>
      </c>
      <c r="J52" s="14"/>
      <c r="K52" s="14"/>
      <c r="L52" s="14"/>
      <c r="M52" s="14"/>
      <c r="N52" s="14"/>
      <c r="O52" s="14"/>
      <c r="P52" s="14"/>
      <c r="Q52" s="14"/>
      <c r="R52" s="14"/>
      <c r="S52" s="14"/>
      <c r="T52" s="116"/>
    </row>
    <row r="53">
      <c r="A53" s="103">
        <v>44669</v>
      </c>
      <c r="B53" s="5"/>
      <c r="C53" s="5"/>
      <c r="D53" s="5"/>
      <c r="E53" s="5"/>
      <c r="F53" s="5"/>
      <c r="G53" s="5"/>
      <c r="H53" s="5"/>
      <c r="I53" s="5"/>
      <c r="J53" s="5"/>
      <c r="K53" s="5"/>
      <c r="L53" s="5"/>
      <c r="M53" s="5"/>
      <c r="N53" s="5"/>
      <c r="O53" s="5"/>
      <c r="P53" s="5"/>
      <c r="Q53" s="5"/>
      <c r="R53" s="5"/>
      <c r="S53" s="5"/>
      <c r="T53" s="116"/>
    </row>
    <row r="54">
      <c r="A54" s="103">
        <v>44670</v>
      </c>
      <c r="B54" s="14"/>
      <c r="C54" s="14"/>
      <c r="D54" s="14"/>
      <c r="E54" s="14"/>
      <c r="F54" s="14"/>
      <c r="G54" s="14"/>
      <c r="H54" s="14"/>
      <c r="I54" s="14"/>
      <c r="J54" s="14"/>
      <c r="K54" s="14"/>
      <c r="L54" s="14"/>
      <c r="M54" s="14"/>
      <c r="N54" s="14"/>
      <c r="O54" s="14"/>
      <c r="P54" s="14"/>
      <c r="Q54" s="14"/>
      <c r="R54" s="14"/>
      <c r="S54" s="14"/>
      <c r="T54" s="116"/>
    </row>
    <row r="55">
      <c r="A55" s="103">
        <v>44671</v>
      </c>
      <c r="B55" s="5">
        <v>250000</v>
      </c>
      <c r="C55" s="5"/>
      <c r="D55" s="5"/>
      <c r="E55" s="5"/>
      <c r="F55" s="5"/>
      <c r="G55" s="5"/>
      <c r="H55" s="5"/>
      <c r="I55" s="5"/>
      <c r="J55" s="5"/>
      <c r="K55" s="5"/>
      <c r="L55" s="5"/>
      <c r="M55" s="5"/>
      <c r="N55" s="5"/>
      <c r="O55" s="5"/>
      <c r="P55" s="5"/>
      <c r="Q55" s="5"/>
      <c r="R55" s="5"/>
      <c r="S55" s="5"/>
      <c r="T55" s="116"/>
    </row>
    <row r="56">
      <c r="A56" s="103">
        <v>44672</v>
      </c>
      <c r="B56" s="14"/>
      <c r="C56" s="14"/>
      <c r="D56" s="14"/>
      <c r="E56" s="14"/>
      <c r="F56" s="14"/>
      <c r="G56" s="14"/>
      <c r="H56" s="14"/>
      <c r="I56" s="14"/>
      <c r="J56" s="14"/>
      <c r="K56" s="14"/>
      <c r="L56" s="14"/>
      <c r="M56" s="14"/>
      <c r="N56" s="14"/>
      <c r="O56" s="14"/>
      <c r="P56" s="14"/>
      <c r="Q56" s="14"/>
      <c r="R56" s="14"/>
      <c r="S56" s="14"/>
      <c r="T56" s="116"/>
    </row>
    <row r="57">
      <c r="A57" s="103">
        <v>44673</v>
      </c>
      <c r="B57" s="5"/>
      <c r="C57" s="5"/>
      <c r="D57" s="5"/>
      <c r="E57" s="5"/>
      <c r="F57" s="5"/>
      <c r="G57" s="5"/>
      <c r="H57" s="5"/>
      <c r="I57" s="5"/>
      <c r="J57" s="5"/>
      <c r="K57" s="5"/>
      <c r="L57" s="5"/>
      <c r="M57" s="5"/>
      <c r="N57" s="5"/>
      <c r="O57" s="5"/>
      <c r="P57" s="5"/>
      <c r="Q57" s="5"/>
      <c r="R57" s="5"/>
      <c r="S57" s="5"/>
      <c r="T57" s="116"/>
    </row>
    <row r="58">
      <c r="A58" s="103">
        <v>44674</v>
      </c>
      <c r="B58" s="14"/>
      <c r="C58" s="14"/>
      <c r="D58" s="14"/>
      <c r="E58" s="14"/>
      <c r="F58" s="14"/>
      <c r="G58" s="14"/>
      <c r="H58" s="14"/>
      <c r="I58" s="14"/>
      <c r="J58" s="14"/>
      <c r="K58" s="14"/>
      <c r="L58" s="14"/>
      <c r="M58" s="14"/>
      <c r="N58" s="14"/>
      <c r="O58" s="14"/>
      <c r="P58" s="14"/>
      <c r="Q58" s="14"/>
      <c r="R58" s="14"/>
      <c r="S58" s="14"/>
      <c r="T58" s="116"/>
    </row>
    <row r="59">
      <c r="A59" s="103">
        <v>44675</v>
      </c>
      <c r="B59" s="5"/>
      <c r="C59" s="5"/>
      <c r="D59" s="5"/>
      <c r="E59" s="5"/>
      <c r="F59" s="5"/>
      <c r="G59" s="5"/>
      <c r="H59" s="5"/>
      <c r="I59" s="5"/>
      <c r="J59" s="5"/>
      <c r="K59" s="5"/>
      <c r="L59" s="5"/>
      <c r="M59" s="5"/>
      <c r="N59" s="5"/>
      <c r="O59" s="5"/>
      <c r="P59" s="5"/>
      <c r="Q59" s="5"/>
      <c r="R59" s="5"/>
      <c r="S59" s="5"/>
      <c r="T59" s="116"/>
    </row>
    <row r="60">
      <c r="A60" s="103">
        <v>44676</v>
      </c>
      <c r="B60" s="14"/>
      <c r="C60" s="14"/>
      <c r="D60" s="14"/>
      <c r="E60" s="14"/>
      <c r="F60" s="14"/>
      <c r="G60" s="14"/>
      <c r="H60" s="14"/>
      <c r="I60" s="14"/>
      <c r="J60" s="14"/>
      <c r="K60" s="14"/>
      <c r="L60" s="14"/>
      <c r="M60" s="14"/>
      <c r="N60" s="14"/>
      <c r="O60" s="14"/>
      <c r="P60" s="14"/>
      <c r="Q60" s="14"/>
      <c r="R60" s="14"/>
      <c r="S60" s="14"/>
      <c r="T60" s="116"/>
    </row>
    <row r="61">
      <c r="A61" s="103">
        <v>44677</v>
      </c>
      <c r="B61" s="5"/>
      <c r="C61" s="5"/>
      <c r="D61" s="5"/>
      <c r="E61" s="5"/>
      <c r="F61" s="5"/>
      <c r="G61" s="5"/>
      <c r="H61" s="5"/>
      <c r="I61" s="5"/>
      <c r="J61" s="5"/>
      <c r="K61" s="5"/>
      <c r="L61" s="5"/>
      <c r="M61" s="5"/>
      <c r="N61" s="5"/>
      <c r="O61" s="5"/>
      <c r="P61" s="5"/>
      <c r="Q61" s="5"/>
      <c r="R61" s="5"/>
      <c r="S61" s="5"/>
      <c r="T61" s="116"/>
    </row>
    <row r="62">
      <c r="A62" s="103">
        <v>44678</v>
      </c>
      <c r="B62" s="14"/>
      <c r="C62" s="14"/>
      <c r="D62" s="14"/>
      <c r="E62" s="14"/>
      <c r="F62" s="14"/>
      <c r="G62" s="14"/>
      <c r="H62" s="14"/>
      <c r="I62" s="14"/>
      <c r="J62" s="14"/>
      <c r="K62" s="14"/>
      <c r="L62" s="14"/>
      <c r="M62" s="14"/>
      <c r="N62" s="14"/>
      <c r="O62" s="14"/>
      <c r="P62" s="14"/>
      <c r="Q62" s="14"/>
      <c r="R62" s="14"/>
      <c r="S62" s="14"/>
      <c r="T62" s="116"/>
    </row>
    <row r="63">
      <c r="A63" s="103">
        <v>44679</v>
      </c>
      <c r="B63" s="5"/>
      <c r="C63" s="5"/>
      <c r="D63" s="5"/>
      <c r="E63" s="5"/>
      <c r="F63" s="5"/>
      <c r="G63" s="5"/>
      <c r="H63" s="5"/>
      <c r="I63" s="5"/>
      <c r="J63" s="5"/>
      <c r="K63" s="5"/>
      <c r="L63" s="5"/>
      <c r="M63" s="5"/>
      <c r="N63" s="5"/>
      <c r="O63" s="5"/>
      <c r="P63" s="5"/>
      <c r="Q63" s="5"/>
      <c r="R63" s="48"/>
      <c r="S63" s="5"/>
      <c r="T63" s="116"/>
    </row>
    <row r="64">
      <c r="A64" s="103">
        <v>44680</v>
      </c>
      <c r="B64" s="22"/>
      <c r="C64" s="22"/>
      <c r="D64" s="22"/>
      <c r="E64" s="22"/>
      <c r="F64" s="22"/>
      <c r="G64" s="22"/>
      <c r="H64" s="22"/>
      <c r="I64" s="22"/>
      <c r="J64" s="14"/>
      <c r="K64" s="14"/>
      <c r="L64" s="14"/>
      <c r="M64" s="14"/>
      <c r="N64" s="14"/>
      <c r="O64" s="14"/>
      <c r="P64" s="14"/>
      <c r="Q64" s="14"/>
      <c r="R64" s="80"/>
      <c r="S64" s="14"/>
      <c r="T64" s="116"/>
    </row>
    <row r="65">
      <c r="A65" s="103">
        <v>44681</v>
      </c>
      <c r="B65" s="5"/>
      <c r="C65" s="5"/>
      <c r="D65" s="5"/>
      <c r="E65" s="5">
        <f>256.06*'Сводная таблица'!B84</f>
        <v>1121.5427999999999</v>
      </c>
      <c r="F65" s="5"/>
      <c r="G65" s="5"/>
      <c r="H65" s="5"/>
      <c r="I65" s="5"/>
      <c r="J65" s="5"/>
      <c r="K65" s="5"/>
      <c r="L65" s="5"/>
      <c r="M65" s="5"/>
      <c r="N65" s="5"/>
      <c r="O65" s="5"/>
      <c r="P65" s="5"/>
      <c r="Q65" s="5"/>
      <c r="R65" s="48"/>
      <c r="S65" s="5"/>
      <c r="T65" s="116"/>
    </row>
    <row r="66">
      <c r="A66" s="103"/>
      <c r="B66" s="22"/>
      <c r="C66" s="22"/>
      <c r="D66" s="22"/>
      <c r="E66" s="22"/>
      <c r="F66" s="22"/>
      <c r="G66" s="22"/>
      <c r="H66" s="22"/>
      <c r="I66" s="22"/>
      <c r="J66" s="14"/>
      <c r="K66" s="14"/>
      <c r="L66" s="14"/>
      <c r="M66" s="14"/>
      <c r="N66" s="14"/>
      <c r="O66" s="14"/>
      <c r="P66" s="14"/>
      <c r="Q66" s="14"/>
      <c r="R66" s="80"/>
      <c r="S66" s="14"/>
      <c r="T66" s="116"/>
    </row>
    <row r="67">
      <c r="A67" s="113" t="s">
        <v>87</v>
      </c>
      <c r="B67" s="113">
        <f>SUM(B36:B66)</f>
        <v>750000</v>
      </c>
      <c r="C67" s="113">
        <f>SUM(C36:C66)</f>
        <v>0</v>
      </c>
      <c r="D67" s="113">
        <f>SUM(D36:D66)</f>
        <v>21900</v>
      </c>
      <c r="E67" s="113">
        <f>SUM(E36:E66)</f>
        <v>1304.8896</v>
      </c>
      <c r="F67" s="113">
        <f>SUM(F36:F66)</f>
        <v>0</v>
      </c>
      <c r="G67" s="113">
        <f>SUM(G36:G66)</f>
        <v>0</v>
      </c>
      <c r="H67" s="113">
        <f>SUM(H36:H66)</f>
        <v>53195.459999999999</v>
      </c>
      <c r="I67" s="113">
        <f>SUM(I36:I66)</f>
        <v>1033.6800000000001</v>
      </c>
      <c r="J67" s="113">
        <f>SUM(J36:J66)</f>
        <v>0</v>
      </c>
      <c r="K67" s="113">
        <f>SUM(K36:K66)</f>
        <v>0</v>
      </c>
      <c r="L67" s="113">
        <f>SUM(L36:L66)</f>
        <v>0</v>
      </c>
      <c r="M67" s="113">
        <f>SUM(M36:M66)</f>
        <v>0</v>
      </c>
      <c r="N67" s="113">
        <f>SUM(N36:N66)</f>
        <v>0</v>
      </c>
      <c r="O67" s="113">
        <f>SUM(O36:O66)</f>
        <v>0</v>
      </c>
      <c r="P67" s="113">
        <f>SUM(P36:P66)</f>
        <v>0</v>
      </c>
      <c r="Q67" s="113">
        <f>SUM(Q36:Q66)</f>
        <v>0</v>
      </c>
      <c r="R67" s="113">
        <f>SUM(R36:R66)</f>
        <v>0</v>
      </c>
      <c r="S67" s="113">
        <f>SUM(B67:R67)</f>
        <v>827434.02960000001</v>
      </c>
      <c r="T67" s="124" t="s">
        <v>88</v>
      </c>
    </row>
    <row r="68">
      <c r="A68" s="108" t="s">
        <v>89</v>
      </c>
      <c r="B68" s="110">
        <f>B67/'Сводная таблица'!B84</f>
        <v>171232.87671232878</v>
      </c>
      <c r="C68" s="110"/>
      <c r="D68" s="110">
        <f>D67/'Сводная таблица'!B84</f>
        <v>5000</v>
      </c>
      <c r="E68" s="110">
        <f>E67/'Сводная таблица'!B67</f>
        <v>297.92000000000002</v>
      </c>
      <c r="F68" s="110"/>
      <c r="G68" s="110"/>
      <c r="H68" s="110">
        <f>H67/'Сводная таблица'!B67</f>
        <v>12145.082191780823</v>
      </c>
      <c r="I68" s="110">
        <f>I67/'Сводная таблица'!B67</f>
        <v>236.00000000000003</v>
      </c>
      <c r="J68" s="110"/>
      <c r="K68" s="110"/>
      <c r="L68" s="110"/>
      <c r="M68" s="110"/>
      <c r="N68" s="110"/>
      <c r="O68" s="110"/>
      <c r="P68" s="110"/>
      <c r="Q68" s="110"/>
      <c r="R68" s="110"/>
      <c r="S68" s="110">
        <f>S67/'Сводная таблица'!B84</f>
        <v>188911.87890410959</v>
      </c>
      <c r="T68" s="125" t="s">
        <v>90</v>
      </c>
    </row>
    <row r="69">
      <c r="A69" s="123" t="s">
        <v>67</v>
      </c>
      <c r="B69" s="123"/>
      <c r="C69" s="123"/>
      <c r="D69" s="123"/>
      <c r="E69" s="123"/>
      <c r="F69" s="123"/>
      <c r="G69" s="123"/>
      <c r="H69" s="123"/>
      <c r="I69" s="123"/>
      <c r="J69" s="123"/>
      <c r="K69" s="123"/>
      <c r="L69" s="123"/>
      <c r="M69" s="123"/>
      <c r="N69" s="123"/>
      <c r="O69" s="123"/>
      <c r="P69" s="123"/>
      <c r="Q69" s="123"/>
      <c r="R69" s="123"/>
      <c r="S69" s="123"/>
      <c r="T69" s="116"/>
    </row>
    <row r="70">
      <c r="A70" s="5" t="s">
        <v>68</v>
      </c>
      <c r="B70" s="118">
        <f>21000-344+2039+(23000-23000)-344-344+8164.1-4600-3300+(3000-3000)+80000+2000+(5500-5500)+(5650-5100)+1000+300+300+11814.99+10000</f>
        <v>128236.09000000001</v>
      </c>
      <c r="C70" s="5"/>
      <c r="D70" s="5"/>
      <c r="E70" s="5"/>
      <c r="F70" s="5"/>
      <c r="G70" s="5"/>
      <c r="H70" s="5"/>
      <c r="I70" s="5"/>
      <c r="J70" s="5"/>
      <c r="K70" s="5"/>
      <c r="L70" s="5"/>
      <c r="M70" s="5"/>
      <c r="N70" s="5"/>
      <c r="O70" s="5"/>
      <c r="P70" s="5"/>
      <c r="Q70" s="5"/>
      <c r="R70" s="5"/>
      <c r="S70" s="5"/>
      <c r="T70" s="116"/>
    </row>
    <row r="71">
      <c r="A71" s="5" t="s">
        <v>76</v>
      </c>
      <c r="B71" s="5">
        <f>3000+1000+1200+1300+1500</f>
        <v>8000</v>
      </c>
      <c r="C71" s="5"/>
      <c r="D71" s="5"/>
      <c r="E71" s="5"/>
      <c r="F71" s="5"/>
      <c r="G71" s="5"/>
      <c r="H71" s="5"/>
      <c r="I71" s="5"/>
      <c r="J71" s="5"/>
      <c r="K71" s="5"/>
      <c r="L71" s="5"/>
      <c r="M71" s="5"/>
      <c r="N71" s="5"/>
      <c r="O71" s="5"/>
      <c r="P71" s="5"/>
      <c r="Q71" s="5"/>
      <c r="R71" s="5"/>
      <c r="S71" s="5"/>
      <c r="T71" s="1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4" percent="1" timePeriod="today" id="{00060063-00B1-497D-87AC-0021006A0050}">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3" percent="1" timePeriod="today" id="{00E000AF-00F6-494B-9A44-00DA006F0095}">
            <x14:dxf>
              <font>
                <color rgb="FF006100"/>
              </font>
              <fill>
                <patternFill patternType="solid">
                  <fgColor rgb="FFC6EFCE"/>
                  <bgColor rgb="FFC6EFCE"/>
                </patternFill>
              </fill>
            </x14:dxf>
          </x14:cfRule>
          <xm:sqref>A36 A66 A37 A38 A39 A40 A41 A42 A43 A44 A45 A46 A47 A48 A49 A50 A51 A52 A53 A54 A55 A56 A57 A58 A59 A60 A61 A62 A63 A64 A65</xm:sqref>
        </x14:conditionalFormatting>
        <x14:conditionalFormatting xmlns:xm="http://schemas.microsoft.com/office/excel/2006/main">
          <x14:cfRule type="timePeriod" priority="2" percent="1" timePeriod="today" id="{00210087-00BA-483F-AFFA-002D001200BD}">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0D001A-00D8-48BD-B65B-00620044007C}">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s>
    </ext>
  </extLst>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RowHeight="14.25"/>
  <cols>
    <col customWidth="1" min="1" max="1" width="11.2812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16"/>
    </row>
    <row r="2">
      <c r="A2" s="103">
        <v>44682</v>
      </c>
      <c r="B2" s="14"/>
      <c r="C2" s="14">
        <f>7510+320</f>
        <v>7830</v>
      </c>
      <c r="D2" s="14"/>
      <c r="E2" s="14"/>
      <c r="F2" s="14"/>
      <c r="G2" s="14"/>
      <c r="H2" s="14"/>
      <c r="I2" s="14"/>
      <c r="J2" s="14"/>
      <c r="K2" s="14"/>
      <c r="L2" s="14">
        <f>7000-3500</f>
        <v>3500</v>
      </c>
      <c r="M2" s="14"/>
      <c r="N2" s="14"/>
      <c r="O2" s="14"/>
      <c r="P2" s="14"/>
      <c r="Q2" s="14"/>
      <c r="R2" s="14"/>
      <c r="S2" s="14"/>
      <c r="T2" s="116"/>
    </row>
    <row r="3">
      <c r="A3" s="103">
        <v>44683</v>
      </c>
      <c r="B3" s="5">
        <v>100</v>
      </c>
      <c r="C3" s="5"/>
      <c r="D3" s="5"/>
      <c r="E3" s="5"/>
      <c r="F3" s="5"/>
      <c r="G3" s="5"/>
      <c r="H3" s="5"/>
      <c r="I3" s="5"/>
      <c r="J3" s="5"/>
      <c r="K3" s="5"/>
      <c r="L3" s="5"/>
      <c r="M3" s="5"/>
      <c r="N3" s="5"/>
      <c r="O3" s="5"/>
      <c r="P3" s="5"/>
      <c r="Q3" s="5"/>
      <c r="R3" s="5"/>
      <c r="S3" s="5"/>
      <c r="T3" s="116"/>
    </row>
    <row r="4">
      <c r="A4" s="103">
        <v>44684</v>
      </c>
      <c r="B4" s="14">
        <v>0</v>
      </c>
      <c r="C4" s="14"/>
      <c r="D4" s="14"/>
      <c r="E4" s="14">
        <v>1450</v>
      </c>
      <c r="F4" s="14"/>
      <c r="G4" s="14"/>
      <c r="H4" s="14"/>
      <c r="I4" s="14"/>
      <c r="J4" s="14"/>
      <c r="K4" s="14"/>
      <c r="L4" s="14"/>
      <c r="M4" s="14"/>
      <c r="N4" s="14">
        <v>2900</v>
      </c>
      <c r="O4" s="14"/>
      <c r="P4" s="14"/>
      <c r="Q4" s="14"/>
      <c r="R4" s="14"/>
      <c r="S4" s="14"/>
      <c r="T4" s="116"/>
    </row>
    <row r="5">
      <c r="A5" s="103">
        <v>44685</v>
      </c>
      <c r="B5" s="5">
        <v>100</v>
      </c>
      <c r="C5" s="5"/>
      <c r="D5" s="5"/>
      <c r="E5" s="5">
        <v>1080</v>
      </c>
      <c r="F5" s="5"/>
      <c r="G5" s="5"/>
      <c r="H5" s="5"/>
      <c r="I5" s="5"/>
      <c r="J5" s="5"/>
      <c r="K5" s="5"/>
      <c r="L5" s="5"/>
      <c r="M5" s="5"/>
      <c r="N5" s="5"/>
      <c r="O5" s="5"/>
      <c r="P5" s="5"/>
      <c r="Q5" s="5"/>
      <c r="R5" s="5"/>
      <c r="S5" s="5"/>
      <c r="T5" s="116"/>
    </row>
    <row r="6">
      <c r="A6" s="103">
        <v>44686</v>
      </c>
      <c r="B6" s="14">
        <v>100</v>
      </c>
      <c r="C6" s="14"/>
      <c r="D6" s="14"/>
      <c r="E6" s="14"/>
      <c r="F6" s="14"/>
      <c r="G6" s="14"/>
      <c r="H6" s="14"/>
      <c r="I6" s="14"/>
      <c r="J6" s="14"/>
      <c r="K6" s="14"/>
      <c r="L6" s="14"/>
      <c r="M6" s="14"/>
      <c r="N6" s="14">
        <v>1952.8</v>
      </c>
      <c r="O6" s="14"/>
      <c r="P6" s="14"/>
      <c r="Q6" s="14"/>
      <c r="R6" s="14"/>
      <c r="S6" s="14"/>
      <c r="T6" s="116"/>
    </row>
    <row r="7">
      <c r="A7" s="103">
        <v>44687</v>
      </c>
      <c r="B7" s="5">
        <v>200</v>
      </c>
      <c r="C7" s="5">
        <v>1820</v>
      </c>
      <c r="D7" s="5"/>
      <c r="E7" s="5">
        <v>970</v>
      </c>
      <c r="F7" s="5"/>
      <c r="G7" s="5"/>
      <c r="H7" s="5"/>
      <c r="I7" s="5"/>
      <c r="J7" s="5"/>
      <c r="K7" s="5"/>
      <c r="L7" s="5"/>
      <c r="M7" s="5"/>
      <c r="N7" s="5"/>
      <c r="O7" s="5"/>
      <c r="P7" s="5"/>
      <c r="Q7" s="5"/>
      <c r="R7" s="5"/>
      <c r="S7" s="5"/>
      <c r="T7" s="116"/>
    </row>
    <row r="8">
      <c r="A8" s="103">
        <v>44688</v>
      </c>
      <c r="B8" s="14"/>
      <c r="C8" s="14">
        <v>4183</v>
      </c>
      <c r="D8" s="14"/>
      <c r="E8" s="14"/>
      <c r="F8" s="14"/>
      <c r="G8" s="14"/>
      <c r="H8" s="14"/>
      <c r="I8" s="14"/>
      <c r="J8" s="14"/>
      <c r="K8" s="14"/>
      <c r="L8" s="14"/>
      <c r="M8" s="14">
        <f>2435*'Сводная таблица'!B84</f>
        <v>10665.299999999999</v>
      </c>
      <c r="N8" s="14"/>
      <c r="O8" s="14"/>
      <c r="P8" s="14"/>
      <c r="Q8" s="14"/>
      <c r="R8" s="14"/>
      <c r="S8" s="14"/>
      <c r="T8" s="116"/>
    </row>
    <row r="9">
      <c r="A9" s="103">
        <v>44689</v>
      </c>
      <c r="B9" s="5"/>
      <c r="C9" s="5"/>
      <c r="D9" s="5"/>
      <c r="E9" s="5"/>
      <c r="F9" s="5"/>
      <c r="G9" s="5"/>
      <c r="H9" s="5"/>
      <c r="I9" s="5"/>
      <c r="J9" s="5"/>
      <c r="K9" s="5"/>
      <c r="L9" s="5"/>
      <c r="M9" s="5"/>
      <c r="N9" s="5"/>
      <c r="O9" s="5"/>
      <c r="P9" s="5"/>
      <c r="Q9" s="5"/>
      <c r="R9" s="5"/>
      <c r="S9" s="5"/>
      <c r="T9" s="116"/>
    </row>
    <row r="10">
      <c r="A10" s="103">
        <v>44690</v>
      </c>
      <c r="B10" s="14"/>
      <c r="C10" s="14">
        <v>650</v>
      </c>
      <c r="D10" s="14"/>
      <c r="E10" s="14"/>
      <c r="F10" s="14"/>
      <c r="G10" s="14"/>
      <c r="H10" s="14"/>
      <c r="I10" s="14"/>
      <c r="J10" s="14"/>
      <c r="K10" s="14"/>
      <c r="L10" s="14">
        <v>150000</v>
      </c>
      <c r="M10" s="14"/>
      <c r="N10" s="14"/>
      <c r="O10" s="14"/>
      <c r="P10" s="14"/>
      <c r="Q10" s="14"/>
      <c r="R10" s="14"/>
      <c r="S10" s="14"/>
      <c r="T10" s="116"/>
    </row>
    <row r="11">
      <c r="A11" s="103">
        <v>44691</v>
      </c>
      <c r="B11" s="5"/>
      <c r="C11" s="5"/>
      <c r="D11" s="5"/>
      <c r="E11" s="5"/>
      <c r="F11" s="5"/>
      <c r="G11" s="5"/>
      <c r="H11" s="5"/>
      <c r="I11" s="5"/>
      <c r="J11" s="5"/>
      <c r="K11" s="5"/>
      <c r="L11" s="5"/>
      <c r="M11" s="5"/>
      <c r="N11" s="5"/>
      <c r="O11" s="5"/>
      <c r="P11" s="5"/>
      <c r="Q11" s="5"/>
      <c r="R11" s="5"/>
      <c r="S11" s="5"/>
      <c r="T11" s="116"/>
    </row>
    <row r="12">
      <c r="A12" s="103">
        <v>44692</v>
      </c>
      <c r="B12" s="14">
        <v>0</v>
      </c>
      <c r="C12" s="14">
        <v>640</v>
      </c>
      <c r="D12" s="14"/>
      <c r="E12" s="14">
        <v>970</v>
      </c>
      <c r="F12" s="14"/>
      <c r="G12" s="14"/>
      <c r="H12" s="14"/>
      <c r="I12" s="14"/>
      <c r="J12" s="14"/>
      <c r="K12" s="14"/>
      <c r="L12" s="14">
        <f>(4310.7+2040-3176)+(1399.5-700)</f>
        <v>3874.1999999999998</v>
      </c>
      <c r="M12" s="14"/>
      <c r="N12" s="14"/>
      <c r="O12" s="14"/>
      <c r="P12" s="14"/>
      <c r="Q12" s="14"/>
      <c r="R12" s="14"/>
      <c r="S12" s="14"/>
      <c r="T12" s="116"/>
    </row>
    <row r="13">
      <c r="A13" s="103">
        <v>44693</v>
      </c>
      <c r="B13" s="5">
        <v>100</v>
      </c>
      <c r="C13" s="5"/>
      <c r="D13" s="5"/>
      <c r="E13" s="5"/>
      <c r="F13" s="5"/>
      <c r="G13" s="5"/>
      <c r="H13" s="5"/>
      <c r="I13" s="5"/>
      <c r="J13" s="5"/>
      <c r="K13" s="5"/>
      <c r="L13" s="5"/>
      <c r="M13" s="5"/>
      <c r="N13" s="5"/>
      <c r="O13" s="5"/>
      <c r="P13" s="5"/>
      <c r="Q13" s="5"/>
      <c r="R13" s="5"/>
      <c r="S13" s="5"/>
      <c r="T13" s="116"/>
    </row>
    <row r="14">
      <c r="A14" s="103">
        <v>44694</v>
      </c>
      <c r="B14" s="14">
        <v>200</v>
      </c>
      <c r="C14" s="14">
        <v>1730</v>
      </c>
      <c r="D14" s="14"/>
      <c r="E14" s="14">
        <v>1450</v>
      </c>
      <c r="F14" s="14"/>
      <c r="G14" s="14"/>
      <c r="H14" s="14"/>
      <c r="I14" s="14"/>
      <c r="J14" s="14"/>
      <c r="K14" s="14"/>
      <c r="L14" s="14"/>
      <c r="M14" s="14"/>
      <c r="N14" s="14"/>
      <c r="O14" s="14"/>
      <c r="P14" s="14"/>
      <c r="Q14" s="14"/>
      <c r="R14" s="14"/>
      <c r="S14" s="14"/>
      <c r="T14" s="116"/>
    </row>
    <row r="15">
      <c r="A15" s="103">
        <v>44695</v>
      </c>
      <c r="B15" s="5"/>
      <c r="C15" s="5"/>
      <c r="D15" s="5"/>
      <c r="E15" s="5"/>
      <c r="F15" s="5"/>
      <c r="G15" s="5"/>
      <c r="H15" s="5"/>
      <c r="I15" s="5"/>
      <c r="J15" s="5"/>
      <c r="K15" s="5"/>
      <c r="L15" s="5"/>
      <c r="M15" s="5"/>
      <c r="N15" s="5"/>
      <c r="O15" s="5"/>
      <c r="P15" s="5"/>
      <c r="Q15" s="5">
        <v>1000</v>
      </c>
      <c r="R15" s="5"/>
      <c r="S15" s="5"/>
      <c r="T15" s="116"/>
    </row>
    <row r="16">
      <c r="A16" s="103">
        <v>44696</v>
      </c>
      <c r="B16" s="14"/>
      <c r="C16" s="97"/>
      <c r="D16" s="14"/>
      <c r="E16" s="14">
        <v>6380</v>
      </c>
      <c r="F16" s="14"/>
      <c r="G16" s="14"/>
      <c r="H16" s="14"/>
      <c r="I16" s="14"/>
      <c r="J16" s="14"/>
      <c r="K16" s="14"/>
      <c r="L16" s="14"/>
      <c r="M16" s="14"/>
      <c r="N16" s="14"/>
      <c r="O16" s="14"/>
      <c r="P16" s="14"/>
      <c r="Q16" s="14"/>
      <c r="R16" s="14"/>
      <c r="S16" s="14"/>
      <c r="T16" s="116"/>
    </row>
    <row r="17">
      <c r="A17" s="103">
        <v>44697</v>
      </c>
      <c r="B17" s="5">
        <v>100</v>
      </c>
      <c r="C17" s="6">
        <v>2230</v>
      </c>
      <c r="D17" s="5"/>
      <c r="E17" s="5"/>
      <c r="F17" s="5"/>
      <c r="G17" s="5"/>
      <c r="H17" s="5"/>
      <c r="I17" s="5"/>
      <c r="J17" s="5"/>
      <c r="K17" s="5"/>
      <c r="L17" s="5"/>
      <c r="M17" s="5">
        <f>10000*'Сводная таблица'!B84</f>
        <v>43800</v>
      </c>
      <c r="N17" s="5"/>
      <c r="O17" s="5"/>
      <c r="P17" s="5"/>
      <c r="Q17" s="5"/>
      <c r="R17" s="5"/>
      <c r="S17" s="5"/>
      <c r="T17" s="116"/>
    </row>
    <row r="18">
      <c r="A18" s="103">
        <v>44698</v>
      </c>
      <c r="B18" s="14">
        <v>100</v>
      </c>
      <c r="C18" s="14"/>
      <c r="D18" s="14"/>
      <c r="E18" s="14"/>
      <c r="F18" s="14"/>
      <c r="G18" s="14"/>
      <c r="H18" s="14"/>
      <c r="I18" s="14"/>
      <c r="J18" s="14"/>
      <c r="K18" s="14"/>
      <c r="L18" s="14"/>
      <c r="M18" s="14">
        <f>1973*'Сводная таблица'!B84</f>
        <v>8641.7399999999998</v>
      </c>
      <c r="N18" s="14"/>
      <c r="O18" s="14"/>
      <c r="P18" s="14"/>
      <c r="Q18" s="14"/>
      <c r="R18" s="14"/>
      <c r="S18" s="14"/>
      <c r="T18" s="116"/>
    </row>
    <row r="19">
      <c r="A19" s="103">
        <v>44699</v>
      </c>
      <c r="B19" s="5">
        <v>100</v>
      </c>
      <c r="C19" s="5">
        <v>810</v>
      </c>
      <c r="D19" s="5"/>
      <c r="E19" s="5">
        <v>1065</v>
      </c>
      <c r="F19" s="5"/>
      <c r="G19" s="5"/>
      <c r="H19" s="5"/>
      <c r="I19" s="5"/>
      <c r="J19" s="5"/>
      <c r="K19" s="5"/>
      <c r="L19" s="5"/>
      <c r="M19" s="5"/>
      <c r="N19" s="5"/>
      <c r="O19" s="5"/>
      <c r="P19" s="5"/>
      <c r="Q19" s="5"/>
      <c r="R19" s="6"/>
      <c r="S19" s="5"/>
      <c r="T19" s="116"/>
    </row>
    <row r="20">
      <c r="A20" s="103">
        <v>44700</v>
      </c>
      <c r="B20" s="14">
        <v>100</v>
      </c>
      <c r="C20" s="14">
        <v>1030</v>
      </c>
      <c r="D20" s="14"/>
      <c r="E20" s="14">
        <v>880</v>
      </c>
      <c r="F20" s="14"/>
      <c r="G20" s="14"/>
      <c r="H20" s="14"/>
      <c r="I20" s="14"/>
      <c r="J20" s="14"/>
      <c r="K20" s="14"/>
      <c r="L20" s="14"/>
      <c r="M20" s="14"/>
      <c r="N20" s="14"/>
      <c r="O20" s="14"/>
      <c r="P20" s="34"/>
      <c r="Q20" s="14"/>
      <c r="R20" s="14"/>
      <c r="S20" s="14"/>
      <c r="T20" s="116"/>
    </row>
    <row r="21">
      <c r="A21" s="103">
        <v>44701</v>
      </c>
      <c r="B21" s="69"/>
      <c r="C21" s="6"/>
      <c r="D21" s="5"/>
      <c r="E21" s="5"/>
      <c r="F21" s="5"/>
      <c r="G21" s="5"/>
      <c r="H21" s="5"/>
      <c r="I21" s="5"/>
      <c r="J21" s="5"/>
      <c r="K21" s="5"/>
      <c r="L21" s="5"/>
      <c r="M21" s="5"/>
      <c r="N21" s="5"/>
      <c r="O21" s="5"/>
      <c r="P21" s="5"/>
      <c r="Q21" s="5"/>
      <c r="R21" s="5"/>
      <c r="S21" s="5"/>
      <c r="T21" s="116"/>
    </row>
    <row r="22">
      <c r="A22" s="103">
        <v>44702</v>
      </c>
      <c r="B22" s="22"/>
      <c r="C22" s="14"/>
      <c r="D22" s="14"/>
      <c r="E22" s="14"/>
      <c r="F22" s="14"/>
      <c r="G22" s="14"/>
      <c r="H22" s="14"/>
      <c r="I22" s="14"/>
      <c r="J22" s="14"/>
      <c r="K22" s="14"/>
      <c r="L22" s="14"/>
      <c r="M22" s="14"/>
      <c r="N22" s="14"/>
      <c r="O22" s="14"/>
      <c r="P22" s="14"/>
      <c r="Q22" s="14"/>
      <c r="R22" s="14"/>
      <c r="S22" s="14"/>
      <c r="T22" s="116"/>
    </row>
    <row r="23">
      <c r="A23" s="103">
        <v>44703</v>
      </c>
      <c r="B23" s="5">
        <v>100</v>
      </c>
      <c r="C23" s="5"/>
      <c r="D23" s="5"/>
      <c r="E23" s="5">
        <v>1390</v>
      </c>
      <c r="F23" s="5"/>
      <c r="G23" s="5"/>
      <c r="H23" s="5"/>
      <c r="I23" s="5"/>
      <c r="J23" s="5"/>
      <c r="K23" s="5"/>
      <c r="L23" s="5">
        <f>6194.2-4500</f>
        <v>1694.1999999999998</v>
      </c>
      <c r="M23" s="5"/>
      <c r="N23" s="5"/>
      <c r="O23" s="5"/>
      <c r="P23" s="5"/>
      <c r="Q23" s="5"/>
      <c r="R23" s="5"/>
      <c r="S23" s="5"/>
      <c r="T23" s="116"/>
    </row>
    <row r="24">
      <c r="A24" s="103">
        <v>44704</v>
      </c>
      <c r="B24" s="14">
        <v>100</v>
      </c>
      <c r="C24" s="14"/>
      <c r="D24" s="14"/>
      <c r="E24" s="14">
        <v>1400</v>
      </c>
      <c r="F24" s="14"/>
      <c r="G24" s="14"/>
      <c r="H24" s="14"/>
      <c r="I24" s="14"/>
      <c r="J24" s="14"/>
      <c r="K24" s="14"/>
      <c r="L24" s="14"/>
      <c r="M24" s="14"/>
      <c r="N24" s="14"/>
      <c r="O24" s="14"/>
      <c r="P24" s="14"/>
      <c r="Q24" s="14"/>
      <c r="R24" s="14"/>
      <c r="S24" s="14"/>
      <c r="T24" s="116"/>
    </row>
    <row r="25">
      <c r="A25" s="103">
        <v>44705</v>
      </c>
      <c r="B25" s="28">
        <v>100</v>
      </c>
      <c r="C25" s="5">
        <v>3040</v>
      </c>
      <c r="D25" s="5"/>
      <c r="E25" s="5"/>
      <c r="F25" s="5"/>
      <c r="G25" s="5"/>
      <c r="H25" s="5"/>
      <c r="I25" s="5"/>
      <c r="J25" s="5"/>
      <c r="K25" s="5"/>
      <c r="L25" s="5"/>
      <c r="M25" s="5"/>
      <c r="N25" s="5"/>
      <c r="O25" s="5"/>
      <c r="P25" s="5"/>
      <c r="Q25" s="5"/>
      <c r="R25" s="5"/>
      <c r="S25" s="5"/>
      <c r="T25" s="116"/>
    </row>
    <row r="26">
      <c r="A26" s="103">
        <v>44706</v>
      </c>
      <c r="B26" s="14"/>
      <c r="C26" s="14"/>
      <c r="D26" s="14"/>
      <c r="E26" s="14"/>
      <c r="F26" s="14"/>
      <c r="G26" s="14"/>
      <c r="H26" s="14"/>
      <c r="I26" s="14"/>
      <c r="J26" s="14"/>
      <c r="K26" s="14"/>
      <c r="L26" s="14"/>
      <c r="M26" s="14"/>
      <c r="N26" s="14"/>
      <c r="O26" s="14"/>
      <c r="P26" s="14"/>
      <c r="Q26" s="14"/>
      <c r="R26" s="14"/>
      <c r="S26" s="14"/>
      <c r="T26" s="116"/>
    </row>
    <row r="27">
      <c r="A27" s="103">
        <v>44707</v>
      </c>
      <c r="B27" s="5">
        <v>100</v>
      </c>
      <c r="C27" s="6"/>
      <c r="D27" s="5"/>
      <c r="E27" s="5"/>
      <c r="F27" s="5"/>
      <c r="G27" s="5"/>
      <c r="H27" s="5"/>
      <c r="I27" s="5"/>
      <c r="J27" s="5"/>
      <c r="K27" s="5"/>
      <c r="L27" s="5"/>
      <c r="M27" s="5"/>
      <c r="N27" s="5"/>
      <c r="O27" s="5"/>
      <c r="P27" s="5"/>
      <c r="Q27" s="5"/>
      <c r="R27" s="5"/>
      <c r="S27" s="5"/>
      <c r="T27" s="116"/>
    </row>
    <row r="28">
      <c r="A28" s="103">
        <v>44708</v>
      </c>
      <c r="B28" s="14">
        <v>100</v>
      </c>
      <c r="C28" s="14"/>
      <c r="D28" s="14"/>
      <c r="E28" s="14"/>
      <c r="F28" s="14"/>
      <c r="G28" s="14"/>
      <c r="H28" s="14"/>
      <c r="I28" s="14"/>
      <c r="J28" s="14"/>
      <c r="K28" s="14"/>
      <c r="L28" s="14"/>
      <c r="M28" s="14"/>
      <c r="N28" s="14"/>
      <c r="O28" s="14"/>
      <c r="P28" s="14"/>
      <c r="Q28" s="14"/>
      <c r="R28" s="14"/>
      <c r="S28" s="14"/>
      <c r="T28" s="116"/>
    </row>
    <row r="29">
      <c r="A29" s="103">
        <v>44709</v>
      </c>
      <c r="B29" s="5"/>
      <c r="C29" s="5">
        <v>3540</v>
      </c>
      <c r="D29" s="5"/>
      <c r="E29" s="5"/>
      <c r="F29" s="5"/>
      <c r="G29" s="5"/>
      <c r="H29" s="5"/>
      <c r="I29" s="5"/>
      <c r="J29" s="5"/>
      <c r="K29" s="5"/>
      <c r="L29" s="5"/>
      <c r="M29" s="5"/>
      <c r="N29" s="5"/>
      <c r="O29" s="5"/>
      <c r="P29" s="5"/>
      <c r="Q29" s="5"/>
      <c r="R29" s="5"/>
      <c r="S29" s="5"/>
      <c r="T29" s="116"/>
    </row>
    <row r="30">
      <c r="A30" s="103">
        <v>44710</v>
      </c>
      <c r="B30" s="22">
        <v>100</v>
      </c>
      <c r="C30" s="22"/>
      <c r="D30" s="22"/>
      <c r="E30" s="22">
        <v>1450</v>
      </c>
      <c r="F30" s="22"/>
      <c r="G30" s="22"/>
      <c r="H30" s="22"/>
      <c r="I30" s="22"/>
      <c r="J30" s="22"/>
      <c r="K30" s="22"/>
      <c r="L30" s="22"/>
      <c r="M30" s="22"/>
      <c r="N30" s="22"/>
      <c r="O30" s="22"/>
      <c r="P30" s="22"/>
      <c r="Q30" s="22"/>
      <c r="R30" s="22"/>
      <c r="S30" s="22"/>
      <c r="T30" s="116"/>
    </row>
    <row r="31">
      <c r="A31" s="103">
        <v>44711</v>
      </c>
      <c r="B31" s="5">
        <v>100</v>
      </c>
      <c r="C31" s="5">
        <v>700</v>
      </c>
      <c r="D31" s="5"/>
      <c r="E31" s="5"/>
      <c r="F31" s="5"/>
      <c r="G31" s="5"/>
      <c r="H31" s="5"/>
      <c r="I31" s="5"/>
      <c r="J31" s="5"/>
      <c r="K31" s="5"/>
      <c r="L31" s="5"/>
      <c r="M31" s="5"/>
      <c r="N31" s="5">
        <v>2900</v>
      </c>
      <c r="O31" s="5"/>
      <c r="P31" s="5"/>
      <c r="Q31" s="5"/>
      <c r="R31" s="5"/>
      <c r="S31" s="5"/>
      <c r="T31" s="116"/>
    </row>
    <row r="32">
      <c r="A32" s="103">
        <v>44712</v>
      </c>
      <c r="B32" s="22"/>
      <c r="C32" s="22">
        <v>3840</v>
      </c>
      <c r="D32" s="22"/>
      <c r="E32" s="22"/>
      <c r="F32" s="22"/>
      <c r="G32" s="22"/>
      <c r="H32" s="22"/>
      <c r="I32" s="22"/>
      <c r="J32" s="22"/>
      <c r="K32" s="22"/>
      <c r="L32" s="22"/>
      <c r="M32" s="22"/>
      <c r="N32" s="22"/>
      <c r="O32" s="22"/>
      <c r="P32" s="22"/>
      <c r="Q32" s="22"/>
      <c r="R32" s="22"/>
      <c r="S32" s="22"/>
      <c r="T32" s="116"/>
    </row>
    <row r="33">
      <c r="A33" s="113" t="s">
        <v>87</v>
      </c>
      <c r="B33" s="113">
        <f>SUM(B2:B32)</f>
        <v>1900</v>
      </c>
      <c r="C33" s="113">
        <f>SUM(C2:C32)</f>
        <v>32043</v>
      </c>
      <c r="D33" s="113">
        <f>SUM(D2:D32)</f>
        <v>0</v>
      </c>
      <c r="E33" s="113">
        <f>SUM(E2:E32)</f>
        <v>18485</v>
      </c>
      <c r="F33" s="113">
        <f>SUM(F2:F32)</f>
        <v>0</v>
      </c>
      <c r="G33" s="113">
        <f>SUM(G2:G32)</f>
        <v>0</v>
      </c>
      <c r="H33" s="113">
        <f>SUM(H2:H32)</f>
        <v>0</v>
      </c>
      <c r="I33" s="113">
        <f>SUM(I2:I32)</f>
        <v>0</v>
      </c>
      <c r="J33" s="113">
        <f>SUM(J2:J32)</f>
        <v>0</v>
      </c>
      <c r="K33" s="113">
        <f>SUM(K2:K32)</f>
        <v>0</v>
      </c>
      <c r="L33" s="113">
        <f>SUM(L2:L32)</f>
        <v>159068.40000000002</v>
      </c>
      <c r="M33" s="113">
        <f>SUM(M2:M32)</f>
        <v>63107.040000000001</v>
      </c>
      <c r="N33" s="113">
        <f>SUM(N2:N32)</f>
        <v>7752.8000000000002</v>
      </c>
      <c r="O33" s="113">
        <f>SUM(O2:O32)</f>
        <v>0</v>
      </c>
      <c r="P33" s="113">
        <f>SUM(P2:P32)</f>
        <v>0</v>
      </c>
      <c r="Q33" s="113">
        <f>SUM(Q2:Q32)</f>
        <v>1000</v>
      </c>
      <c r="R33" s="113">
        <f>SUM(R2:R32)</f>
        <v>0</v>
      </c>
      <c r="S33" s="113">
        <f>SUM(B33:R33)+SUM(S2:S32)</f>
        <v>283356.23999999999</v>
      </c>
      <c r="T33" s="124" t="s">
        <v>88</v>
      </c>
    </row>
    <row r="34">
      <c r="A34" s="108" t="s">
        <v>89</v>
      </c>
      <c r="B34" s="110">
        <f>B33/'Сводная таблица'!B67</f>
        <v>433.78995433789953</v>
      </c>
      <c r="C34" s="110">
        <f>C33/'Сводная таблица'!B67</f>
        <v>7315.7534246575342</v>
      </c>
      <c r="D34" s="110">
        <f>D33/'Сводная таблица'!B67</f>
        <v>0</v>
      </c>
      <c r="E34" s="110">
        <f>E33/'Сводная таблица'!B67</f>
        <v>4220.3196347031962</v>
      </c>
      <c r="F34" s="110">
        <f>F33/'Сводная таблица'!B67</f>
        <v>0</v>
      </c>
      <c r="G34" s="110">
        <f>G33/'Сводная таблица'!B67</f>
        <v>0</v>
      </c>
      <c r="H34" s="110">
        <f>H33/'Сводная таблица'!B67</f>
        <v>0</v>
      </c>
      <c r="I34" s="110">
        <f>I33/'Сводная таблица'!B67</f>
        <v>0</v>
      </c>
      <c r="J34" s="110">
        <f>J33/'Сводная таблица'!B67</f>
        <v>0</v>
      </c>
      <c r="K34" s="110">
        <f>K33/'Сводная таблица'!B67</f>
        <v>0</v>
      </c>
      <c r="L34" s="110">
        <f>L33/'Сводная таблица'!B67</f>
        <v>36316.98630136987</v>
      </c>
      <c r="M34" s="110">
        <f>M33/'Сводная таблица'!B67</f>
        <v>14408</v>
      </c>
      <c r="N34" s="110">
        <f>N33/'Сводная таблица'!B67</f>
        <v>1770.0456621004566</v>
      </c>
      <c r="O34" s="110">
        <f>O33/'Сводная таблица'!B67</f>
        <v>0</v>
      </c>
      <c r="P34" s="110">
        <f>P33/'Сводная таблица'!B67</f>
        <v>0</v>
      </c>
      <c r="Q34" s="110">
        <f>Q33/'Сводная таблица'!B67</f>
        <v>228.31050228310502</v>
      </c>
      <c r="R34" s="110">
        <f>R33/'Сводная таблица'!B67</f>
        <v>0</v>
      </c>
      <c r="S34" s="120">
        <f>S33/'Сводная таблица'!B67</f>
        <v>64693.205479452052</v>
      </c>
      <c r="T34" s="125" t="s">
        <v>90</v>
      </c>
    </row>
    <row r="35">
      <c r="A35" s="121" t="s">
        <v>0</v>
      </c>
      <c r="B35" s="121" t="s">
        <v>50</v>
      </c>
      <c r="C35" s="121" t="s">
        <v>13</v>
      </c>
      <c r="D35" s="121" t="s">
        <v>11</v>
      </c>
      <c r="E35" s="121" t="s">
        <v>51</v>
      </c>
      <c r="F35" s="121" t="s">
        <v>52</v>
      </c>
      <c r="G35" s="121" t="s">
        <v>53</v>
      </c>
      <c r="H35" s="121" t="s">
        <v>54</v>
      </c>
      <c r="I35" s="121" t="s">
        <v>55</v>
      </c>
      <c r="J35" s="121" t="s">
        <v>61</v>
      </c>
      <c r="K35" s="121" t="s">
        <v>74</v>
      </c>
      <c r="L35" s="122"/>
      <c r="M35" s="122"/>
      <c r="N35" s="122"/>
      <c r="O35" s="122"/>
      <c r="P35" s="122"/>
      <c r="Q35" s="122"/>
      <c r="R35" s="122"/>
      <c r="S35" s="122"/>
      <c r="T35" s="116"/>
    </row>
    <row r="36">
      <c r="A36" s="103">
        <v>44682</v>
      </c>
      <c r="B36" s="14"/>
      <c r="C36" s="14"/>
      <c r="D36" s="14"/>
      <c r="E36" s="14">
        <f>4230.1-423</f>
        <v>3807.1000000000004</v>
      </c>
      <c r="F36" s="14"/>
      <c r="G36" s="14"/>
      <c r="H36" s="14"/>
      <c r="I36" s="14"/>
      <c r="J36" s="22"/>
      <c r="K36" s="22"/>
      <c r="L36" s="22"/>
      <c r="M36" s="22"/>
      <c r="N36" s="22"/>
      <c r="O36" s="22"/>
      <c r="P36" s="22"/>
      <c r="Q36" s="22"/>
      <c r="R36" s="22"/>
      <c r="S36" s="22"/>
      <c r="T36" s="116"/>
    </row>
    <row r="37">
      <c r="A37" s="103">
        <v>44683</v>
      </c>
      <c r="B37" s="5"/>
      <c r="C37" s="5"/>
      <c r="D37" s="5"/>
      <c r="E37" s="5"/>
      <c r="F37" s="5"/>
      <c r="G37" s="5"/>
      <c r="H37" s="5"/>
      <c r="I37" s="5"/>
      <c r="J37" s="5"/>
      <c r="K37" s="5"/>
      <c r="L37" s="5"/>
      <c r="M37" s="5"/>
      <c r="N37" s="5"/>
      <c r="O37" s="5"/>
      <c r="P37" s="5"/>
      <c r="Q37" s="5"/>
      <c r="R37" s="5"/>
      <c r="S37" s="5"/>
      <c r="T37" s="116"/>
    </row>
    <row r="38">
      <c r="A38" s="103">
        <v>44684</v>
      </c>
      <c r="B38" s="14"/>
      <c r="C38" s="14"/>
      <c r="D38" s="14"/>
      <c r="E38" s="14"/>
      <c r="F38" s="14"/>
      <c r="G38" s="14"/>
      <c r="H38" s="14"/>
      <c r="I38" s="14"/>
      <c r="J38" s="22"/>
      <c r="K38" s="22"/>
      <c r="L38" s="22"/>
      <c r="M38" s="22"/>
      <c r="N38" s="22"/>
      <c r="O38" s="22"/>
      <c r="P38" s="22"/>
      <c r="Q38" s="22"/>
      <c r="R38" s="22"/>
      <c r="S38" s="22"/>
      <c r="T38" s="116"/>
    </row>
    <row r="39">
      <c r="A39" s="103">
        <v>44685</v>
      </c>
      <c r="B39" s="5"/>
      <c r="C39" s="5"/>
      <c r="D39" s="5"/>
      <c r="E39" s="71"/>
      <c r="F39" s="5"/>
      <c r="G39" s="5"/>
      <c r="H39" s="5"/>
      <c r="I39" s="5"/>
      <c r="J39" s="5"/>
      <c r="K39" s="5"/>
      <c r="L39" s="5"/>
      <c r="M39" s="5"/>
      <c r="N39" s="5"/>
      <c r="O39" s="5"/>
      <c r="P39" s="5"/>
      <c r="Q39" s="5"/>
      <c r="R39" s="5"/>
      <c r="S39" s="5"/>
      <c r="T39" s="116"/>
    </row>
    <row r="40">
      <c r="A40" s="103">
        <v>44686</v>
      </c>
      <c r="B40" s="14">
        <v>250000</v>
      </c>
      <c r="C40" s="14"/>
      <c r="D40" s="14"/>
      <c r="E40" s="14"/>
      <c r="F40" s="14"/>
      <c r="G40" s="14"/>
      <c r="H40" s="14"/>
      <c r="I40" s="14"/>
      <c r="J40" s="14"/>
      <c r="K40" s="14"/>
      <c r="L40" s="14"/>
      <c r="M40" s="14"/>
      <c r="N40" s="14"/>
      <c r="O40" s="14"/>
      <c r="P40" s="14"/>
      <c r="Q40" s="14"/>
      <c r="R40" s="14"/>
      <c r="S40" s="14"/>
      <c r="T40" s="116"/>
    </row>
    <row r="41">
      <c r="A41" s="103">
        <v>44687</v>
      </c>
      <c r="B41" s="5"/>
      <c r="C41" s="5"/>
      <c r="D41" s="5"/>
      <c r="E41" s="5">
        <f>70.08*'Сводная таблица'!B84</f>
        <v>306.9504</v>
      </c>
      <c r="F41" s="5"/>
      <c r="G41" s="5"/>
      <c r="H41" s="5"/>
      <c r="I41" s="5"/>
      <c r="J41" s="5"/>
      <c r="K41" s="5"/>
      <c r="L41" s="5"/>
      <c r="M41" s="5"/>
      <c r="N41" s="5"/>
      <c r="O41" s="5"/>
      <c r="P41" s="5"/>
      <c r="Q41" s="5"/>
      <c r="R41" s="5"/>
      <c r="S41" s="5"/>
      <c r="T41" s="116"/>
    </row>
    <row r="42">
      <c r="A42" s="103">
        <v>44688</v>
      </c>
      <c r="B42" s="14"/>
      <c r="C42" s="14"/>
      <c r="D42" s="14"/>
      <c r="E42" s="14"/>
      <c r="F42" s="14"/>
      <c r="G42" s="14"/>
      <c r="H42" s="14"/>
      <c r="I42" s="14"/>
      <c r="J42" s="14"/>
      <c r="K42" s="14"/>
      <c r="L42" s="14"/>
      <c r="M42" s="14"/>
      <c r="N42" s="14"/>
      <c r="O42" s="14"/>
      <c r="P42" s="14"/>
      <c r="Q42" s="14"/>
      <c r="R42" s="14"/>
      <c r="S42" s="14"/>
      <c r="T42" s="116"/>
    </row>
    <row r="43">
      <c r="A43" s="103">
        <v>44689</v>
      </c>
      <c r="B43" s="5"/>
      <c r="C43" s="5"/>
      <c r="D43" s="5"/>
      <c r="E43" s="5"/>
      <c r="F43" s="5"/>
      <c r="G43" s="5"/>
      <c r="H43" s="5"/>
      <c r="I43" s="5"/>
      <c r="J43" s="5"/>
      <c r="K43" s="5"/>
      <c r="L43" s="5"/>
      <c r="M43" s="5"/>
      <c r="N43" s="5"/>
      <c r="O43" s="5"/>
      <c r="P43" s="5"/>
      <c r="Q43" s="5"/>
      <c r="R43" s="5"/>
      <c r="S43" s="5"/>
      <c r="T43" s="116"/>
    </row>
    <row r="44">
      <c r="A44" s="103">
        <v>44690</v>
      </c>
      <c r="B44" s="79"/>
      <c r="C44" s="14"/>
      <c r="D44" s="14"/>
      <c r="E44" s="14"/>
      <c r="F44" s="14"/>
      <c r="G44" s="14"/>
      <c r="H44" s="14"/>
      <c r="I44" s="14"/>
      <c r="J44" s="14"/>
      <c r="K44" s="14"/>
      <c r="L44" s="14"/>
      <c r="M44" s="14"/>
      <c r="N44" s="14"/>
      <c r="O44" s="14"/>
      <c r="P44" s="14"/>
      <c r="Q44" s="14"/>
      <c r="R44" s="14"/>
      <c r="S44" s="14"/>
      <c r="T44" s="116"/>
    </row>
    <row r="45">
      <c r="A45" s="103">
        <v>44691</v>
      </c>
      <c r="B45" s="5"/>
      <c r="C45" s="5"/>
      <c r="D45" s="5"/>
      <c r="E45" s="5"/>
      <c r="F45" s="5"/>
      <c r="G45" s="5"/>
      <c r="H45" s="5"/>
      <c r="I45" s="5">
        <f>4*'Сводная таблица'!B84</f>
        <v>17.52</v>
      </c>
      <c r="J45" s="5"/>
      <c r="K45" s="5"/>
      <c r="L45" s="5"/>
      <c r="M45" s="5"/>
      <c r="N45" s="5"/>
      <c r="O45" s="5"/>
      <c r="P45" s="5"/>
      <c r="Q45" s="5"/>
      <c r="R45" s="5"/>
      <c r="S45" s="5"/>
      <c r="T45" s="116"/>
    </row>
    <row r="46">
      <c r="A46" s="103">
        <v>44692</v>
      </c>
      <c r="B46" s="14"/>
      <c r="C46" s="14"/>
      <c r="D46" s="14"/>
      <c r="E46" s="14"/>
      <c r="F46" s="14"/>
      <c r="G46" s="14"/>
      <c r="H46" s="14"/>
      <c r="I46" s="14"/>
      <c r="J46" s="14"/>
      <c r="K46" s="14"/>
      <c r="L46" s="14"/>
      <c r="M46" s="14"/>
      <c r="N46" s="14"/>
      <c r="O46" s="14"/>
      <c r="P46" s="14"/>
      <c r="Q46" s="14"/>
      <c r="R46" s="14"/>
      <c r="S46" s="14"/>
      <c r="T46" s="116"/>
    </row>
    <row r="47">
      <c r="A47" s="103">
        <v>44693</v>
      </c>
      <c r="B47" s="5"/>
      <c r="C47" s="5"/>
      <c r="D47" s="5"/>
      <c r="E47" s="5"/>
      <c r="F47" s="5"/>
      <c r="G47" s="5"/>
      <c r="H47" s="5"/>
      <c r="I47" s="5"/>
      <c r="J47" s="5"/>
      <c r="K47" s="5"/>
      <c r="L47" s="5"/>
      <c r="M47" s="5"/>
      <c r="N47" s="5"/>
      <c r="O47" s="5"/>
      <c r="P47" s="5"/>
      <c r="Q47" s="5"/>
      <c r="R47" s="5"/>
      <c r="S47" s="5"/>
      <c r="T47" s="116"/>
    </row>
    <row r="48">
      <c r="A48" s="103">
        <v>44694</v>
      </c>
      <c r="B48" s="14"/>
      <c r="C48" s="14"/>
      <c r="D48" s="14"/>
      <c r="E48" s="14"/>
      <c r="F48" s="14"/>
      <c r="G48" s="14"/>
      <c r="H48" s="14">
        <v>10000</v>
      </c>
      <c r="I48" s="14"/>
      <c r="J48" s="14"/>
      <c r="K48" s="14"/>
      <c r="L48" s="14"/>
      <c r="M48" s="14"/>
      <c r="N48" s="14"/>
      <c r="O48" s="14"/>
      <c r="P48" s="14"/>
      <c r="Q48" s="14"/>
      <c r="R48" s="14"/>
      <c r="S48" s="14"/>
      <c r="T48" s="116"/>
    </row>
    <row r="49">
      <c r="A49" s="103">
        <v>44695</v>
      </c>
      <c r="B49" s="5"/>
      <c r="C49" s="5"/>
      <c r="D49" s="5"/>
      <c r="E49" s="5"/>
      <c r="F49" s="5"/>
      <c r="G49" s="5"/>
      <c r="H49" s="5"/>
      <c r="I49" s="5"/>
      <c r="J49" s="5"/>
      <c r="K49" s="5"/>
      <c r="L49" s="5"/>
      <c r="M49" s="5"/>
      <c r="N49" s="5"/>
      <c r="O49" s="5"/>
      <c r="P49" s="5"/>
      <c r="Q49" s="5"/>
      <c r="R49" s="5"/>
      <c r="S49" s="5"/>
      <c r="T49" s="116"/>
    </row>
    <row r="50">
      <c r="A50" s="103">
        <v>44696</v>
      </c>
      <c r="B50" s="14"/>
      <c r="C50" s="14"/>
      <c r="D50" s="14"/>
      <c r="E50" s="14"/>
      <c r="F50" s="14"/>
      <c r="G50" s="14"/>
      <c r="H50" s="14"/>
      <c r="I50" s="14"/>
      <c r="J50" s="14"/>
      <c r="K50" s="14"/>
      <c r="L50" s="14"/>
      <c r="M50" s="14"/>
      <c r="N50" s="14"/>
      <c r="O50" s="14"/>
      <c r="P50" s="14"/>
      <c r="Q50" s="14"/>
      <c r="R50" s="14"/>
      <c r="S50" s="14"/>
      <c r="T50" s="116"/>
    </row>
    <row r="51">
      <c r="A51" s="103">
        <v>44697</v>
      </c>
      <c r="B51" s="5"/>
      <c r="C51" s="5"/>
      <c r="D51" s="5"/>
      <c r="E51" s="5"/>
      <c r="F51" s="5"/>
      <c r="G51" s="5"/>
      <c r="H51" s="5"/>
      <c r="I51" s="5"/>
      <c r="J51" s="5"/>
      <c r="K51" s="5"/>
      <c r="L51" s="5"/>
      <c r="M51" s="5"/>
      <c r="N51" s="5"/>
      <c r="O51" s="5"/>
      <c r="P51" s="5"/>
      <c r="Q51" s="5"/>
      <c r="R51" s="5"/>
      <c r="S51" s="5"/>
      <c r="T51" s="116"/>
    </row>
    <row r="52">
      <c r="A52" s="103">
        <v>44698</v>
      </c>
      <c r="B52" s="14"/>
      <c r="C52" s="14"/>
      <c r="D52" s="14"/>
      <c r="E52" s="14"/>
      <c r="F52" s="14"/>
      <c r="G52" s="14"/>
      <c r="H52" s="14"/>
      <c r="I52" s="14"/>
      <c r="J52" s="14"/>
      <c r="K52" s="14"/>
      <c r="L52" s="14"/>
      <c r="M52" s="14"/>
      <c r="N52" s="14"/>
      <c r="O52" s="14"/>
      <c r="P52" s="14"/>
      <c r="Q52" s="14"/>
      <c r="R52" s="14"/>
      <c r="S52" s="14"/>
      <c r="T52" s="116"/>
    </row>
    <row r="53">
      <c r="A53" s="103">
        <v>44699</v>
      </c>
      <c r="B53" s="5"/>
      <c r="C53" s="5"/>
      <c r="D53" s="5"/>
      <c r="E53" s="5"/>
      <c r="F53" s="5"/>
      <c r="G53" s="5"/>
      <c r="H53" s="5"/>
      <c r="I53" s="5"/>
      <c r="J53" s="5"/>
      <c r="K53" s="5"/>
      <c r="L53" s="5"/>
      <c r="M53" s="5"/>
      <c r="N53" s="5"/>
      <c r="O53" s="5"/>
      <c r="P53" s="5"/>
      <c r="Q53" s="5"/>
      <c r="R53" s="5"/>
      <c r="S53" s="5"/>
      <c r="T53" s="116"/>
    </row>
    <row r="54">
      <c r="A54" s="103">
        <v>44700</v>
      </c>
      <c r="B54" s="14">
        <v>250000</v>
      </c>
      <c r="C54" s="14"/>
      <c r="D54" s="14"/>
      <c r="E54" s="14"/>
      <c r="F54" s="14"/>
      <c r="G54" s="14"/>
      <c r="H54" s="14"/>
      <c r="I54" s="14"/>
      <c r="J54" s="14"/>
      <c r="K54" s="14"/>
      <c r="L54" s="14"/>
      <c r="M54" s="14"/>
      <c r="N54" s="14"/>
      <c r="O54" s="14"/>
      <c r="P54" s="14"/>
      <c r="Q54" s="14"/>
      <c r="R54" s="14"/>
      <c r="S54" s="14"/>
      <c r="T54" s="116"/>
    </row>
    <row r="55">
      <c r="A55" s="103">
        <v>44701</v>
      </c>
      <c r="B55" s="5"/>
      <c r="C55" s="5"/>
      <c r="D55" s="5"/>
      <c r="E55" s="5"/>
      <c r="F55" s="5"/>
      <c r="G55" s="5"/>
      <c r="H55" s="5"/>
      <c r="I55" s="5"/>
      <c r="J55" s="5"/>
      <c r="K55" s="5"/>
      <c r="L55" s="5"/>
      <c r="M55" s="5"/>
      <c r="N55" s="5"/>
      <c r="O55" s="5"/>
      <c r="P55" s="5"/>
      <c r="Q55" s="5"/>
      <c r="R55" s="5"/>
      <c r="S55" s="5"/>
      <c r="T55" s="116"/>
    </row>
    <row r="56">
      <c r="A56" s="103">
        <v>44702</v>
      </c>
      <c r="B56" s="14"/>
      <c r="C56" s="14"/>
      <c r="D56" s="14"/>
      <c r="E56" s="14"/>
      <c r="F56" s="14"/>
      <c r="G56" s="14"/>
      <c r="H56" s="14"/>
      <c r="I56" s="14"/>
      <c r="J56" s="14"/>
      <c r="K56" s="14"/>
      <c r="L56" s="14"/>
      <c r="M56" s="14"/>
      <c r="N56" s="14"/>
      <c r="O56" s="14"/>
      <c r="P56" s="14"/>
      <c r="Q56" s="14"/>
      <c r="R56" s="14"/>
      <c r="S56" s="14"/>
      <c r="T56" s="116"/>
    </row>
    <row r="57">
      <c r="A57" s="103">
        <v>44703</v>
      </c>
      <c r="B57" s="5"/>
      <c r="C57" s="5"/>
      <c r="D57" s="5"/>
      <c r="E57" s="5"/>
      <c r="F57" s="5"/>
      <c r="G57" s="5"/>
      <c r="H57" s="5"/>
      <c r="I57" s="5"/>
      <c r="J57" s="5"/>
      <c r="K57" s="5"/>
      <c r="L57" s="5"/>
      <c r="M57" s="5"/>
      <c r="N57" s="5"/>
      <c r="O57" s="5"/>
      <c r="P57" s="5"/>
      <c r="Q57" s="5"/>
      <c r="R57" s="5"/>
      <c r="S57" s="5"/>
      <c r="T57" s="116"/>
    </row>
    <row r="58">
      <c r="A58" s="103">
        <v>44704</v>
      </c>
      <c r="B58" s="14"/>
      <c r="C58" s="14"/>
      <c r="D58" s="14"/>
      <c r="E58" s="14"/>
      <c r="F58" s="14"/>
      <c r="G58" s="14"/>
      <c r="H58" s="14"/>
      <c r="I58" s="14"/>
      <c r="J58" s="14"/>
      <c r="K58" s="14"/>
      <c r="L58" s="14"/>
      <c r="M58" s="14"/>
      <c r="N58" s="14"/>
      <c r="O58" s="14"/>
      <c r="P58" s="14"/>
      <c r="Q58" s="14"/>
      <c r="R58" s="14"/>
      <c r="S58" s="14"/>
      <c r="T58" s="116"/>
    </row>
    <row r="59">
      <c r="A59" s="103">
        <v>44705</v>
      </c>
      <c r="B59" s="5"/>
      <c r="C59" s="5"/>
      <c r="D59" s="5"/>
      <c r="E59" s="5"/>
      <c r="F59" s="5"/>
      <c r="G59" s="5"/>
      <c r="H59" s="5"/>
      <c r="I59" s="5"/>
      <c r="J59" s="5"/>
      <c r="K59" s="5"/>
      <c r="L59" s="5"/>
      <c r="M59" s="5"/>
      <c r="N59" s="5"/>
      <c r="O59" s="5"/>
      <c r="P59" s="5"/>
      <c r="Q59" s="5"/>
      <c r="R59" s="5"/>
      <c r="S59" s="5"/>
      <c r="T59" s="116"/>
    </row>
    <row r="60">
      <c r="A60" s="103">
        <v>44706</v>
      </c>
      <c r="B60" s="14"/>
      <c r="C60" s="14"/>
      <c r="D60" s="14"/>
      <c r="E60" s="14"/>
      <c r="F60" s="14"/>
      <c r="G60" s="14"/>
      <c r="H60" s="14"/>
      <c r="I60" s="14"/>
      <c r="J60" s="14"/>
      <c r="K60" s="14"/>
      <c r="L60" s="14"/>
      <c r="M60" s="14"/>
      <c r="N60" s="14"/>
      <c r="O60" s="14"/>
      <c r="P60" s="14"/>
      <c r="Q60" s="14"/>
      <c r="R60" s="14"/>
      <c r="S60" s="14"/>
      <c r="T60" s="116"/>
    </row>
    <row r="61">
      <c r="A61" s="103">
        <v>44707</v>
      </c>
      <c r="B61" s="5"/>
      <c r="C61" s="5"/>
      <c r="D61" s="5"/>
      <c r="E61" s="5"/>
      <c r="F61" s="5"/>
      <c r="G61" s="5"/>
      <c r="H61" s="5">
        <f>73950-72042.9</f>
        <v>1907.1000000000058</v>
      </c>
      <c r="I61" s="5"/>
      <c r="J61" s="5"/>
      <c r="K61" s="5"/>
      <c r="L61" s="5"/>
      <c r="M61" s="5"/>
      <c r="N61" s="5"/>
      <c r="O61" s="5"/>
      <c r="P61" s="5"/>
      <c r="Q61" s="5"/>
      <c r="R61" s="5"/>
      <c r="S61" s="5"/>
      <c r="T61" s="116"/>
    </row>
    <row r="62">
      <c r="A62" s="103">
        <v>44708</v>
      </c>
      <c r="B62" s="14"/>
      <c r="C62" s="14"/>
      <c r="D62" s="14"/>
      <c r="E62" s="14"/>
      <c r="F62" s="14"/>
      <c r="G62" s="14"/>
      <c r="H62" s="14"/>
      <c r="I62" s="14"/>
      <c r="J62" s="14"/>
      <c r="K62" s="14"/>
      <c r="L62" s="14"/>
      <c r="M62" s="14"/>
      <c r="N62" s="14"/>
      <c r="O62" s="14"/>
      <c r="P62" s="14"/>
      <c r="Q62" s="14"/>
      <c r="R62" s="14"/>
      <c r="S62" s="14"/>
      <c r="T62" s="116"/>
    </row>
    <row r="63">
      <c r="A63" s="103">
        <v>44709</v>
      </c>
      <c r="B63" s="5"/>
      <c r="C63" s="5"/>
      <c r="D63" s="5"/>
      <c r="E63" s="5"/>
      <c r="F63" s="5"/>
      <c r="G63" s="5"/>
      <c r="H63" s="5"/>
      <c r="I63" s="5"/>
      <c r="J63" s="5"/>
      <c r="K63" s="5"/>
      <c r="L63" s="5"/>
      <c r="M63" s="5"/>
      <c r="N63" s="5"/>
      <c r="O63" s="5"/>
      <c r="P63" s="5"/>
      <c r="Q63" s="5"/>
      <c r="R63" s="48"/>
      <c r="S63" s="5"/>
      <c r="T63" s="116"/>
    </row>
    <row r="64">
      <c r="A64" s="103">
        <v>44710</v>
      </c>
      <c r="B64" s="22"/>
      <c r="C64" s="22"/>
      <c r="D64" s="22"/>
      <c r="E64" s="22"/>
      <c r="F64" s="22"/>
      <c r="G64" s="22"/>
      <c r="H64" s="22"/>
      <c r="I64" s="22"/>
      <c r="J64" s="14"/>
      <c r="K64" s="14"/>
      <c r="L64" s="14"/>
      <c r="M64" s="14"/>
      <c r="N64" s="14"/>
      <c r="O64" s="14"/>
      <c r="P64" s="14"/>
      <c r="Q64" s="14"/>
      <c r="R64" s="80"/>
      <c r="S64" s="14"/>
      <c r="T64" s="116"/>
    </row>
    <row r="65">
      <c r="A65" s="103">
        <v>44711</v>
      </c>
      <c r="B65" s="5"/>
      <c r="C65" s="5"/>
      <c r="D65" s="5"/>
      <c r="E65" s="5"/>
      <c r="F65" s="5"/>
      <c r="G65" s="5"/>
      <c r="H65" s="5"/>
      <c r="I65" s="5"/>
      <c r="J65" s="5"/>
      <c r="K65" s="5"/>
      <c r="L65" s="5"/>
      <c r="M65" s="5"/>
      <c r="N65" s="5"/>
      <c r="O65" s="5"/>
      <c r="P65" s="5"/>
      <c r="Q65" s="5"/>
      <c r="R65" s="48"/>
      <c r="S65" s="5"/>
      <c r="T65" s="116"/>
    </row>
    <row r="66">
      <c r="A66" s="103">
        <v>44712</v>
      </c>
      <c r="B66" s="22"/>
      <c r="C66" s="22"/>
      <c r="D66" s="22"/>
      <c r="E66" s="22">
        <f>265.46*'Сводная таблица'!B84+(5780.6-578.1)</f>
        <v>6365.2147999999997</v>
      </c>
      <c r="F66" s="22"/>
      <c r="G66" s="22"/>
      <c r="H66" s="22">
        <f>500*'Сводная таблица'!B84</f>
        <v>2190</v>
      </c>
      <c r="I66" s="22"/>
      <c r="J66" s="14"/>
      <c r="K66" s="14"/>
      <c r="L66" s="14"/>
      <c r="M66" s="14"/>
      <c r="N66" s="14"/>
      <c r="O66" s="14"/>
      <c r="P66" s="14"/>
      <c r="Q66" s="14"/>
      <c r="R66" s="80"/>
      <c r="S66" s="14"/>
      <c r="T66" s="116"/>
    </row>
    <row r="67">
      <c r="A67" s="113" t="s">
        <v>87</v>
      </c>
      <c r="B67" s="113">
        <f>SUM(B36:B66)</f>
        <v>500000</v>
      </c>
      <c r="C67" s="113">
        <f>SUM(C36:C66)</f>
        <v>0</v>
      </c>
      <c r="D67" s="113">
        <f>SUM(D36:D66)</f>
        <v>0</v>
      </c>
      <c r="E67" s="113">
        <f>SUM(E36:E66)</f>
        <v>10479.2652</v>
      </c>
      <c r="F67" s="113">
        <f>SUM(F36:F66)</f>
        <v>0</v>
      </c>
      <c r="G67" s="113">
        <f>SUM(G36:G66)</f>
        <v>0</v>
      </c>
      <c r="H67" s="113">
        <f>SUM(H36:H66)</f>
        <v>14097.100000000006</v>
      </c>
      <c r="I67" s="113">
        <f>SUM(I36:I66)</f>
        <v>17.52</v>
      </c>
      <c r="J67" s="113">
        <f>SUM(J36:J66)</f>
        <v>0</v>
      </c>
      <c r="K67" s="113">
        <f>SUM(K36:K66)</f>
        <v>0</v>
      </c>
      <c r="L67" s="113">
        <f>SUM(L36:L66)</f>
        <v>0</v>
      </c>
      <c r="M67" s="113">
        <f>SUM(M36:M66)</f>
        <v>0</v>
      </c>
      <c r="N67" s="113">
        <f>SUM(N36:N66)</f>
        <v>0</v>
      </c>
      <c r="O67" s="113">
        <f>SUM(O36:O66)</f>
        <v>0</v>
      </c>
      <c r="P67" s="113">
        <f>SUM(P36:P66)</f>
        <v>0</v>
      </c>
      <c r="Q67" s="113">
        <f>SUM(Q36:Q66)</f>
        <v>0</v>
      </c>
      <c r="R67" s="113">
        <f>SUM(R36:R66)</f>
        <v>0</v>
      </c>
      <c r="S67" s="113">
        <f>SUM(B67:R67)</f>
        <v>524593.88520000002</v>
      </c>
      <c r="T67" s="124" t="s">
        <v>88</v>
      </c>
    </row>
    <row r="68">
      <c r="A68" s="108" t="s">
        <v>89</v>
      </c>
      <c r="B68" s="110">
        <f>B67/'Сводная таблица'!B84</f>
        <v>114155.25114155251</v>
      </c>
      <c r="C68" s="110"/>
      <c r="D68" s="110">
        <f>D67/'Сводная таблица'!B84</f>
        <v>0</v>
      </c>
      <c r="E68" s="110">
        <f>E67/'Сводная таблица'!B67</f>
        <v>2392.5263013698632</v>
      </c>
      <c r="F68" s="110"/>
      <c r="G68" s="110"/>
      <c r="H68" s="110">
        <f>H67/'Сводная таблица'!B67</f>
        <v>3218.5159817351614</v>
      </c>
      <c r="I68" s="110">
        <f>I67/'Сводная таблица'!B67</f>
        <v>4</v>
      </c>
      <c r="J68" s="110"/>
      <c r="K68" s="110"/>
      <c r="L68" s="110"/>
      <c r="M68" s="110"/>
      <c r="N68" s="110"/>
      <c r="O68" s="110"/>
      <c r="P68" s="110"/>
      <c r="Q68" s="110"/>
      <c r="R68" s="110"/>
      <c r="S68" s="110">
        <f>S67/'Сводная таблица'!B84</f>
        <v>119770.29342465755</v>
      </c>
      <c r="T68" s="125" t="s">
        <v>90</v>
      </c>
    </row>
    <row r="69">
      <c r="A69" s="123" t="s">
        <v>67</v>
      </c>
      <c r="B69" s="123"/>
      <c r="C69" s="123"/>
      <c r="D69" s="123"/>
      <c r="E69" s="123"/>
      <c r="F69" s="123"/>
      <c r="G69" s="123"/>
      <c r="H69" s="123"/>
      <c r="I69" s="123"/>
      <c r="J69" s="123"/>
      <c r="K69" s="123"/>
      <c r="L69" s="123"/>
      <c r="M69" s="123"/>
      <c r="N69" s="123"/>
      <c r="O69" s="123"/>
      <c r="P69" s="123"/>
      <c r="Q69" s="123"/>
      <c r="R69" s="123"/>
      <c r="S69" s="123"/>
      <c r="T69" s="116"/>
    </row>
    <row r="70">
      <c r="A70" s="5" t="s">
        <v>68</v>
      </c>
      <c r="B70" s="118">
        <f>21000-344+2039+(23000-23000)-344-344+8164.1-4600-3300+(3000-3000)+80000+2000+(5500-5500)+(5650-5100)+1000+300+300+11814.99+10000</f>
        <v>128236.09000000001</v>
      </c>
      <c r="C70" s="5"/>
      <c r="D70" s="5"/>
      <c r="E70" s="5"/>
      <c r="F70" s="5"/>
      <c r="G70" s="5"/>
      <c r="H70" s="5"/>
      <c r="I70" s="5"/>
      <c r="J70" s="5"/>
      <c r="K70" s="5"/>
      <c r="L70" s="5"/>
      <c r="M70" s="5"/>
      <c r="N70" s="5"/>
      <c r="O70" s="5"/>
      <c r="P70" s="5"/>
      <c r="Q70" s="5"/>
      <c r="R70" s="5"/>
      <c r="S70" s="5"/>
      <c r="T70" s="116"/>
    </row>
    <row r="71">
      <c r="A71" s="5" t="s">
        <v>76</v>
      </c>
      <c r="B71" s="5">
        <f>3000+1000+1200+1300+1500</f>
        <v>8000</v>
      </c>
      <c r="C71" s="5"/>
      <c r="D71" s="5"/>
      <c r="E71" s="5"/>
      <c r="F71" s="5"/>
      <c r="G71" s="5"/>
      <c r="H71" s="5"/>
      <c r="I71" s="5"/>
      <c r="J71" s="5"/>
      <c r="K71" s="5"/>
      <c r="L71" s="5"/>
      <c r="M71" s="5"/>
      <c r="N71" s="5"/>
      <c r="O71" s="5"/>
      <c r="P71" s="5"/>
      <c r="Q71" s="5"/>
      <c r="R71" s="5"/>
      <c r="S71" s="5"/>
      <c r="T71" s="1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4" percent="1" timePeriod="today" id="{008100C5-0035-4DEC-A4B3-00D1003B0042}">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3" percent="1" timePeriod="today" id="{005300CF-0005-4496-9231-005500A000A4}">
            <x14:dxf>
              <font>
                <color rgb="FF006100"/>
              </font>
              <fill>
                <patternFill patternType="solid">
                  <fgColor rgb="FFC6EFCE"/>
                  <bgColor rgb="FFC6EFCE"/>
                </patternFill>
              </fill>
            </x14:dxf>
          </x14:cfRule>
          <xm:sqref>A36 A37 A38 A39 A40 A41 A42 A43 A44 A45 A46 A47 A48 A49 A50 A51 A52 A53 A54 A55 A56 A57 A58 A59 A60 A61 A62 A63 A64 A65 A66</xm:sqref>
        </x14:conditionalFormatting>
        <x14:conditionalFormatting xmlns:xm="http://schemas.microsoft.com/office/excel/2006/main">
          <x14:cfRule type="timePeriod" priority="2" percent="1" timePeriod="today" id="{00330077-00DE-4BB7-9477-005700FD0017}">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F500EC-0038-4FB2-8E39-001E00DA0022}">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2" activeCellId="0" sqref="B32"/>
    </sheetView>
  </sheetViews>
  <sheetFormatPr defaultRowHeight="14.25"/>
  <cols>
    <col bestFit="1" customWidth="1" min="1" max="1" width="12.5703125"/>
    <col bestFit="1" customWidth="1" min="2" max="2" width="9.7109375"/>
    <col bestFit="1" customWidth="1" min="7" max="7" width="10.85546875"/>
    <col bestFit="1" customWidth="1" min="9" max="9" width="19.140625"/>
    <col bestFit="1" customWidth="1" min="10" max="10" width="14.85546875"/>
    <col bestFit="1" customWidth="1" min="15" max="15" width="18.42578125"/>
    <col bestFit="1" customWidth="1" min="16" max="16" width="13.2851562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
      <c r="R1" s="1"/>
      <c r="S1" s="1"/>
    </row>
    <row r="2">
      <c r="A2" s="11">
        <v>43709</v>
      </c>
      <c r="B2" s="3">
        <f>2000-1213</f>
        <v>787</v>
      </c>
      <c r="C2" s="3">
        <v>219.5</v>
      </c>
      <c r="D2" s="3">
        <v>278</v>
      </c>
      <c r="E2" s="3">
        <v>1500</v>
      </c>
      <c r="F2" s="3"/>
      <c r="G2" s="3"/>
      <c r="H2" s="3"/>
      <c r="I2" s="3"/>
      <c r="J2" s="3"/>
      <c r="K2" s="3"/>
      <c r="L2" s="3"/>
      <c r="M2" s="3"/>
      <c r="N2" s="3"/>
      <c r="O2" s="3"/>
      <c r="P2" s="3"/>
      <c r="Q2" s="3"/>
      <c r="R2" s="3"/>
      <c r="S2" s="3"/>
    </row>
    <row r="3">
      <c r="A3" s="11">
        <v>43710</v>
      </c>
      <c r="B3" s="5"/>
      <c r="C3" s="5">
        <v>1336.1400000000001</v>
      </c>
      <c r="D3" s="5">
        <v>230.97999999999999</v>
      </c>
      <c r="E3" s="5"/>
      <c r="F3" s="5"/>
      <c r="G3" s="5">
        <v>210</v>
      </c>
      <c r="H3" s="5"/>
      <c r="I3" s="5">
        <v>434</v>
      </c>
      <c r="J3" s="5"/>
      <c r="K3" s="5"/>
      <c r="L3" s="5"/>
      <c r="M3" s="5">
        <v>280</v>
      </c>
      <c r="N3" s="5"/>
      <c r="O3" s="5"/>
      <c r="P3" s="5"/>
      <c r="Q3" s="5"/>
      <c r="R3" s="5"/>
      <c r="S3" s="5"/>
    </row>
    <row r="4">
      <c r="A4" s="11">
        <v>43711</v>
      </c>
      <c r="B4" s="3"/>
      <c r="C4" s="3">
        <v>23.899999999999999</v>
      </c>
      <c r="D4" s="3"/>
      <c r="E4" s="3"/>
      <c r="F4" s="3"/>
      <c r="G4" s="3"/>
      <c r="H4" s="3"/>
      <c r="I4" s="3"/>
      <c r="J4" s="3"/>
      <c r="K4" s="3"/>
      <c r="L4" s="3"/>
      <c r="M4" s="3"/>
      <c r="N4" s="3"/>
      <c r="O4" s="3"/>
      <c r="P4" s="3"/>
      <c r="Q4" s="3"/>
      <c r="R4" s="3"/>
      <c r="S4" s="3"/>
    </row>
    <row r="5">
      <c r="A5" s="11">
        <v>43712</v>
      </c>
      <c r="B5" s="5">
        <v>5319.3000000000002</v>
      </c>
      <c r="C5" s="5"/>
      <c r="D5" s="5"/>
      <c r="E5" s="5"/>
      <c r="F5" s="5"/>
      <c r="G5" s="5"/>
      <c r="H5" s="5"/>
      <c r="I5" s="5"/>
      <c r="J5" s="5"/>
      <c r="K5" s="5"/>
      <c r="L5" s="5"/>
      <c r="M5" s="5"/>
      <c r="N5" s="5"/>
      <c r="O5" s="5"/>
      <c r="P5" s="5"/>
      <c r="Q5" s="5"/>
      <c r="R5" s="5"/>
      <c r="S5" s="5"/>
    </row>
    <row r="6">
      <c r="A6" s="11">
        <v>43713</v>
      </c>
      <c r="B6" s="3"/>
      <c r="C6" s="3"/>
      <c r="D6" s="3"/>
      <c r="E6" s="3"/>
      <c r="F6" s="3"/>
      <c r="G6" s="3"/>
      <c r="H6" s="3"/>
      <c r="I6" s="3"/>
      <c r="J6" s="3"/>
      <c r="K6" s="3"/>
      <c r="L6" s="3"/>
      <c r="M6" s="3"/>
      <c r="N6" s="3"/>
      <c r="O6" s="3"/>
      <c r="P6" s="3"/>
      <c r="Q6" s="3"/>
      <c r="R6" s="3"/>
      <c r="S6" s="3"/>
    </row>
    <row r="7">
      <c r="A7" s="11">
        <v>43714</v>
      </c>
      <c r="B7" s="5"/>
      <c r="C7" s="5"/>
      <c r="D7" s="5"/>
      <c r="E7" s="5"/>
      <c r="F7" s="5"/>
      <c r="G7" s="5"/>
      <c r="H7" s="5"/>
      <c r="I7" s="5"/>
      <c r="J7" s="5"/>
      <c r="K7" s="5">
        <f>6521.74+3400+34</f>
        <v>9955.7399999999998</v>
      </c>
      <c r="L7" s="5"/>
      <c r="M7" s="5">
        <v>10</v>
      </c>
      <c r="N7" s="5"/>
      <c r="O7" s="5"/>
      <c r="P7" s="5"/>
      <c r="Q7" s="5"/>
      <c r="R7" s="5"/>
      <c r="S7" s="5"/>
    </row>
    <row r="8">
      <c r="A8" s="11">
        <v>43715</v>
      </c>
      <c r="B8" s="3"/>
      <c r="C8" s="3"/>
      <c r="D8" s="3">
        <v>350</v>
      </c>
      <c r="E8" s="3"/>
      <c r="F8" s="3"/>
      <c r="G8" s="3"/>
      <c r="H8" s="3"/>
      <c r="I8" s="3">
        <v>288.68000000000001</v>
      </c>
      <c r="J8" s="3"/>
      <c r="K8" s="3">
        <v>1350</v>
      </c>
      <c r="L8" s="3"/>
      <c r="M8" s="3"/>
      <c r="N8" s="3"/>
      <c r="O8" s="3"/>
      <c r="P8" s="3"/>
      <c r="Q8" s="3"/>
      <c r="R8" s="3"/>
      <c r="S8" s="3"/>
    </row>
    <row r="9">
      <c r="A9" s="11">
        <v>43716</v>
      </c>
      <c r="B9" s="5"/>
      <c r="C9" s="5">
        <v>306.39999999999998</v>
      </c>
      <c r="D9" s="5"/>
      <c r="E9" s="5"/>
      <c r="F9" s="5"/>
      <c r="G9" s="5"/>
      <c r="H9" s="5"/>
      <c r="I9" s="5"/>
      <c r="J9" s="5"/>
      <c r="K9" s="5"/>
      <c r="L9" s="5"/>
      <c r="M9" s="5"/>
      <c r="N9" s="5"/>
      <c r="O9" s="5"/>
      <c r="P9" s="5"/>
      <c r="Q9" s="5"/>
      <c r="R9" s="5"/>
      <c r="S9" s="5"/>
    </row>
    <row r="10">
      <c r="A10" s="11">
        <v>43717</v>
      </c>
      <c r="B10" s="3"/>
      <c r="C10" s="3"/>
      <c r="D10" s="3"/>
      <c r="E10" s="3"/>
      <c r="F10" s="3"/>
      <c r="G10" s="3"/>
      <c r="H10" s="3"/>
      <c r="I10" s="3"/>
      <c r="J10" s="3"/>
      <c r="K10" s="3"/>
      <c r="L10" s="3"/>
      <c r="M10" s="3"/>
      <c r="N10" s="3"/>
      <c r="O10" s="3"/>
      <c r="P10" s="3"/>
      <c r="Q10" s="3"/>
      <c r="R10" s="3"/>
      <c r="S10" s="3"/>
    </row>
    <row r="11">
      <c r="A11" s="11">
        <v>43718</v>
      </c>
      <c r="B11" s="5"/>
      <c r="C11" s="5"/>
      <c r="D11" s="5">
        <f>190+249</f>
        <v>439</v>
      </c>
      <c r="E11" s="5">
        <v>-1500</v>
      </c>
      <c r="F11" s="5"/>
      <c r="G11" s="5"/>
      <c r="H11" s="5"/>
      <c r="I11" s="5"/>
      <c r="J11" s="5"/>
      <c r="K11" s="5"/>
      <c r="L11" s="5">
        <v>130</v>
      </c>
      <c r="M11" s="5"/>
      <c r="N11" s="5"/>
      <c r="O11" s="5"/>
      <c r="P11" s="5"/>
      <c r="Q11" s="5"/>
      <c r="R11" s="5"/>
      <c r="S11" s="5"/>
    </row>
    <row r="12">
      <c r="A12" s="11">
        <v>43719</v>
      </c>
      <c r="B12" s="3">
        <v>20</v>
      </c>
      <c r="C12" s="3"/>
      <c r="D12" s="3"/>
      <c r="E12" s="3"/>
      <c r="F12" s="3"/>
      <c r="G12" s="3"/>
      <c r="H12" s="3"/>
      <c r="I12" s="3"/>
      <c r="J12" s="3"/>
      <c r="K12" s="3"/>
      <c r="L12" s="3"/>
      <c r="M12" s="3"/>
      <c r="N12" s="3"/>
      <c r="O12" s="3"/>
      <c r="P12" s="3"/>
      <c r="Q12" s="3"/>
      <c r="R12" s="3"/>
      <c r="S12" s="3"/>
    </row>
    <row r="13">
      <c r="A13" s="11">
        <v>43720</v>
      </c>
      <c r="B13" s="5">
        <f>107+20+20+20</f>
        <v>167</v>
      </c>
      <c r="C13" s="5">
        <v>24.899999999999999</v>
      </c>
      <c r="D13" s="5"/>
      <c r="E13" s="5"/>
      <c r="F13" s="5"/>
      <c r="G13" s="5"/>
      <c r="H13" s="5"/>
      <c r="I13" s="5"/>
      <c r="J13" s="5"/>
      <c r="K13" s="5"/>
      <c r="L13" s="5"/>
      <c r="M13" s="5"/>
      <c r="N13" s="5"/>
      <c r="O13" s="5"/>
      <c r="P13" s="5"/>
      <c r="Q13" s="5"/>
      <c r="R13" s="5"/>
      <c r="S13" s="5"/>
    </row>
    <row r="14">
      <c r="A14" s="11">
        <v>43721</v>
      </c>
      <c r="B14" s="3">
        <v>93</v>
      </c>
      <c r="C14" s="3">
        <v>344</v>
      </c>
      <c r="D14" s="3"/>
      <c r="E14" s="3"/>
      <c r="F14" s="3"/>
      <c r="G14" s="3"/>
      <c r="H14" s="3"/>
      <c r="I14" s="3"/>
      <c r="J14" s="3"/>
      <c r="K14" s="3"/>
      <c r="L14" s="3"/>
      <c r="M14" s="3"/>
      <c r="N14" s="3"/>
      <c r="O14" s="3"/>
      <c r="P14" s="3"/>
      <c r="Q14" s="3"/>
      <c r="R14" s="3"/>
      <c r="S14" s="3"/>
    </row>
    <row r="15">
      <c r="A15" s="11">
        <v>43722</v>
      </c>
      <c r="B15" s="5">
        <f>20+20</f>
        <v>40</v>
      </c>
      <c r="C15" s="5">
        <v>75.340000000000003</v>
      </c>
      <c r="D15" s="5"/>
      <c r="E15" s="5"/>
      <c r="F15" s="5"/>
      <c r="G15" s="5"/>
      <c r="H15" s="5">
        <v>500</v>
      </c>
      <c r="J15" s="5"/>
      <c r="K15" s="5"/>
      <c r="L15" s="5"/>
      <c r="M15" s="5"/>
      <c r="N15" s="5"/>
      <c r="O15" s="5"/>
      <c r="P15" s="5"/>
      <c r="Q15" s="5"/>
      <c r="R15" s="5"/>
      <c r="S15" s="5"/>
    </row>
    <row r="16">
      <c r="A16" s="11">
        <v>43723</v>
      </c>
      <c r="B16" s="3"/>
      <c r="C16" s="3">
        <v>89.900000000000006</v>
      </c>
      <c r="D16" s="3"/>
      <c r="E16" s="3"/>
      <c r="F16" s="3"/>
      <c r="G16" s="3"/>
      <c r="H16" s="3"/>
      <c r="I16" s="3">
        <v>102</v>
      </c>
      <c r="J16" s="3"/>
      <c r="K16" s="3"/>
      <c r="L16" s="3">
        <v>188</v>
      </c>
      <c r="M16" s="3"/>
      <c r="N16" s="3"/>
      <c r="O16" s="3"/>
      <c r="P16" s="3"/>
      <c r="Q16" s="3"/>
      <c r="R16" s="3"/>
      <c r="S16" s="3"/>
    </row>
    <row r="17">
      <c r="A17" s="11">
        <v>43724</v>
      </c>
      <c r="B17" s="5"/>
      <c r="C17" s="5">
        <f>109.9+556.73</f>
        <v>666.63</v>
      </c>
      <c r="D17" s="5">
        <v>190</v>
      </c>
      <c r="E17" s="5"/>
      <c r="F17" s="5"/>
      <c r="G17" s="5"/>
      <c r="H17" s="5"/>
      <c r="I17" s="5"/>
      <c r="J17" s="5"/>
      <c r="K17" s="5"/>
      <c r="L17" s="5"/>
      <c r="M17" s="5"/>
      <c r="N17" s="5"/>
      <c r="O17" s="5"/>
      <c r="P17" s="5"/>
      <c r="Q17" s="5"/>
      <c r="R17" s="5"/>
      <c r="S17" s="5"/>
    </row>
    <row r="18">
      <c r="A18" s="11">
        <v>43725</v>
      </c>
      <c r="B18" s="3"/>
      <c r="C18" s="3"/>
      <c r="D18" s="3"/>
      <c r="E18" s="3"/>
      <c r="F18" s="3"/>
      <c r="G18" s="3"/>
      <c r="H18" s="3"/>
      <c r="I18" s="3"/>
      <c r="J18" s="3"/>
      <c r="K18" s="3"/>
      <c r="L18" s="3"/>
      <c r="M18" s="3"/>
      <c r="N18" s="3"/>
      <c r="O18" s="3"/>
      <c r="P18" s="3"/>
      <c r="Q18" s="3"/>
      <c r="R18" s="3"/>
      <c r="S18" s="3"/>
    </row>
    <row r="19">
      <c r="A19" s="11">
        <v>43726</v>
      </c>
      <c r="B19" s="5"/>
      <c r="C19" s="5"/>
      <c r="D19" s="5"/>
      <c r="E19" s="5"/>
      <c r="F19" s="5"/>
      <c r="G19" s="5"/>
      <c r="H19" s="5"/>
      <c r="I19" s="5"/>
      <c r="J19" s="5"/>
      <c r="K19" s="5"/>
      <c r="L19" s="5"/>
      <c r="M19" s="5"/>
      <c r="N19" s="5"/>
      <c r="O19" s="5"/>
      <c r="P19" s="5"/>
      <c r="Q19" s="5"/>
      <c r="R19" s="5"/>
      <c r="S19" s="5"/>
    </row>
    <row r="20">
      <c r="A20" s="11">
        <v>43727</v>
      </c>
      <c r="B20" s="3"/>
      <c r="C20" s="3"/>
      <c r="D20" s="3"/>
      <c r="E20" s="3">
        <v>40750</v>
      </c>
      <c r="F20" s="3"/>
      <c r="G20" s="3"/>
      <c r="H20" s="3"/>
      <c r="I20" s="3"/>
      <c r="J20" s="3"/>
      <c r="K20" s="3"/>
      <c r="L20" s="3"/>
      <c r="M20" s="3"/>
      <c r="N20" s="3"/>
      <c r="O20" s="3"/>
      <c r="P20" s="3"/>
      <c r="Q20" s="3"/>
      <c r="R20" s="3"/>
      <c r="S20" s="3"/>
    </row>
    <row r="21">
      <c r="A21" s="11">
        <v>43728</v>
      </c>
      <c r="B21" s="5"/>
      <c r="C21" s="5">
        <v>599.10000000000002</v>
      </c>
      <c r="D21" s="5"/>
      <c r="E21" s="5">
        <v>-40000</v>
      </c>
      <c r="F21" s="5"/>
      <c r="G21" s="5"/>
      <c r="H21" s="5"/>
      <c r="I21" s="5"/>
      <c r="J21" s="5"/>
      <c r="K21" s="5"/>
      <c r="L21" s="5"/>
      <c r="M21" s="5"/>
      <c r="N21" s="5"/>
      <c r="O21" s="5"/>
      <c r="P21" s="5"/>
      <c r="Q21" s="5"/>
      <c r="R21" s="5"/>
      <c r="S21" s="5"/>
    </row>
    <row r="22">
      <c r="A22" s="11">
        <v>43729</v>
      </c>
      <c r="B22" s="3"/>
      <c r="C22" s="3"/>
      <c r="D22" s="3"/>
      <c r="E22" s="3"/>
      <c r="F22" s="3"/>
      <c r="G22" s="3"/>
      <c r="H22" s="3"/>
      <c r="I22" s="3"/>
      <c r="J22" s="3"/>
      <c r="K22" s="3"/>
      <c r="L22" s="3"/>
      <c r="M22" s="3"/>
      <c r="N22" s="3"/>
      <c r="O22" s="3"/>
      <c r="P22" s="3"/>
      <c r="Q22" s="3"/>
      <c r="R22" s="3"/>
      <c r="S22" s="3"/>
    </row>
    <row r="23">
      <c r="A23" s="11">
        <v>43730</v>
      </c>
      <c r="B23" s="5"/>
      <c r="C23" s="5"/>
      <c r="D23" s="5"/>
      <c r="E23" s="5">
        <v>1030</v>
      </c>
      <c r="F23" s="5"/>
      <c r="G23" s="5"/>
      <c r="H23" s="5"/>
      <c r="I23" s="5"/>
      <c r="J23" s="5"/>
      <c r="K23" s="5"/>
      <c r="L23" s="5"/>
      <c r="M23" s="5"/>
      <c r="N23" s="5"/>
      <c r="O23" s="5"/>
      <c r="P23" s="5"/>
      <c r="Q23" s="5"/>
      <c r="R23" s="5"/>
      <c r="S23" s="5"/>
    </row>
    <row r="24">
      <c r="A24" s="11">
        <v>43731</v>
      </c>
      <c r="B24" s="3"/>
      <c r="C24" s="3"/>
      <c r="D24" s="3">
        <v>321</v>
      </c>
      <c r="E24" s="3"/>
      <c r="F24" s="3"/>
      <c r="G24" s="3"/>
      <c r="H24" s="3"/>
      <c r="I24" s="3"/>
      <c r="J24" s="3"/>
      <c r="K24" s="3"/>
      <c r="L24" s="3"/>
      <c r="M24" s="3"/>
      <c r="N24" s="3"/>
      <c r="O24" s="3"/>
      <c r="P24" s="3"/>
      <c r="Q24" s="3"/>
      <c r="R24" s="3"/>
      <c r="S24" s="3"/>
    </row>
    <row r="25">
      <c r="A25" s="11">
        <v>43732</v>
      </c>
      <c r="C25" s="5" t="s">
        <v>22</v>
      </c>
      <c r="D25" s="5"/>
      <c r="E25" s="5"/>
      <c r="F25" s="5"/>
      <c r="G25" s="5"/>
      <c r="H25" s="5"/>
      <c r="I25" s="5"/>
      <c r="J25" s="5"/>
      <c r="K25" s="5"/>
      <c r="L25" s="5"/>
      <c r="M25" s="5"/>
      <c r="N25" s="5"/>
      <c r="O25" s="5"/>
      <c r="P25" s="5"/>
      <c r="Q25" s="5"/>
      <c r="R25" s="5"/>
      <c r="S25" s="5"/>
    </row>
    <row r="26">
      <c r="A26" s="11">
        <v>43733</v>
      </c>
      <c r="B26" s="3"/>
      <c r="C26" s="3"/>
      <c r="D26" s="3"/>
      <c r="E26" s="3">
        <v>-1000</v>
      </c>
      <c r="F26" s="3"/>
      <c r="G26" s="3"/>
      <c r="H26" s="3"/>
      <c r="I26" s="3">
        <v>620</v>
      </c>
      <c r="J26" s="3"/>
      <c r="K26" s="3"/>
      <c r="L26" s="3"/>
      <c r="M26" s="3"/>
      <c r="N26" s="3"/>
      <c r="O26" s="3"/>
      <c r="P26" s="3"/>
      <c r="Q26" s="3"/>
      <c r="R26" s="3"/>
      <c r="S26" s="3"/>
    </row>
    <row r="27">
      <c r="A27" s="11">
        <v>43734</v>
      </c>
      <c r="B27" s="5">
        <v>2687.5999999999999</v>
      </c>
      <c r="C27" s="5"/>
      <c r="D27" s="5"/>
      <c r="E27" s="5"/>
      <c r="F27" s="5"/>
      <c r="G27" s="5"/>
      <c r="H27" s="5"/>
      <c r="I27" s="5"/>
      <c r="J27" s="5"/>
      <c r="K27" s="5"/>
      <c r="L27" s="5"/>
      <c r="M27" s="5">
        <v>10</v>
      </c>
      <c r="N27" s="5"/>
      <c r="O27" s="5"/>
      <c r="P27" s="5"/>
      <c r="Q27" s="5"/>
      <c r="R27" s="5"/>
      <c r="S27" s="5"/>
    </row>
    <row r="28">
      <c r="A28" s="11">
        <v>43735</v>
      </c>
      <c r="B28" s="3"/>
      <c r="C28" s="3">
        <v>109.90000000000001</v>
      </c>
      <c r="D28" s="3"/>
      <c r="E28" s="3"/>
      <c r="F28" s="3"/>
      <c r="G28" s="3"/>
      <c r="H28" s="3"/>
      <c r="I28" s="3"/>
      <c r="J28" s="3"/>
      <c r="K28" s="3"/>
      <c r="L28" s="3"/>
      <c r="M28" s="3"/>
      <c r="N28" s="3"/>
      <c r="O28" s="3"/>
      <c r="P28" s="3"/>
      <c r="Q28" s="3"/>
      <c r="R28" s="3"/>
      <c r="S28" s="3"/>
    </row>
    <row r="29">
      <c r="A29" s="11">
        <v>43736</v>
      </c>
      <c r="B29" s="5"/>
      <c r="C29" s="5"/>
      <c r="D29" s="5">
        <v>475</v>
      </c>
      <c r="E29" s="5"/>
      <c r="F29" s="5"/>
      <c r="G29" s="5"/>
      <c r="H29" s="5"/>
      <c r="I29" s="5"/>
      <c r="J29" s="5"/>
      <c r="K29" s="5"/>
      <c r="L29" s="5"/>
      <c r="M29" s="5"/>
      <c r="N29" s="5">
        <v>475</v>
      </c>
      <c r="O29" s="5"/>
      <c r="P29" s="5"/>
      <c r="Q29" s="5"/>
      <c r="R29" s="5"/>
      <c r="S29" s="5"/>
    </row>
    <row r="30">
      <c r="A30" s="11">
        <v>43737</v>
      </c>
      <c r="B30" s="3"/>
      <c r="C30" s="3"/>
      <c r="D30" s="3"/>
      <c r="E30" s="3">
        <v>1216</v>
      </c>
      <c r="F30" s="3"/>
      <c r="G30" s="3"/>
      <c r="H30" s="3"/>
      <c r="I30" s="3"/>
      <c r="J30" s="3"/>
      <c r="K30" s="3"/>
      <c r="L30" s="3"/>
      <c r="M30" s="3"/>
      <c r="N30" s="3"/>
      <c r="O30" s="3"/>
      <c r="P30" s="3"/>
      <c r="Q30" s="3"/>
      <c r="R30" s="3"/>
      <c r="S30" s="3"/>
    </row>
    <row r="31">
      <c r="A31" s="11">
        <v>43738</v>
      </c>
      <c r="B31" s="3"/>
      <c r="C31" s="3"/>
      <c r="D31" s="3">
        <v>326</v>
      </c>
      <c r="E31" s="3">
        <v>-1200</v>
      </c>
      <c r="F31" s="3"/>
      <c r="G31" s="3"/>
      <c r="H31" s="3"/>
      <c r="I31" s="3"/>
      <c r="J31" s="3"/>
      <c r="K31" s="3"/>
      <c r="L31" s="3"/>
      <c r="M31" s="3"/>
      <c r="N31" s="3"/>
      <c r="O31" s="3"/>
      <c r="P31" s="3"/>
      <c r="Q31" s="3"/>
      <c r="R31" s="3"/>
      <c r="S31" s="3"/>
    </row>
    <row r="32">
      <c r="A32" s="7"/>
      <c r="B32" s="7">
        <f>SUM(B2:B31)</f>
        <v>9113.8999999999996</v>
      </c>
      <c r="C32" s="7">
        <f t="shared" ref="C32:Q32" si="7">SUM(C2:C31)</f>
        <v>3795.7100000000005</v>
      </c>
      <c r="D32" s="7">
        <f t="shared" si="7"/>
        <v>2609.98</v>
      </c>
      <c r="E32" s="7">
        <f t="shared" si="7"/>
        <v>796</v>
      </c>
      <c r="F32" s="7">
        <f t="shared" si="7"/>
        <v>0</v>
      </c>
      <c r="G32" s="7">
        <f t="shared" si="7"/>
        <v>210</v>
      </c>
      <c r="H32" s="7">
        <f t="shared" si="7"/>
        <v>500</v>
      </c>
      <c r="I32" s="7">
        <f t="shared" si="7"/>
        <v>1444.6800000000001</v>
      </c>
      <c r="J32" s="7">
        <f t="shared" si="7"/>
        <v>0</v>
      </c>
      <c r="K32" s="7">
        <f t="shared" si="7"/>
        <v>11305.74</v>
      </c>
      <c r="L32" s="7">
        <f t="shared" si="7"/>
        <v>318</v>
      </c>
      <c r="M32" s="7">
        <f t="shared" si="7"/>
        <v>300</v>
      </c>
      <c r="N32" s="7">
        <f t="shared" si="7"/>
        <v>475</v>
      </c>
      <c r="O32" s="7">
        <f t="shared" si="7"/>
        <v>0</v>
      </c>
      <c r="P32" s="7">
        <f t="shared" si="7"/>
        <v>0</v>
      </c>
      <c r="Q32" s="7">
        <f t="shared" si="7"/>
        <v>0</v>
      </c>
      <c r="R32" s="7" t="s">
        <v>14</v>
      </c>
      <c r="S32" s="7">
        <f>SUM(B32:Q32)</f>
        <v>30869.010000000002</v>
      </c>
    </row>
    <row r="33">
      <c r="A33" s="8"/>
      <c r="B33" s="8"/>
      <c r="C33" s="8"/>
      <c r="D33" s="8"/>
      <c r="E33" s="8"/>
      <c r="F33" s="8"/>
      <c r="G33" s="8"/>
      <c r="H33" s="8"/>
      <c r="I33" s="8"/>
      <c r="J33" s="9"/>
      <c r="K33" s="9"/>
      <c r="L33" s="9"/>
      <c r="M33" s="9"/>
      <c r="N33" s="9"/>
      <c r="O33" s="9"/>
      <c r="P33" s="9"/>
      <c r="Q33" s="9"/>
      <c r="R33" s="9"/>
      <c r="S33" s="9"/>
    </row>
    <row r="34">
      <c r="A34" s="10" t="s">
        <v>0</v>
      </c>
      <c r="B34" s="10" t="s">
        <v>15</v>
      </c>
      <c r="C34" s="10" t="s">
        <v>16</v>
      </c>
      <c r="D34" s="10" t="s">
        <v>17</v>
      </c>
      <c r="E34" s="10" t="s">
        <v>18</v>
      </c>
      <c r="F34" s="10" t="s">
        <v>21</v>
      </c>
      <c r="G34" s="1"/>
      <c r="H34" s="1"/>
      <c r="I34" s="1"/>
    </row>
    <row r="35">
      <c r="A35" s="11">
        <v>43709</v>
      </c>
      <c r="B35" s="3"/>
      <c r="C35" s="3"/>
      <c r="D35" s="3"/>
      <c r="E35" s="3"/>
      <c r="F35" s="3"/>
      <c r="G35" s="3"/>
      <c r="H35" s="3"/>
      <c r="I35" s="3"/>
      <c r="N35" s="13">
        <f>3100-850-2000+399+130-475</f>
        <v>304</v>
      </c>
      <c r="O35" s="13" t="s">
        <v>23</v>
      </c>
    </row>
    <row r="36">
      <c r="A36" s="11">
        <v>43710</v>
      </c>
      <c r="B36" s="5"/>
      <c r="C36" s="5"/>
      <c r="D36" s="5"/>
      <c r="E36" s="5"/>
      <c r="F36" s="5"/>
      <c r="G36" s="5"/>
      <c r="H36" s="5"/>
      <c r="I36" s="5"/>
    </row>
    <row r="37">
      <c r="A37" s="11">
        <v>43711</v>
      </c>
      <c r="B37" s="3"/>
      <c r="C37" s="3"/>
      <c r="D37" s="3"/>
      <c r="E37" s="3"/>
      <c r="F37" s="3"/>
      <c r="G37" s="3"/>
      <c r="H37" s="3"/>
      <c r="I37" s="3"/>
      <c r="N37">
        <v>1213</v>
      </c>
      <c r="O37" t="s">
        <v>24</v>
      </c>
    </row>
    <row r="38">
      <c r="A38" s="11">
        <v>43712</v>
      </c>
      <c r="B38" s="5"/>
      <c r="C38" s="5"/>
      <c r="D38" s="5"/>
      <c r="E38" s="5"/>
      <c r="F38" s="5"/>
      <c r="G38" s="5"/>
      <c r="H38" s="5"/>
      <c r="I38" s="5"/>
    </row>
    <row r="39">
      <c r="A39" s="11">
        <v>43713</v>
      </c>
      <c r="B39" s="3"/>
      <c r="C39" s="3"/>
      <c r="D39" s="3"/>
      <c r="E39" s="3"/>
      <c r="F39" s="3"/>
      <c r="G39" s="3"/>
      <c r="H39" s="3"/>
      <c r="I39" s="3"/>
    </row>
    <row r="40">
      <c r="A40" s="11">
        <v>43714</v>
      </c>
      <c r="B40" s="5"/>
      <c r="C40" s="5"/>
      <c r="D40" s="5"/>
      <c r="E40" s="5"/>
      <c r="F40" s="5"/>
      <c r="G40" s="5"/>
      <c r="H40" s="5"/>
      <c r="I40" s="5"/>
    </row>
    <row r="41">
      <c r="A41" s="11">
        <v>43715</v>
      </c>
      <c r="B41" s="3"/>
      <c r="C41" s="3"/>
      <c r="D41" s="3"/>
      <c r="E41" s="3"/>
      <c r="F41" s="3"/>
      <c r="G41" s="3"/>
      <c r="H41" s="3"/>
      <c r="I41" s="3"/>
    </row>
    <row r="42">
      <c r="A42" s="11">
        <v>43716</v>
      </c>
      <c r="B42" s="5"/>
      <c r="C42" s="5"/>
      <c r="D42" s="5"/>
      <c r="E42" s="5"/>
      <c r="F42" s="5"/>
      <c r="G42" s="5"/>
      <c r="H42" s="5"/>
      <c r="I42" s="5"/>
    </row>
    <row r="43">
      <c r="A43" s="11">
        <v>43717</v>
      </c>
      <c r="B43" s="12"/>
      <c r="C43" s="3"/>
      <c r="D43" s="3"/>
      <c r="E43" s="3"/>
      <c r="F43" s="3"/>
      <c r="G43" s="3"/>
      <c r="H43" s="3"/>
      <c r="I43" s="3"/>
    </row>
    <row r="44">
      <c r="A44" s="11">
        <v>43718</v>
      </c>
      <c r="B44" s="5">
        <v>38390.360000000001</v>
      </c>
      <c r="C44" s="5"/>
      <c r="D44" s="5"/>
      <c r="E44" s="5"/>
      <c r="F44" s="5"/>
      <c r="G44" s="5"/>
      <c r="H44" s="5"/>
      <c r="I44" s="5"/>
    </row>
    <row r="45">
      <c r="A45" s="11">
        <v>43719</v>
      </c>
      <c r="B45" s="3"/>
      <c r="C45" s="3"/>
      <c r="D45" s="3"/>
      <c r="E45" s="3"/>
      <c r="F45" s="3"/>
      <c r="G45" s="3"/>
      <c r="H45" s="3"/>
      <c r="I45" s="3"/>
    </row>
    <row r="46">
      <c r="A46" s="11">
        <v>43720</v>
      </c>
      <c r="B46" s="5"/>
      <c r="C46" s="5"/>
      <c r="D46" s="5"/>
      <c r="E46" s="5"/>
      <c r="F46" s="5"/>
      <c r="G46" s="5"/>
      <c r="H46" s="5"/>
      <c r="I46" s="5"/>
    </row>
    <row r="47">
      <c r="A47" s="11">
        <v>43721</v>
      </c>
      <c r="B47" s="3"/>
      <c r="C47" s="3"/>
      <c r="D47" s="3"/>
      <c r="E47" s="3"/>
      <c r="F47" s="3"/>
      <c r="G47" s="3"/>
      <c r="H47" s="3"/>
      <c r="I47" s="3"/>
    </row>
    <row r="48">
      <c r="A48" s="11">
        <v>43722</v>
      </c>
      <c r="B48" s="5"/>
      <c r="C48" s="5"/>
      <c r="D48" s="5">
        <v>2000</v>
      </c>
      <c r="E48" s="5"/>
      <c r="F48" s="5"/>
      <c r="G48" s="5"/>
      <c r="H48" s="5"/>
      <c r="I48" s="5"/>
    </row>
    <row r="49">
      <c r="A49" s="11">
        <v>43723</v>
      </c>
      <c r="B49" s="3"/>
      <c r="C49" s="3"/>
      <c r="D49" s="3"/>
      <c r="E49" s="3"/>
      <c r="F49" s="3"/>
      <c r="G49" s="3"/>
      <c r="H49" s="3"/>
      <c r="I49" s="3"/>
    </row>
    <row r="50">
      <c r="A50" s="11">
        <v>43724</v>
      </c>
      <c r="B50" s="5"/>
      <c r="C50" s="5"/>
      <c r="D50" s="5"/>
      <c r="E50" s="5"/>
      <c r="F50" s="5"/>
      <c r="G50" s="5"/>
      <c r="H50" s="5"/>
      <c r="I50" s="5"/>
    </row>
    <row r="51">
      <c r="A51" s="11">
        <v>43725</v>
      </c>
      <c r="B51" s="3"/>
      <c r="C51" s="3"/>
      <c r="D51" s="3"/>
      <c r="E51" s="3"/>
      <c r="F51" s="3"/>
      <c r="G51" s="3"/>
      <c r="H51" s="3"/>
      <c r="I51" s="3"/>
    </row>
    <row r="52">
      <c r="A52" s="11">
        <v>43726</v>
      </c>
      <c r="B52" s="5"/>
      <c r="C52" s="5"/>
      <c r="D52" s="5"/>
      <c r="E52" s="5"/>
      <c r="F52" s="5"/>
      <c r="G52" s="5"/>
      <c r="H52" s="5"/>
      <c r="I52" s="5"/>
    </row>
    <row r="53">
      <c r="A53" s="11">
        <v>43727</v>
      </c>
      <c r="B53" s="3"/>
      <c r="C53" s="3"/>
      <c r="D53" s="3"/>
      <c r="E53" s="3"/>
      <c r="F53" s="3"/>
      <c r="G53" s="3"/>
      <c r="H53" s="3"/>
      <c r="I53" s="3"/>
    </row>
    <row r="54">
      <c r="A54" s="11">
        <v>43728</v>
      </c>
      <c r="B54" s="5"/>
      <c r="C54" s="5"/>
      <c r="D54" s="5"/>
      <c r="E54" s="5"/>
      <c r="F54" s="5"/>
      <c r="G54" s="5"/>
      <c r="H54" s="5"/>
      <c r="I54" s="5"/>
    </row>
    <row r="55">
      <c r="A55" s="11">
        <v>43729</v>
      </c>
      <c r="B55" s="3"/>
      <c r="C55" s="3"/>
      <c r="D55" s="3"/>
      <c r="E55" s="3"/>
      <c r="F55" s="3"/>
      <c r="G55" s="3"/>
      <c r="H55" s="3"/>
      <c r="I55" s="3"/>
    </row>
    <row r="56">
      <c r="A56" s="11">
        <v>43730</v>
      </c>
      <c r="B56" s="5"/>
      <c r="C56" s="5"/>
      <c r="D56" s="5"/>
      <c r="E56" s="5"/>
      <c r="F56" s="5"/>
      <c r="G56" s="5"/>
      <c r="H56" s="5"/>
      <c r="I56" s="5"/>
    </row>
    <row r="57">
      <c r="A57" s="11">
        <v>43731</v>
      </c>
      <c r="B57" s="3"/>
      <c r="C57" s="3"/>
      <c r="D57" s="3"/>
      <c r="E57" s="3"/>
      <c r="F57" s="3"/>
      <c r="G57" s="3"/>
      <c r="H57" s="3"/>
      <c r="I57" s="3"/>
    </row>
    <row r="58">
      <c r="A58" s="11">
        <v>43732</v>
      </c>
      <c r="B58" s="5"/>
      <c r="C58" s="5"/>
      <c r="D58" s="5"/>
      <c r="E58" s="5"/>
      <c r="F58" s="5"/>
      <c r="G58" s="5"/>
      <c r="H58" s="5"/>
      <c r="I58" s="5"/>
    </row>
    <row r="59">
      <c r="A59" s="11">
        <v>43733</v>
      </c>
      <c r="B59" s="3">
        <v>6400</v>
      </c>
      <c r="C59" s="3"/>
      <c r="D59" s="3"/>
      <c r="E59" s="3"/>
      <c r="F59" s="3"/>
      <c r="G59" s="3"/>
      <c r="H59" s="3"/>
      <c r="I59" s="3"/>
    </row>
    <row r="60">
      <c r="A60" s="11">
        <v>43734</v>
      </c>
      <c r="B60" s="5"/>
      <c r="C60" s="5"/>
      <c r="D60" s="5"/>
      <c r="E60" s="5"/>
      <c r="F60" s="5"/>
      <c r="G60" s="5"/>
      <c r="H60" s="5"/>
      <c r="I60" s="5"/>
    </row>
    <row r="61">
      <c r="A61" s="11">
        <v>43735</v>
      </c>
      <c r="B61" s="3"/>
      <c r="C61" s="3"/>
      <c r="D61" s="3"/>
      <c r="E61" s="3"/>
      <c r="F61" s="3"/>
      <c r="G61" s="3"/>
      <c r="H61" s="3"/>
      <c r="I61" s="3"/>
    </row>
    <row r="62">
      <c r="A62" s="11">
        <v>43736</v>
      </c>
      <c r="B62" s="5"/>
      <c r="C62" s="5"/>
      <c r="D62" s="5"/>
      <c r="E62" s="5">
        <v>39.079999999999998</v>
      </c>
      <c r="F62" s="5"/>
      <c r="G62" s="5"/>
      <c r="H62" s="5"/>
      <c r="I62" s="5"/>
    </row>
    <row r="63">
      <c r="A63" s="11">
        <v>43737</v>
      </c>
      <c r="B63" s="3"/>
      <c r="C63" s="3"/>
      <c r="D63" s="3"/>
      <c r="E63" s="3"/>
      <c r="F63" s="3"/>
      <c r="G63" s="3"/>
      <c r="H63" s="3"/>
      <c r="I63" s="3"/>
    </row>
    <row r="64">
      <c r="A64" s="11">
        <v>43738</v>
      </c>
      <c r="B64" s="5"/>
      <c r="C64" s="5"/>
      <c r="D64" s="5"/>
      <c r="E64" s="5">
        <f>1073.73+20.66</f>
        <v>1094.3900000000001</v>
      </c>
      <c r="F64" s="5"/>
      <c r="G64" s="5"/>
      <c r="H64" s="5"/>
      <c r="I64" s="5"/>
    </row>
    <row r="65">
      <c r="A65" s="7"/>
      <c r="B65" s="7">
        <f t="shared" ref="B65:H65" si="8">SUM(B35:B64)</f>
        <v>44790.360000000001</v>
      </c>
      <c r="C65" s="7">
        <f t="shared" si="8"/>
        <v>0</v>
      </c>
      <c r="D65" s="7">
        <f t="shared" si="8"/>
        <v>2000</v>
      </c>
      <c r="E65" s="7">
        <f t="shared" si="8"/>
        <v>1133.47</v>
      </c>
      <c r="F65" s="7">
        <f t="shared" si="8"/>
        <v>0</v>
      </c>
      <c r="G65" s="7">
        <f t="shared" si="8"/>
        <v>0</v>
      </c>
      <c r="H65" s="7">
        <f t="shared" si="8"/>
        <v>0</v>
      </c>
      <c r="I65" s="7">
        <f>SUM(B65:H65)</f>
        <v>47923.830000000002</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3"/>
  <legacyDrawing r:id="rId4"/>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RowHeight="14.25"/>
  <cols>
    <col customWidth="1" min="1" max="1" width="10.710937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16"/>
    </row>
    <row r="2">
      <c r="A2" s="103">
        <v>44713</v>
      </c>
      <c r="B2" s="14"/>
      <c r="C2" s="14"/>
      <c r="D2" s="14"/>
      <c r="E2" s="14">
        <v>980</v>
      </c>
      <c r="F2" s="14"/>
      <c r="G2" s="14"/>
      <c r="H2" s="14"/>
      <c r="I2" s="14"/>
      <c r="J2" s="14"/>
      <c r="K2" s="14"/>
      <c r="L2" s="14"/>
      <c r="M2" s="14"/>
      <c r="N2" s="14"/>
      <c r="O2" s="14"/>
      <c r="P2" s="14"/>
      <c r="Q2" s="14"/>
      <c r="R2" s="14"/>
      <c r="S2" s="14"/>
      <c r="T2" s="116"/>
    </row>
    <row r="3">
      <c r="A3" s="103">
        <v>44714</v>
      </c>
      <c r="B3" s="5">
        <f>100+0</f>
        <v>100</v>
      </c>
      <c r="C3" s="5"/>
      <c r="D3" s="5"/>
      <c r="E3" s="5"/>
      <c r="F3" s="5"/>
      <c r="G3" s="5"/>
      <c r="H3" s="5"/>
      <c r="I3" s="5"/>
      <c r="J3" s="5"/>
      <c r="K3" s="5"/>
      <c r="L3" s="5"/>
      <c r="M3" s="5"/>
      <c r="N3" s="5"/>
      <c r="O3" s="5"/>
      <c r="P3" s="5"/>
      <c r="Q3" s="5"/>
      <c r="R3" s="5"/>
      <c r="S3" s="5"/>
      <c r="T3" s="116"/>
    </row>
    <row r="4">
      <c r="A4" s="103">
        <v>44715</v>
      </c>
      <c r="B4" s="14"/>
      <c r="C4" s="14">
        <v>1520</v>
      </c>
      <c r="D4" s="14"/>
      <c r="E4" s="14"/>
      <c r="F4" s="14"/>
      <c r="G4" s="14"/>
      <c r="H4" s="14"/>
      <c r="I4" s="14"/>
      <c r="J4" s="14"/>
      <c r="K4" s="14"/>
      <c r="L4" s="14"/>
      <c r="M4" s="14"/>
      <c r="N4" s="14">
        <v>3547</v>
      </c>
      <c r="O4" s="14"/>
      <c r="P4" s="14"/>
      <c r="Q4" s="14"/>
      <c r="R4" s="14"/>
      <c r="S4" s="14"/>
      <c r="T4" s="116"/>
    </row>
    <row r="5">
      <c r="A5" s="103">
        <v>44716</v>
      </c>
      <c r="B5" s="5"/>
      <c r="C5" s="5"/>
      <c r="D5" s="5"/>
      <c r="E5" s="5"/>
      <c r="F5" s="5"/>
      <c r="G5" s="5"/>
      <c r="H5" s="5"/>
      <c r="I5" s="5"/>
      <c r="J5" s="5"/>
      <c r="K5" s="5"/>
      <c r="L5" s="5"/>
      <c r="M5" s="5"/>
      <c r="N5" s="5"/>
      <c r="O5" s="5"/>
      <c r="P5" s="5"/>
      <c r="Q5" s="5"/>
      <c r="R5" s="5"/>
      <c r="S5" s="5"/>
      <c r="T5" s="116"/>
    </row>
    <row r="6">
      <c r="A6" s="103">
        <v>44717</v>
      </c>
      <c r="B6" s="14">
        <f>0</f>
        <v>0</v>
      </c>
      <c r="C6" s="14">
        <v>3960</v>
      </c>
      <c r="D6" s="14"/>
      <c r="E6" s="14"/>
      <c r="F6" s="14"/>
      <c r="G6" s="14"/>
      <c r="H6" s="14"/>
      <c r="I6" s="14"/>
      <c r="J6" s="14"/>
      <c r="K6" s="14"/>
      <c r="L6" s="14"/>
      <c r="M6" s="14"/>
      <c r="N6" s="14"/>
      <c r="O6" s="14"/>
      <c r="P6" s="14"/>
      <c r="Q6" s="14"/>
      <c r="R6" s="14"/>
      <c r="S6" s="14"/>
      <c r="T6" s="116"/>
    </row>
    <row r="7">
      <c r="A7" s="103">
        <v>44718</v>
      </c>
      <c r="B7" s="5">
        <f t="shared" ref="B7:B9" si="134">0+0</f>
        <v>0</v>
      </c>
      <c r="C7" s="5"/>
      <c r="D7" s="5"/>
      <c r="E7" s="5"/>
      <c r="F7" s="5"/>
      <c r="G7" s="5"/>
      <c r="H7" s="5"/>
      <c r="I7" s="5"/>
      <c r="J7" s="5"/>
      <c r="K7" s="5"/>
      <c r="L7" s="5"/>
      <c r="M7" s="5">
        <f>2000*'Сводная таблица'!B84</f>
        <v>8760</v>
      </c>
      <c r="N7" s="5"/>
      <c r="O7" s="5"/>
      <c r="P7" s="5"/>
      <c r="Q7" s="5"/>
      <c r="R7" s="5"/>
      <c r="S7" s="5"/>
      <c r="T7" s="116"/>
    </row>
    <row r="8">
      <c r="A8" s="103">
        <v>44719</v>
      </c>
      <c r="B8" s="14">
        <f t="shared" si="134"/>
        <v>0</v>
      </c>
      <c r="C8" s="14"/>
      <c r="D8" s="14"/>
      <c r="E8" s="14">
        <v>1450</v>
      </c>
      <c r="F8" s="14"/>
      <c r="G8" s="14"/>
      <c r="H8" s="14"/>
      <c r="I8" s="14"/>
      <c r="J8" s="14"/>
      <c r="K8" s="14"/>
      <c r="L8" s="14"/>
      <c r="M8" s="14"/>
      <c r="N8" s="14"/>
      <c r="O8" s="14"/>
      <c r="P8" s="14"/>
      <c r="Q8" s="14"/>
      <c r="R8" s="14"/>
      <c r="S8" s="14"/>
      <c r="T8" s="116"/>
    </row>
    <row r="9">
      <c r="A9" s="103">
        <v>44720</v>
      </c>
      <c r="B9" s="5">
        <f t="shared" si="134"/>
        <v>0</v>
      </c>
      <c r="C9" s="5"/>
      <c r="D9" s="5"/>
      <c r="E9" s="5"/>
      <c r="F9" s="5"/>
      <c r="G9" s="5"/>
      <c r="H9" s="5"/>
      <c r="I9" s="5"/>
      <c r="J9" s="5"/>
      <c r="K9" s="5"/>
      <c r="L9" s="5"/>
      <c r="M9" s="5"/>
      <c r="N9" s="5"/>
      <c r="O9" s="5"/>
      <c r="P9" s="5"/>
      <c r="Q9" s="5"/>
      <c r="R9" s="5"/>
      <c r="S9" s="5"/>
      <c r="T9" s="116"/>
    </row>
    <row r="10">
      <c r="A10" s="103">
        <v>44721</v>
      </c>
      <c r="B10" s="14">
        <f>100</f>
        <v>100</v>
      </c>
      <c r="C10" s="14"/>
      <c r="D10" s="14"/>
      <c r="E10" s="14">
        <v>1190</v>
      </c>
      <c r="F10" s="14"/>
      <c r="G10" s="14"/>
      <c r="H10" s="14"/>
      <c r="I10" s="14"/>
      <c r="J10" s="14"/>
      <c r="K10" s="14"/>
      <c r="L10" s="14"/>
      <c r="M10" s="14"/>
      <c r="N10" s="14"/>
      <c r="O10" s="14"/>
      <c r="P10" s="14"/>
      <c r="Q10" s="14"/>
      <c r="R10" s="14"/>
      <c r="S10" s="14"/>
      <c r="T10" s="116"/>
    </row>
    <row r="11">
      <c r="A11" s="103">
        <v>44722</v>
      </c>
      <c r="B11" s="5">
        <v>300</v>
      </c>
      <c r="C11" s="5">
        <v>5401</v>
      </c>
      <c r="D11" s="5"/>
      <c r="E11" s="5">
        <v>2300</v>
      </c>
      <c r="F11" s="5"/>
      <c r="G11" s="5"/>
      <c r="H11" s="5"/>
      <c r="I11" s="5">
        <f>2490+13580</f>
        <v>16070</v>
      </c>
      <c r="J11" s="5"/>
      <c r="K11" s="5"/>
      <c r="L11" s="5">
        <v>150000</v>
      </c>
      <c r="M11" s="5"/>
      <c r="N11" s="5"/>
      <c r="O11" s="5"/>
      <c r="P11" s="5"/>
      <c r="Q11" s="5"/>
      <c r="R11" s="5"/>
      <c r="S11" s="5"/>
      <c r="T11" s="116"/>
    </row>
    <row r="12">
      <c r="A12" s="103">
        <v>44723</v>
      </c>
      <c r="B12" s="14"/>
      <c r="C12" s="14"/>
      <c r="D12" s="14"/>
      <c r="E12" s="14"/>
      <c r="F12" s="14"/>
      <c r="G12" s="14"/>
      <c r="H12" s="14"/>
      <c r="I12" s="14"/>
      <c r="J12" s="14"/>
      <c r="K12" s="14"/>
      <c r="L12" s="14">
        <f>7000+3018+1003+7203-10510</f>
        <v>7714</v>
      </c>
      <c r="M12" s="14"/>
      <c r="N12" s="14"/>
      <c r="O12" s="14"/>
      <c r="P12" s="14"/>
      <c r="Q12" s="14"/>
      <c r="R12" s="14"/>
      <c r="S12" s="14"/>
      <c r="T12" s="116"/>
    </row>
    <row r="13">
      <c r="A13" s="103">
        <v>44724</v>
      </c>
      <c r="B13" s="5">
        <f>0+0</f>
        <v>0</v>
      </c>
      <c r="C13" s="5"/>
      <c r="D13" s="5"/>
      <c r="E13" s="5">
        <v>1350</v>
      </c>
      <c r="F13" s="5"/>
      <c r="G13" s="5"/>
      <c r="H13" s="5"/>
      <c r="I13" s="5"/>
      <c r="J13" s="5"/>
      <c r="K13" s="5"/>
      <c r="L13" s="5"/>
      <c r="M13" s="5"/>
      <c r="N13" s="5"/>
      <c r="O13" s="5"/>
      <c r="P13" s="5"/>
      <c r="Q13" s="5"/>
      <c r="R13" s="5"/>
      <c r="S13" s="5"/>
      <c r="T13" s="116"/>
    </row>
    <row r="14">
      <c r="A14" s="103">
        <v>44725</v>
      </c>
      <c r="B14" s="14">
        <f>100+(419+20950+2475.5)*'Сводная таблица'!B84</f>
        <v>104538.91</v>
      </c>
      <c r="C14" s="14"/>
      <c r="D14" s="14"/>
      <c r="E14" s="14">
        <v>1390</v>
      </c>
      <c r="F14" s="14"/>
      <c r="G14" s="14"/>
      <c r="H14" s="14"/>
      <c r="I14" s="14"/>
      <c r="J14" s="14"/>
      <c r="K14" s="14"/>
      <c r="L14" s="14"/>
      <c r="M14" s="14"/>
      <c r="N14" s="14"/>
      <c r="O14" s="14"/>
      <c r="P14" s="14"/>
      <c r="Q14" s="14"/>
      <c r="R14" s="14"/>
      <c r="S14" s="14"/>
      <c r="T14" s="116"/>
    </row>
    <row r="15">
      <c r="A15" s="103">
        <v>44726</v>
      </c>
      <c r="B15" s="5">
        <f>100</f>
        <v>100</v>
      </c>
      <c r="C15" s="5">
        <v>300</v>
      </c>
      <c r="D15" s="5"/>
      <c r="E15" s="5">
        <v>1490</v>
      </c>
      <c r="F15" s="5"/>
      <c r="G15" s="5"/>
      <c r="H15" s="5"/>
      <c r="I15" s="5"/>
      <c r="J15" s="5"/>
      <c r="K15" s="5"/>
      <c r="L15" s="5"/>
      <c r="M15" s="5"/>
      <c r="N15" s="5"/>
      <c r="O15" s="5"/>
      <c r="P15" s="5"/>
      <c r="Q15" s="5"/>
      <c r="R15" s="5"/>
      <c r="S15" s="5"/>
      <c r="T15" s="116"/>
    </row>
    <row r="16">
      <c r="A16" s="103">
        <v>44727</v>
      </c>
      <c r="B16" s="14"/>
      <c r="C16" s="97"/>
      <c r="D16" s="14"/>
      <c r="E16" s="14">
        <v>1450</v>
      </c>
      <c r="F16" s="14"/>
      <c r="G16" s="14"/>
      <c r="H16" s="14"/>
      <c r="I16" s="14"/>
      <c r="J16" s="14"/>
      <c r="K16" s="14"/>
      <c r="L16" s="14"/>
      <c r="M16" s="14"/>
      <c r="N16" s="14"/>
      <c r="O16" s="14"/>
      <c r="P16" s="14"/>
      <c r="Q16" s="14"/>
      <c r="R16" s="14"/>
      <c r="S16" s="14"/>
      <c r="T16" s="116"/>
    </row>
    <row r="17">
      <c r="A17" s="103">
        <v>44728</v>
      </c>
      <c r="B17" s="5">
        <f>100+70+1600</f>
        <v>1770</v>
      </c>
      <c r="C17" s="6"/>
      <c r="D17" s="5"/>
      <c r="E17" s="5">
        <v>1290</v>
      </c>
      <c r="F17" s="5"/>
      <c r="G17" s="5"/>
      <c r="H17" s="5"/>
      <c r="I17" s="5"/>
      <c r="J17" s="5"/>
      <c r="K17" s="5"/>
      <c r="L17" s="5"/>
      <c r="M17" s="5"/>
      <c r="N17" s="5"/>
      <c r="O17" s="5"/>
      <c r="P17" s="5"/>
      <c r="Q17" s="5"/>
      <c r="R17" s="5"/>
      <c r="S17" s="5"/>
      <c r="T17" s="116"/>
    </row>
    <row r="18">
      <c r="A18" s="103">
        <v>44729</v>
      </c>
      <c r="B18" s="14">
        <f>(56+1112+127)*'Сводная таблица'!B84</f>
        <v>5672.0999999999995</v>
      </c>
      <c r="C18" s="14">
        <f>(154.8+54.99)*'Сводная таблица'!B84</f>
        <v>918.88020000000006</v>
      </c>
      <c r="D18" s="14"/>
      <c r="E18" s="14">
        <f>370*'Сводная таблица'!B84</f>
        <v>1620.5999999999999</v>
      </c>
      <c r="F18" s="14"/>
      <c r="G18" s="14"/>
      <c r="H18" s="14"/>
      <c r="I18" s="14"/>
      <c r="J18" s="14">
        <f>990*'Сводная таблица'!B84</f>
        <v>4336.1999999999998</v>
      </c>
      <c r="K18" s="14"/>
      <c r="L18" s="14"/>
      <c r="M18" s="14"/>
      <c r="N18" s="14"/>
      <c r="O18" s="14"/>
      <c r="P18" s="14"/>
      <c r="Q18" s="14"/>
      <c r="R18" s="14"/>
      <c r="S18" s="14"/>
      <c r="T18" s="116"/>
    </row>
    <row r="19">
      <c r="A19" s="103">
        <v>44730</v>
      </c>
      <c r="B19" s="5"/>
      <c r="C19" s="5"/>
      <c r="D19" s="5"/>
      <c r="E19" s="5">
        <f>(678+244)*'Сводная таблица'!B84</f>
        <v>4038.3600000000001</v>
      </c>
      <c r="F19" s="5"/>
      <c r="G19" s="5"/>
      <c r="H19" s="5"/>
      <c r="I19" s="5"/>
      <c r="J19" s="5"/>
      <c r="K19" s="5"/>
      <c r="L19" s="5"/>
      <c r="M19" s="5"/>
      <c r="N19" s="5">
        <f>630*'Сводная таблица'!B84</f>
        <v>2759.4000000000001</v>
      </c>
      <c r="O19" s="5"/>
      <c r="P19" s="5"/>
      <c r="Q19" s="5"/>
      <c r="R19" s="6"/>
      <c r="S19" s="5"/>
      <c r="T19" s="116"/>
    </row>
    <row r="20">
      <c r="A20" s="103">
        <v>44731</v>
      </c>
      <c r="B20" s="14">
        <f>2475.5*'Сводная таблица'!B84</f>
        <v>10842.690000000001</v>
      </c>
      <c r="C20" s="14">
        <f>114.98*'Сводная таблица'!B84</f>
        <v>503.61239999999998</v>
      </c>
      <c r="D20" s="14"/>
      <c r="E20" s="14">
        <f>254*'Сводная таблица'!B84</f>
        <v>1112.52</v>
      </c>
      <c r="F20" s="14"/>
      <c r="G20" s="14"/>
      <c r="H20" s="14"/>
      <c r="I20" s="14"/>
      <c r="J20" s="14"/>
      <c r="K20" s="14"/>
      <c r="L20" s="14"/>
      <c r="M20" s="14"/>
      <c r="N20" s="14"/>
      <c r="O20" s="14"/>
      <c r="P20" s="34"/>
      <c r="Q20" s="14"/>
      <c r="R20" s="14"/>
      <c r="S20" s="14"/>
      <c r="T20" s="116"/>
    </row>
    <row r="21">
      <c r="A21" s="103">
        <v>44732</v>
      </c>
      <c r="B21" s="69">
        <f>(25+25)*'Сводная таблица'!B84</f>
        <v>219</v>
      </c>
      <c r="C21" s="6"/>
      <c r="D21" s="5"/>
      <c r="E21" s="5">
        <f>720*'Сводная таблица'!B84</f>
        <v>3153.5999999999999</v>
      </c>
      <c r="F21" s="5"/>
      <c r="G21" s="5"/>
      <c r="H21" s="5"/>
      <c r="I21" s="5">
        <f>(1298+860)*'Сводная таблица'!B84</f>
        <v>9452.0399999999991</v>
      </c>
      <c r="J21" s="5"/>
      <c r="K21" s="5"/>
      <c r="L21" s="5"/>
      <c r="M21" s="5"/>
      <c r="N21" s="5"/>
      <c r="O21" s="5"/>
      <c r="P21" s="5"/>
      <c r="Q21" s="5"/>
      <c r="R21" s="5">
        <f>620*'Сводная таблица'!B84</f>
        <v>2715.5999999999999</v>
      </c>
      <c r="S21" s="5"/>
      <c r="T21" s="116"/>
    </row>
    <row r="22">
      <c r="A22" s="103">
        <v>44733</v>
      </c>
      <c r="B22" s="22"/>
      <c r="C22" s="14"/>
      <c r="D22" s="14"/>
      <c r="E22" s="14">
        <f>(1660+450)*'Сводная таблица'!B84</f>
        <v>9241.7999999999993</v>
      </c>
      <c r="F22" s="14"/>
      <c r="G22" s="14"/>
      <c r="H22" s="14"/>
      <c r="I22" s="14"/>
      <c r="J22" s="14"/>
      <c r="K22" s="14"/>
      <c r="L22" s="14"/>
      <c r="M22" s="14"/>
      <c r="N22" s="14"/>
      <c r="O22" s="14"/>
      <c r="P22" s="14"/>
      <c r="Q22" s="14"/>
      <c r="R22" s="14"/>
      <c r="S22" s="14"/>
      <c r="T22" s="116"/>
    </row>
    <row r="23">
      <c r="A23" s="103">
        <v>44734</v>
      </c>
      <c r="B23" s="5"/>
      <c r="C23" s="5"/>
      <c r="D23" s="5"/>
      <c r="E23" s="5"/>
      <c r="F23" s="5"/>
      <c r="G23" s="5"/>
      <c r="H23" s="5"/>
      <c r="I23" s="5"/>
      <c r="J23" s="5"/>
      <c r="K23" s="5">
        <f>295*'Сводная таблица'!B84</f>
        <v>1292.0999999999999</v>
      </c>
      <c r="L23" s="5"/>
      <c r="M23" s="5"/>
      <c r="N23" s="5"/>
      <c r="O23" s="5"/>
      <c r="P23" s="5"/>
      <c r="Q23" s="5"/>
      <c r="R23" s="5"/>
      <c r="S23" s="5"/>
      <c r="T23" s="116"/>
    </row>
    <row r="24">
      <c r="A24" s="103">
        <v>44735</v>
      </c>
      <c r="B24" s="14">
        <f>(25+25)*'Сводная таблица'!B84</f>
        <v>219</v>
      </c>
      <c r="C24" s="14"/>
      <c r="D24" s="14"/>
      <c r="E24" s="14"/>
      <c r="F24" s="14"/>
      <c r="G24" s="14"/>
      <c r="H24" s="14"/>
      <c r="I24" s="14"/>
      <c r="J24" s="14"/>
      <c r="K24" s="14"/>
      <c r="L24" s="14"/>
      <c r="M24" s="14"/>
      <c r="N24" s="14"/>
      <c r="O24" s="14"/>
      <c r="P24" s="14"/>
      <c r="Q24" s="14"/>
      <c r="R24" s="14"/>
      <c r="S24" s="14"/>
      <c r="T24" s="116"/>
    </row>
    <row r="25">
      <c r="A25" s="103">
        <v>44736</v>
      </c>
      <c r="B25" s="28"/>
      <c r="C25" s="5"/>
      <c r="D25" s="5"/>
      <c r="E25" s="5"/>
      <c r="F25" s="5"/>
      <c r="G25" s="5"/>
      <c r="H25" s="5"/>
      <c r="I25" s="5"/>
      <c r="J25" s="5"/>
      <c r="K25" s="5"/>
      <c r="L25" s="5"/>
      <c r="M25" s="5"/>
      <c r="N25" s="5"/>
      <c r="O25" s="5"/>
      <c r="P25" s="5"/>
      <c r="Q25" s="5"/>
      <c r="R25" s="5"/>
      <c r="S25" s="5"/>
      <c r="T25" s="116"/>
    </row>
    <row r="26">
      <c r="A26" s="103">
        <v>44737</v>
      </c>
      <c r="B26" s="14">
        <f>1800+(1+250+25)*'Сводная таблица'!B84</f>
        <v>3008.8800000000001</v>
      </c>
      <c r="C26" s="14"/>
      <c r="D26" s="14"/>
      <c r="E26" s="14">
        <f>294*'Сводная таблица'!B84</f>
        <v>1287.72</v>
      </c>
      <c r="F26" s="14"/>
      <c r="G26" s="14"/>
      <c r="H26" s="14"/>
      <c r="I26" s="14"/>
      <c r="J26" s="14"/>
      <c r="K26" s="14"/>
      <c r="L26" s="14"/>
      <c r="M26" s="14"/>
      <c r="N26" s="14"/>
      <c r="O26" s="14"/>
      <c r="P26" s="14"/>
      <c r="Q26" s="14"/>
      <c r="R26" s="14"/>
      <c r="S26" s="14"/>
      <c r="T26" s="116"/>
    </row>
    <row r="27">
      <c r="A27" s="103">
        <v>44738</v>
      </c>
      <c r="B27" s="5">
        <f>100+0</f>
        <v>100</v>
      </c>
      <c r="C27" s="6"/>
      <c r="D27" s="5"/>
      <c r="E27" s="5">
        <v>1130</v>
      </c>
      <c r="F27" s="5">
        <f>3000*'Сводная таблица'!B84</f>
        <v>13140</v>
      </c>
      <c r="G27" s="5"/>
      <c r="H27" s="5"/>
      <c r="I27" s="5"/>
      <c r="J27" s="5"/>
      <c r="K27" s="5"/>
      <c r="L27" s="5"/>
      <c r="M27" s="5"/>
      <c r="N27" s="5"/>
      <c r="O27" s="5"/>
      <c r="P27" s="5"/>
      <c r="Q27" s="5"/>
      <c r="R27" s="5"/>
      <c r="S27" s="5"/>
      <c r="T27" s="116"/>
    </row>
    <row r="28">
      <c r="A28" s="103">
        <v>44739</v>
      </c>
      <c r="B28" s="14">
        <f>100</f>
        <v>100</v>
      </c>
      <c r="C28" s="14">
        <f>1620</f>
        <v>1620</v>
      </c>
      <c r="D28" s="14"/>
      <c r="E28" s="14">
        <v>1625</v>
      </c>
      <c r="F28" s="14"/>
      <c r="G28" s="14"/>
      <c r="H28" s="14"/>
      <c r="I28" s="14"/>
      <c r="J28" s="14">
        <v>2150</v>
      </c>
      <c r="K28" s="14"/>
      <c r="L28" s="14"/>
      <c r="M28" s="14"/>
      <c r="N28" s="14"/>
      <c r="O28" s="14"/>
      <c r="P28" s="14"/>
      <c r="Q28" s="14"/>
      <c r="R28" s="14"/>
      <c r="S28" s="14"/>
      <c r="T28" s="116"/>
    </row>
    <row r="29">
      <c r="A29" s="103">
        <v>44740</v>
      </c>
      <c r="B29" s="5">
        <f>0+0</f>
        <v>0</v>
      </c>
      <c r="C29" s="5">
        <v>280</v>
      </c>
      <c r="D29" s="5"/>
      <c r="E29" s="5">
        <v>840</v>
      </c>
      <c r="F29" s="5"/>
      <c r="G29" s="5"/>
      <c r="H29" s="5"/>
      <c r="I29" s="5"/>
      <c r="J29" s="5"/>
      <c r="K29" s="5"/>
      <c r="L29" s="5"/>
      <c r="M29" s="5"/>
      <c r="N29" s="5">
        <v>2900</v>
      </c>
      <c r="O29" s="5"/>
      <c r="P29" s="5"/>
      <c r="Q29" s="5"/>
      <c r="R29" s="5"/>
      <c r="S29" s="5"/>
      <c r="T29" s="116"/>
    </row>
    <row r="30">
      <c r="A30" s="103">
        <v>44741</v>
      </c>
      <c r="B30" s="22">
        <f t="shared" ref="B30:B31" si="135">0</f>
        <v>0</v>
      </c>
      <c r="C30" s="22">
        <v>2390</v>
      </c>
      <c r="D30" s="22"/>
      <c r="E30" s="22"/>
      <c r="F30" s="22">
        <f>-3000*'Сводная таблица'!B84</f>
        <v>-13140</v>
      </c>
      <c r="G30" s="22"/>
      <c r="H30" s="22"/>
      <c r="I30" s="22"/>
      <c r="J30" s="22"/>
      <c r="K30" s="22"/>
      <c r="L30" s="22"/>
      <c r="M30" s="22"/>
      <c r="N30" s="22"/>
      <c r="O30" s="22"/>
      <c r="P30" s="22"/>
      <c r="Q30" s="22"/>
      <c r="R30" s="22"/>
      <c r="S30" s="22"/>
      <c r="T30" s="116"/>
    </row>
    <row r="31">
      <c r="A31" s="103">
        <v>44742</v>
      </c>
      <c r="B31" s="5">
        <f t="shared" si="135"/>
        <v>0</v>
      </c>
      <c r="C31" s="5">
        <v>1060</v>
      </c>
      <c r="D31" s="5"/>
      <c r="E31" s="5">
        <v>1330</v>
      </c>
      <c r="F31" s="5"/>
      <c r="G31" s="5"/>
      <c r="H31" s="5"/>
      <c r="I31" s="5"/>
      <c r="J31" s="5"/>
      <c r="K31" s="5"/>
      <c r="L31" s="5"/>
      <c r="M31" s="5"/>
      <c r="N31" s="5"/>
      <c r="O31" s="5"/>
      <c r="P31" s="5"/>
      <c r="Q31" s="5"/>
      <c r="R31" s="5"/>
      <c r="S31" s="5"/>
      <c r="T31" s="116"/>
    </row>
    <row r="32">
      <c r="A32" s="103"/>
      <c r="B32" s="22"/>
      <c r="C32" s="22"/>
      <c r="D32" s="22"/>
      <c r="E32" s="22"/>
      <c r="F32" s="22"/>
      <c r="G32" s="22"/>
      <c r="H32" s="22"/>
      <c r="I32" s="22"/>
      <c r="J32" s="22"/>
      <c r="K32" s="22"/>
      <c r="L32" s="22"/>
      <c r="M32" s="22"/>
      <c r="N32" s="22"/>
      <c r="O32" s="22"/>
      <c r="P32" s="22"/>
      <c r="Q32" s="22"/>
      <c r="R32" s="22"/>
      <c r="S32" s="22"/>
      <c r="T32" s="116"/>
    </row>
    <row r="33">
      <c r="A33" s="113" t="s">
        <v>87</v>
      </c>
      <c r="B33" s="113">
        <f>SUM(B2:B32)</f>
        <v>127070.58000000002</v>
      </c>
      <c r="C33" s="113">
        <f>SUM(C2:C32)</f>
        <v>17953.492599999998</v>
      </c>
      <c r="D33" s="113">
        <f>SUM(D2:D32)</f>
        <v>0</v>
      </c>
      <c r="E33" s="113">
        <f>SUM(E2:E32)</f>
        <v>38269.599999999999</v>
      </c>
      <c r="F33" s="113">
        <f>SUM(F2:F32)</f>
        <v>0</v>
      </c>
      <c r="G33" s="113">
        <f>SUM(G2:G32)</f>
        <v>0</v>
      </c>
      <c r="H33" s="113">
        <f>SUM(H2:H32)</f>
        <v>0</v>
      </c>
      <c r="I33" s="113">
        <f>SUM(I2:I32)</f>
        <v>25522.040000000001</v>
      </c>
      <c r="J33" s="113">
        <f>SUM(J2:J32)</f>
        <v>6486.1999999999998</v>
      </c>
      <c r="K33" s="113">
        <f>SUM(K2:K32)</f>
        <v>1292.0999999999999</v>
      </c>
      <c r="L33" s="113">
        <f>SUM(L2:L32)</f>
        <v>157714</v>
      </c>
      <c r="M33" s="113">
        <f>SUM(M2:M32)</f>
        <v>8760</v>
      </c>
      <c r="N33" s="113">
        <f>SUM(N2:N32)</f>
        <v>9206.3999999999996</v>
      </c>
      <c r="O33" s="113">
        <f>SUM(O2:O32)</f>
        <v>0</v>
      </c>
      <c r="P33" s="113">
        <f>SUM(P2:P32)</f>
        <v>0</v>
      </c>
      <c r="Q33" s="113">
        <f>SUM(Q2:Q32)</f>
        <v>0</v>
      </c>
      <c r="R33" s="113">
        <f>SUM(R2:R32)</f>
        <v>2715.5999999999999</v>
      </c>
      <c r="S33" s="113">
        <f>SUM(B33:R33)+SUM(S2:S32)</f>
        <v>394990.01260000002</v>
      </c>
      <c r="T33" s="124" t="s">
        <v>88</v>
      </c>
    </row>
    <row r="34">
      <c r="A34" s="108" t="s">
        <v>89</v>
      </c>
      <c r="B34" s="110">
        <f>B33/'Сводная таблица'!B67</f>
        <v>29011.547945205482</v>
      </c>
      <c r="C34" s="110">
        <f>C33/'Сводная таблица'!B67</f>
        <v>4098.9709132420085</v>
      </c>
      <c r="D34" s="110">
        <f>D33/'Сводная таблица'!B67</f>
        <v>0</v>
      </c>
      <c r="E34" s="110">
        <f>E33/'Сводная таблица'!B67</f>
        <v>8737.3515981735163</v>
      </c>
      <c r="F34" s="110">
        <f>F33/'Сводная таблица'!B67</f>
        <v>0</v>
      </c>
      <c r="G34" s="110">
        <f>G33/'Сводная таблица'!B67</f>
        <v>0</v>
      </c>
      <c r="H34" s="110">
        <f>H33/'Сводная таблица'!B67</f>
        <v>0</v>
      </c>
      <c r="I34" s="110">
        <f>I33/'Сводная таблица'!B67</f>
        <v>5826.9497716894984</v>
      </c>
      <c r="J34" s="110">
        <f>J33/'Сводная таблица'!B67</f>
        <v>1480.8675799086759</v>
      </c>
      <c r="K34" s="110">
        <f>K33/'Сводная таблица'!B67</f>
        <v>295</v>
      </c>
      <c r="L34" s="110">
        <f>L33/'Сводная таблица'!B67</f>
        <v>36007.762557077629</v>
      </c>
      <c r="M34" s="110">
        <f>M33/'Сводная таблица'!B67</f>
        <v>2000</v>
      </c>
      <c r="N34" s="110">
        <f>N33/'Сводная таблица'!B67</f>
        <v>2101.9178082191779</v>
      </c>
      <c r="O34" s="110">
        <f>O33/'Сводная таблица'!B67</f>
        <v>0</v>
      </c>
      <c r="P34" s="110">
        <f>P33/'Сводная таблица'!B67</f>
        <v>0</v>
      </c>
      <c r="Q34" s="110">
        <f>Q33/'Сводная таблица'!B67</f>
        <v>0</v>
      </c>
      <c r="R34" s="110">
        <f>R33/'Сводная таблица'!B67</f>
        <v>620</v>
      </c>
      <c r="S34" s="120">
        <f>S33/'Сводная таблица'!B67</f>
        <v>90180.368173515992</v>
      </c>
      <c r="T34" s="125" t="s">
        <v>90</v>
      </c>
    </row>
    <row r="35">
      <c r="A35" s="121" t="s">
        <v>0</v>
      </c>
      <c r="B35" s="121" t="s">
        <v>50</v>
      </c>
      <c r="C35" s="121" t="s">
        <v>13</v>
      </c>
      <c r="D35" s="121" t="s">
        <v>11</v>
      </c>
      <c r="E35" s="121" t="s">
        <v>51</v>
      </c>
      <c r="F35" s="121" t="s">
        <v>52</v>
      </c>
      <c r="G35" s="121"/>
      <c r="H35" s="121" t="s">
        <v>54</v>
      </c>
      <c r="I35" s="121" t="s">
        <v>55</v>
      </c>
      <c r="J35" s="121" t="s">
        <v>61</v>
      </c>
      <c r="K35" s="121" t="s">
        <v>74</v>
      </c>
      <c r="L35" s="122"/>
      <c r="M35" s="122"/>
      <c r="N35" s="122"/>
      <c r="O35" s="122"/>
      <c r="P35" s="122"/>
      <c r="Q35" s="122"/>
      <c r="R35" s="122"/>
      <c r="S35" s="122"/>
      <c r="T35" s="116"/>
    </row>
    <row r="36">
      <c r="A36" s="103">
        <v>44713</v>
      </c>
      <c r="B36" s="14"/>
      <c r="C36" s="14"/>
      <c r="D36" s="14"/>
      <c r="E36" s="14"/>
      <c r="F36" s="14"/>
      <c r="G36" s="14"/>
      <c r="H36" s="14"/>
      <c r="I36" s="14"/>
      <c r="J36" s="22"/>
      <c r="K36" s="22"/>
      <c r="L36" s="22"/>
      <c r="M36" s="22"/>
      <c r="N36" s="22"/>
      <c r="O36" s="22"/>
      <c r="P36" s="22"/>
      <c r="Q36" s="22"/>
      <c r="R36" s="22"/>
      <c r="S36" s="22"/>
      <c r="T36" s="116"/>
    </row>
    <row r="37">
      <c r="A37" s="103">
        <v>44714</v>
      </c>
      <c r="B37" s="5"/>
      <c r="C37" s="5"/>
      <c r="D37" s="5"/>
      <c r="E37" s="5"/>
      <c r="F37" s="5"/>
      <c r="G37" s="5"/>
      <c r="H37" s="5"/>
      <c r="I37" s="5"/>
      <c r="J37" s="5"/>
      <c r="K37" s="5"/>
      <c r="L37" s="5"/>
      <c r="M37" s="5"/>
      <c r="N37" s="5"/>
      <c r="O37" s="5"/>
      <c r="P37" s="5"/>
      <c r="Q37" s="5"/>
      <c r="R37" s="5"/>
      <c r="S37" s="5"/>
      <c r="T37" s="116"/>
    </row>
    <row r="38">
      <c r="A38" s="103">
        <v>44715</v>
      </c>
      <c r="B38" s="14"/>
      <c r="C38" s="14"/>
      <c r="D38" s="14"/>
      <c r="E38" s="14"/>
      <c r="F38" s="14"/>
      <c r="G38" s="14"/>
      <c r="H38" s="14"/>
      <c r="I38" s="14"/>
      <c r="J38" s="22"/>
      <c r="K38" s="22"/>
      <c r="L38" s="22"/>
      <c r="M38" s="22"/>
      <c r="N38" s="22"/>
      <c r="O38" s="22"/>
      <c r="P38" s="22"/>
      <c r="Q38" s="22"/>
      <c r="R38" s="22"/>
      <c r="S38" s="22"/>
      <c r="T38" s="116"/>
    </row>
    <row r="39">
      <c r="A39" s="103">
        <v>44716</v>
      </c>
      <c r="B39" s="5"/>
      <c r="C39" s="5"/>
      <c r="D39" s="5"/>
      <c r="E39" s="71"/>
      <c r="F39" s="5"/>
      <c r="G39" s="5"/>
      <c r="H39" s="5"/>
      <c r="I39" s="5"/>
      <c r="J39" s="5"/>
      <c r="K39" s="5"/>
      <c r="L39" s="5"/>
      <c r="M39" s="5"/>
      <c r="N39" s="5"/>
      <c r="O39" s="5"/>
      <c r="P39" s="5"/>
      <c r="Q39" s="5"/>
      <c r="R39" s="5"/>
      <c r="S39" s="5"/>
      <c r="T39" s="116"/>
    </row>
    <row r="40">
      <c r="A40" s="103">
        <v>44717</v>
      </c>
      <c r="B40" s="14">
        <v>250000</v>
      </c>
      <c r="C40" s="14"/>
      <c r="D40" s="14"/>
      <c r="E40" s="14"/>
      <c r="F40" s="14"/>
      <c r="G40" s="14"/>
      <c r="H40" s="14"/>
      <c r="I40" s="14"/>
      <c r="J40" s="14"/>
      <c r="K40" s="14"/>
      <c r="L40" s="14"/>
      <c r="M40" s="14"/>
      <c r="N40" s="14"/>
      <c r="O40" s="14"/>
      <c r="P40" s="14"/>
      <c r="Q40" s="14"/>
      <c r="R40" s="14"/>
      <c r="S40" s="14"/>
      <c r="T40" s="116"/>
    </row>
    <row r="41">
      <c r="A41" s="103">
        <v>44718</v>
      </c>
      <c r="B41" s="5"/>
      <c r="C41" s="5"/>
      <c r="D41" s="5"/>
      <c r="E41" s="5"/>
      <c r="F41" s="5"/>
      <c r="G41" s="5"/>
      <c r="H41" s="5"/>
      <c r="I41" s="5"/>
      <c r="J41" s="5"/>
      <c r="K41" s="5"/>
      <c r="L41" s="5"/>
      <c r="M41" s="5"/>
      <c r="N41" s="5"/>
      <c r="O41" s="5"/>
      <c r="P41" s="5"/>
      <c r="Q41" s="5"/>
      <c r="R41" s="5"/>
      <c r="S41" s="5"/>
      <c r="T41" s="116"/>
    </row>
    <row r="42">
      <c r="A42" s="103">
        <v>44719</v>
      </c>
      <c r="B42" s="14"/>
      <c r="C42" s="14"/>
      <c r="D42" s="14"/>
      <c r="E42" s="14"/>
      <c r="F42" s="14"/>
      <c r="G42" s="14"/>
      <c r="H42" s="14"/>
      <c r="I42" s="14"/>
      <c r="J42" s="14"/>
      <c r="K42" s="14"/>
      <c r="L42" s="14"/>
      <c r="M42" s="14"/>
      <c r="N42" s="14"/>
      <c r="O42" s="14"/>
      <c r="P42" s="14"/>
      <c r="Q42" s="14"/>
      <c r="R42" s="14"/>
      <c r="S42" s="14"/>
      <c r="T42" s="116"/>
    </row>
    <row r="43">
      <c r="A43" s="103">
        <v>44720</v>
      </c>
      <c r="B43" s="5"/>
      <c r="C43" s="5"/>
      <c r="D43" s="5"/>
      <c r="E43" s="5"/>
      <c r="F43" s="5"/>
      <c r="G43" s="5"/>
      <c r="H43" s="5"/>
      <c r="I43" s="5"/>
      <c r="J43" s="5"/>
      <c r="K43" s="5"/>
      <c r="L43" s="5"/>
      <c r="M43" s="5"/>
      <c r="N43" s="5"/>
      <c r="O43" s="5"/>
      <c r="P43" s="5"/>
      <c r="Q43" s="5"/>
      <c r="R43" s="5"/>
      <c r="S43" s="5"/>
      <c r="T43" s="116"/>
    </row>
    <row r="44">
      <c r="A44" s="103">
        <v>44721</v>
      </c>
      <c r="B44" s="79"/>
      <c r="C44" s="14"/>
      <c r="D44" s="14"/>
      <c r="E44" s="14"/>
      <c r="F44" s="14"/>
      <c r="G44" s="14"/>
      <c r="H44" s="14"/>
      <c r="I44" s="14"/>
      <c r="J44" s="14"/>
      <c r="K44" s="14"/>
      <c r="L44" s="14"/>
      <c r="M44" s="14"/>
      <c r="N44" s="14"/>
      <c r="O44" s="14"/>
      <c r="P44" s="14"/>
      <c r="Q44" s="14"/>
      <c r="R44" s="14"/>
      <c r="S44" s="14"/>
      <c r="T44" s="116"/>
    </row>
    <row r="45">
      <c r="A45" s="103">
        <v>44722</v>
      </c>
      <c r="B45" s="5"/>
      <c r="C45" s="5"/>
      <c r="D45" s="5"/>
      <c r="E45" s="5"/>
      <c r="F45" s="5"/>
      <c r="G45" s="5"/>
      <c r="H45" s="5"/>
      <c r="I45" s="5">
        <f>519*'Сводная таблица'!B84</f>
        <v>2273.2199999999998</v>
      </c>
      <c r="J45" s="5"/>
      <c r="K45" s="5"/>
      <c r="L45" s="5"/>
      <c r="M45" s="5"/>
      <c r="N45" s="5"/>
      <c r="O45" s="5"/>
      <c r="P45" s="5"/>
      <c r="Q45" s="5"/>
      <c r="R45" s="5"/>
      <c r="S45" s="5"/>
      <c r="T45" s="116"/>
    </row>
    <row r="46">
      <c r="A46" s="103">
        <v>44723</v>
      </c>
      <c r="B46" s="14"/>
      <c r="C46" s="14"/>
      <c r="D46" s="14"/>
      <c r="E46" s="14"/>
      <c r="F46" s="14"/>
      <c r="G46" s="14"/>
      <c r="H46" s="14"/>
      <c r="I46" s="14"/>
      <c r="J46" s="14"/>
      <c r="K46" s="14"/>
      <c r="L46" s="14"/>
      <c r="M46" s="14"/>
      <c r="N46" s="14"/>
      <c r="O46" s="14"/>
      <c r="P46" s="14"/>
      <c r="Q46" s="14"/>
      <c r="R46" s="14"/>
      <c r="S46" s="14"/>
      <c r="T46" s="116"/>
    </row>
    <row r="47">
      <c r="A47" s="103">
        <v>44724</v>
      </c>
      <c r="B47" s="5"/>
      <c r="C47" s="5"/>
      <c r="D47" s="5"/>
      <c r="E47" s="5"/>
      <c r="F47" s="5"/>
      <c r="G47" s="5"/>
      <c r="H47" s="5"/>
      <c r="I47" s="5"/>
      <c r="J47" s="5"/>
      <c r="K47" s="5"/>
      <c r="L47" s="5"/>
      <c r="M47" s="5"/>
      <c r="N47" s="5"/>
      <c r="O47" s="5"/>
      <c r="P47" s="5"/>
      <c r="Q47" s="5"/>
      <c r="R47" s="5"/>
      <c r="S47" s="5"/>
      <c r="T47" s="116"/>
    </row>
    <row r="48">
      <c r="A48" s="103">
        <v>44725</v>
      </c>
      <c r="B48" s="14"/>
      <c r="C48" s="14"/>
      <c r="D48" s="14"/>
      <c r="E48" s="14"/>
      <c r="F48" s="14"/>
      <c r="G48" s="14"/>
      <c r="H48" s="14"/>
      <c r="I48" s="14"/>
      <c r="J48" s="14"/>
      <c r="K48" s="14"/>
      <c r="L48" s="14"/>
      <c r="M48" s="14"/>
      <c r="N48" s="14"/>
      <c r="O48" s="14"/>
      <c r="P48" s="14"/>
      <c r="Q48" s="14"/>
      <c r="R48" s="14"/>
      <c r="S48" s="14"/>
      <c r="T48" s="116"/>
    </row>
    <row r="49">
      <c r="A49" s="103">
        <v>44726</v>
      </c>
      <c r="B49" s="5"/>
      <c r="C49" s="5"/>
      <c r="D49" s="5"/>
      <c r="E49" s="5"/>
      <c r="F49" s="5"/>
      <c r="G49" s="5"/>
      <c r="H49" s="5"/>
      <c r="I49" s="5"/>
      <c r="J49" s="5"/>
      <c r="K49" s="5"/>
      <c r="L49" s="5"/>
      <c r="M49" s="5"/>
      <c r="N49" s="5"/>
      <c r="O49" s="5"/>
      <c r="P49" s="5"/>
      <c r="Q49" s="5"/>
      <c r="R49" s="5"/>
      <c r="S49" s="5"/>
      <c r="T49" s="116"/>
    </row>
    <row r="50">
      <c r="A50" s="103">
        <v>44727</v>
      </c>
      <c r="B50" s="14"/>
      <c r="C50" s="14"/>
      <c r="D50" s="14"/>
      <c r="E50" s="14"/>
      <c r="F50" s="14"/>
      <c r="G50" s="14"/>
      <c r="H50" s="14"/>
      <c r="I50" s="14"/>
      <c r="J50" s="14"/>
      <c r="K50" s="14"/>
      <c r="L50" s="14"/>
      <c r="M50" s="14"/>
      <c r="N50" s="14"/>
      <c r="O50" s="14"/>
      <c r="P50" s="14"/>
      <c r="Q50" s="14"/>
      <c r="R50" s="14"/>
      <c r="S50" s="14"/>
      <c r="T50" s="116"/>
    </row>
    <row r="51">
      <c r="A51" s="103">
        <v>44728</v>
      </c>
      <c r="B51" s="5"/>
      <c r="C51" s="5"/>
      <c r="D51" s="5"/>
      <c r="E51" s="5"/>
      <c r="F51" s="5"/>
      <c r="G51" s="5"/>
      <c r="H51" s="5"/>
      <c r="I51" s="5"/>
      <c r="J51" s="5"/>
      <c r="K51" s="5"/>
      <c r="L51" s="5"/>
      <c r="M51" s="5"/>
      <c r="N51" s="5"/>
      <c r="O51" s="5"/>
      <c r="P51" s="5"/>
      <c r="Q51" s="5"/>
      <c r="R51" s="5"/>
      <c r="S51" s="5"/>
      <c r="T51" s="116"/>
    </row>
    <row r="52">
      <c r="A52" s="103">
        <v>44729</v>
      </c>
      <c r="B52" s="14"/>
      <c r="C52" s="14"/>
      <c r="D52" s="14"/>
      <c r="E52" s="14"/>
      <c r="F52" s="14"/>
      <c r="G52" s="14"/>
      <c r="H52" s="14"/>
      <c r="I52" s="14"/>
      <c r="J52" s="14"/>
      <c r="K52" s="14"/>
      <c r="L52" s="14"/>
      <c r="M52" s="14"/>
      <c r="N52" s="14"/>
      <c r="O52" s="14"/>
      <c r="P52" s="14"/>
      <c r="Q52" s="14"/>
      <c r="R52" s="14"/>
      <c r="S52" s="14"/>
      <c r="T52" s="116"/>
    </row>
    <row r="53">
      <c r="A53" s="103">
        <v>44730</v>
      </c>
      <c r="B53" s="5"/>
      <c r="C53" s="5"/>
      <c r="D53" s="5"/>
      <c r="E53" s="5"/>
      <c r="F53" s="5"/>
      <c r="G53" s="5"/>
      <c r="H53" s="5"/>
      <c r="I53" s="5"/>
      <c r="J53" s="5"/>
      <c r="K53" s="5"/>
      <c r="L53" s="5"/>
      <c r="M53" s="5"/>
      <c r="N53" s="5"/>
      <c r="O53" s="5"/>
      <c r="P53" s="5"/>
      <c r="Q53" s="5"/>
      <c r="R53" s="5"/>
      <c r="S53" s="5"/>
      <c r="T53" s="116"/>
    </row>
    <row r="54">
      <c r="A54" s="103">
        <v>44731</v>
      </c>
      <c r="B54" s="14"/>
      <c r="C54" s="14"/>
      <c r="D54" s="14"/>
      <c r="E54" s="14"/>
      <c r="F54" s="14"/>
      <c r="G54" s="14"/>
      <c r="H54" s="14"/>
      <c r="I54" s="14"/>
      <c r="J54" s="14"/>
      <c r="K54" s="14"/>
      <c r="L54" s="14"/>
      <c r="M54" s="14"/>
      <c r="N54" s="14"/>
      <c r="O54" s="14"/>
      <c r="P54" s="14"/>
      <c r="Q54" s="14"/>
      <c r="R54" s="14"/>
      <c r="S54" s="14"/>
      <c r="T54" s="116"/>
    </row>
    <row r="55">
      <c r="A55" s="103">
        <v>44732</v>
      </c>
      <c r="B55" s="5">
        <v>250000</v>
      </c>
      <c r="C55" s="5"/>
      <c r="D55" s="5"/>
      <c r="E55" s="5"/>
      <c r="F55" s="5"/>
      <c r="G55" s="5"/>
      <c r="H55" s="5"/>
      <c r="I55" s="5"/>
      <c r="J55" s="5"/>
      <c r="K55" s="5"/>
      <c r="L55" s="5"/>
      <c r="M55" s="5"/>
      <c r="N55" s="5"/>
      <c r="O55" s="5"/>
      <c r="P55" s="5"/>
      <c r="Q55" s="5"/>
      <c r="R55" s="5"/>
      <c r="S55" s="5"/>
      <c r="T55" s="116"/>
    </row>
    <row r="56">
      <c r="A56" s="103">
        <v>44733</v>
      </c>
      <c r="B56" s="14"/>
      <c r="C56" s="14"/>
      <c r="D56" s="14"/>
      <c r="E56" s="14"/>
      <c r="F56" s="14"/>
      <c r="G56" s="14"/>
      <c r="H56" s="14"/>
      <c r="I56" s="14"/>
      <c r="J56" s="14"/>
      <c r="K56" s="14"/>
      <c r="L56" s="14"/>
      <c r="M56" s="14"/>
      <c r="N56" s="14"/>
      <c r="O56" s="14"/>
      <c r="P56" s="14"/>
      <c r="Q56" s="14"/>
      <c r="R56" s="14"/>
      <c r="S56" s="14"/>
      <c r="T56" s="116"/>
    </row>
    <row r="57">
      <c r="A57" s="103">
        <v>44734</v>
      </c>
      <c r="B57" s="5"/>
      <c r="C57" s="5"/>
      <c r="D57" s="5"/>
      <c r="E57" s="5"/>
      <c r="F57" s="5"/>
      <c r="G57" s="5"/>
      <c r="H57" s="5"/>
      <c r="I57" s="5"/>
      <c r="J57" s="5"/>
      <c r="K57" s="5"/>
      <c r="L57" s="5"/>
      <c r="M57" s="5"/>
      <c r="N57" s="5"/>
      <c r="O57" s="5"/>
      <c r="P57" s="5"/>
      <c r="Q57" s="5"/>
      <c r="R57" s="5"/>
      <c r="S57" s="5"/>
      <c r="T57" s="116"/>
    </row>
    <row r="58">
      <c r="A58" s="103">
        <v>44735</v>
      </c>
      <c r="B58" s="14"/>
      <c r="C58" s="14"/>
      <c r="D58" s="14"/>
      <c r="E58" s="14"/>
      <c r="F58" s="14"/>
      <c r="G58" s="14"/>
      <c r="H58" s="14"/>
      <c r="I58" s="14"/>
      <c r="J58" s="14"/>
      <c r="K58" s="14"/>
      <c r="L58" s="14"/>
      <c r="M58" s="14"/>
      <c r="N58" s="14"/>
      <c r="O58" s="14"/>
      <c r="P58" s="14"/>
      <c r="Q58" s="14"/>
      <c r="R58" s="14"/>
      <c r="S58" s="14"/>
      <c r="T58" s="116"/>
    </row>
    <row r="59">
      <c r="A59" s="103">
        <v>44736</v>
      </c>
      <c r="B59" s="5"/>
      <c r="C59" s="5"/>
      <c r="D59" s="5"/>
      <c r="E59" s="5"/>
      <c r="F59" s="5"/>
      <c r="G59" s="5"/>
      <c r="H59" s="5"/>
      <c r="I59" s="5"/>
      <c r="J59" s="5"/>
      <c r="K59" s="5"/>
      <c r="L59" s="5"/>
      <c r="M59" s="5"/>
      <c r="N59" s="5"/>
      <c r="O59" s="5"/>
      <c r="P59" s="5"/>
      <c r="Q59" s="5"/>
      <c r="R59" s="5"/>
      <c r="S59" s="5"/>
      <c r="T59" s="116"/>
    </row>
    <row r="60">
      <c r="A60" s="103">
        <v>44737</v>
      </c>
      <c r="B60" s="14"/>
      <c r="C60" s="14"/>
      <c r="D60" s="14"/>
      <c r="E60" s="14"/>
      <c r="F60" s="14"/>
      <c r="G60" s="14"/>
      <c r="H60" s="14"/>
      <c r="I60" s="14"/>
      <c r="J60" s="14"/>
      <c r="K60" s="14"/>
      <c r="L60" s="14"/>
      <c r="M60" s="14"/>
      <c r="N60" s="14"/>
      <c r="O60" s="14"/>
      <c r="P60" s="14"/>
      <c r="Q60" s="14"/>
      <c r="R60" s="14"/>
      <c r="S60" s="14"/>
      <c r="T60" s="116"/>
    </row>
    <row r="61">
      <c r="A61" s="103">
        <v>44738</v>
      </c>
      <c r="B61" s="5"/>
      <c r="C61" s="5"/>
      <c r="D61" s="5"/>
      <c r="E61" s="5"/>
      <c r="F61" s="5"/>
      <c r="G61" s="5"/>
      <c r="H61" s="5"/>
      <c r="I61" s="5"/>
      <c r="J61" s="5"/>
      <c r="K61" s="5"/>
      <c r="L61" s="5"/>
      <c r="M61" s="5"/>
      <c r="N61" s="5"/>
      <c r="O61" s="5"/>
      <c r="P61" s="5"/>
      <c r="Q61" s="5"/>
      <c r="R61" s="5"/>
      <c r="S61" s="5"/>
      <c r="T61" s="116"/>
    </row>
    <row r="62">
      <c r="A62" s="103">
        <v>44739</v>
      </c>
      <c r="B62" s="14"/>
      <c r="C62" s="14"/>
      <c r="D62" s="14"/>
      <c r="E62" s="14"/>
      <c r="F62" s="14"/>
      <c r="G62" s="14"/>
      <c r="H62" s="14"/>
      <c r="I62" s="14"/>
      <c r="J62" s="14"/>
      <c r="K62" s="14"/>
      <c r="L62" s="14"/>
      <c r="M62" s="14"/>
      <c r="N62" s="14"/>
      <c r="O62" s="14"/>
      <c r="P62" s="14"/>
      <c r="Q62" s="14"/>
      <c r="R62" s="14"/>
      <c r="S62" s="14"/>
      <c r="T62" s="116"/>
    </row>
    <row r="63">
      <c r="A63" s="103">
        <v>44740</v>
      </c>
      <c r="B63" s="5"/>
      <c r="C63" s="5"/>
      <c r="D63" s="5"/>
      <c r="E63" s="5"/>
      <c r="F63" s="5"/>
      <c r="G63" s="5"/>
      <c r="H63" s="5"/>
      <c r="I63" s="5"/>
      <c r="J63" s="5"/>
      <c r="K63" s="5"/>
      <c r="L63" s="5"/>
      <c r="M63" s="5"/>
      <c r="N63" s="5"/>
      <c r="O63" s="5"/>
      <c r="P63" s="5"/>
      <c r="Q63" s="5"/>
      <c r="R63" s="48"/>
      <c r="S63" s="5"/>
      <c r="T63" s="116"/>
    </row>
    <row r="64">
      <c r="A64" s="103">
        <v>44741</v>
      </c>
      <c r="B64" s="22"/>
      <c r="C64" s="22"/>
      <c r="D64" s="22"/>
      <c r="E64" s="22"/>
      <c r="F64" s="22"/>
      <c r="G64" s="22"/>
      <c r="H64" s="22"/>
      <c r="I64" s="22"/>
      <c r="J64" s="14"/>
      <c r="K64" s="14"/>
      <c r="L64" s="14"/>
      <c r="M64" s="14"/>
      <c r="N64" s="14"/>
      <c r="O64" s="14"/>
      <c r="P64" s="14"/>
      <c r="Q64" s="14"/>
      <c r="R64" s="80"/>
      <c r="S64" s="14"/>
      <c r="T64" s="116"/>
    </row>
    <row r="65">
      <c r="A65" s="103">
        <v>44742</v>
      </c>
      <c r="B65" s="5"/>
      <c r="C65" s="5"/>
      <c r="D65" s="5"/>
      <c r="E65" s="5">
        <f>(903.46+1032.53)*'Сводная таблица'!B84+(6099.7-610)</f>
        <v>13969.336199999998</v>
      </c>
      <c r="F65" s="5"/>
      <c r="G65" s="5"/>
      <c r="H65" s="5"/>
      <c r="I65" s="5"/>
      <c r="J65" s="5"/>
      <c r="K65" s="5"/>
      <c r="L65" s="5"/>
      <c r="M65" s="5"/>
      <c r="N65" s="5"/>
      <c r="O65" s="5"/>
      <c r="P65" s="5"/>
      <c r="Q65" s="5"/>
      <c r="R65" s="48"/>
      <c r="S65" s="5"/>
      <c r="T65" s="116"/>
    </row>
    <row r="66">
      <c r="A66" s="103"/>
      <c r="B66" s="22"/>
      <c r="C66" s="22"/>
      <c r="D66" s="22"/>
      <c r="E66" s="22"/>
      <c r="F66" s="22"/>
      <c r="G66" s="22"/>
      <c r="H66" s="22"/>
      <c r="I66" s="22"/>
      <c r="J66" s="14"/>
      <c r="K66" s="14"/>
      <c r="L66" s="14"/>
      <c r="M66" s="14"/>
      <c r="N66" s="14"/>
      <c r="O66" s="14"/>
      <c r="P66" s="14"/>
      <c r="Q66" s="14"/>
      <c r="R66" s="80"/>
      <c r="S66" s="14"/>
      <c r="T66" s="116"/>
    </row>
    <row r="67">
      <c r="A67" s="113" t="s">
        <v>87</v>
      </c>
      <c r="B67" s="113">
        <f>SUM(B36:B66)</f>
        <v>500000</v>
      </c>
      <c r="C67" s="113">
        <f>SUM(C36:C66)</f>
        <v>0</v>
      </c>
      <c r="D67" s="113">
        <f>SUM(D36:D66)</f>
        <v>0</v>
      </c>
      <c r="E67" s="113">
        <f>SUM(E36:E66)</f>
        <v>13969.336199999998</v>
      </c>
      <c r="F67" s="113">
        <f>SUM(F36:F66)</f>
        <v>0</v>
      </c>
      <c r="G67" s="113">
        <f>SUM(G36:G66)</f>
        <v>0</v>
      </c>
      <c r="H67" s="113">
        <f>SUM(H36:H66)</f>
        <v>0</v>
      </c>
      <c r="I67" s="113">
        <f>SUM(I36:I66)</f>
        <v>2273.2199999999998</v>
      </c>
      <c r="J67" s="113">
        <f>SUM(J36:J66)</f>
        <v>0</v>
      </c>
      <c r="K67" s="113">
        <f>SUM(K36:K66)</f>
        <v>0</v>
      </c>
      <c r="L67" s="113">
        <f>SUM(L36:L66)</f>
        <v>0</v>
      </c>
      <c r="M67" s="113">
        <f>SUM(M36:M66)</f>
        <v>0</v>
      </c>
      <c r="N67" s="113">
        <f>SUM(N36:N66)</f>
        <v>0</v>
      </c>
      <c r="O67" s="113">
        <f>SUM(O36:O66)</f>
        <v>0</v>
      </c>
      <c r="P67" s="113">
        <f>SUM(P36:P66)</f>
        <v>0</v>
      </c>
      <c r="Q67" s="113">
        <f>SUM(Q36:Q66)</f>
        <v>0</v>
      </c>
      <c r="R67" s="113">
        <f>SUM(R36:R66)</f>
        <v>0</v>
      </c>
      <c r="S67" s="113">
        <f>SUM(B67:R67)</f>
        <v>516242.55619999999</v>
      </c>
      <c r="T67" s="124" t="s">
        <v>88</v>
      </c>
    </row>
    <row r="68">
      <c r="A68" s="108" t="s">
        <v>89</v>
      </c>
      <c r="B68" s="110">
        <f>B67/'Сводная таблица'!B84</f>
        <v>114155.25114155251</v>
      </c>
      <c r="C68" s="110"/>
      <c r="D68" s="110">
        <f>D67/'Сводная таблица'!B84</f>
        <v>0</v>
      </c>
      <c r="E68" s="110">
        <f>E67/'Сводная таблица'!B67</f>
        <v>3189.3461643835612</v>
      </c>
      <c r="F68" s="110"/>
      <c r="G68" s="110"/>
      <c r="H68" s="110">
        <f>H67/'Сводная таблица'!B67</f>
        <v>0</v>
      </c>
      <c r="I68" s="110">
        <f>I67/'Сводная таблица'!B67</f>
        <v>519</v>
      </c>
      <c r="J68" s="110"/>
      <c r="K68" s="110"/>
      <c r="L68" s="110"/>
      <c r="M68" s="110"/>
      <c r="N68" s="110"/>
      <c r="O68" s="110"/>
      <c r="P68" s="110"/>
      <c r="Q68" s="110"/>
      <c r="R68" s="110"/>
      <c r="S68" s="110">
        <f>S67/'Сводная таблица'!B84</f>
        <v>117863.59730593607</v>
      </c>
      <c r="T68" s="125" t="s">
        <v>90</v>
      </c>
    </row>
    <row r="69">
      <c r="A69" s="123" t="s">
        <v>67</v>
      </c>
      <c r="B69" s="123"/>
      <c r="C69" s="123"/>
      <c r="D69" s="123"/>
      <c r="E69" s="123"/>
      <c r="F69" s="123"/>
      <c r="G69" s="123"/>
      <c r="H69" s="123"/>
      <c r="I69" s="123"/>
      <c r="J69" s="123"/>
      <c r="K69" s="123"/>
      <c r="L69" s="123"/>
      <c r="M69" s="123"/>
      <c r="N69" s="123"/>
      <c r="O69" s="123"/>
      <c r="P69" s="123"/>
      <c r="Q69" s="123"/>
      <c r="R69" s="123"/>
      <c r="S69" s="123"/>
      <c r="T69" s="116"/>
    </row>
    <row r="70">
      <c r="A70" s="5" t="s">
        <v>68</v>
      </c>
      <c r="B70" s="118">
        <f>21000-344+2039+(23000-23000)-344-344+8164.1-4600-3300+(3000-3000)+80000+2000+(5500-5500)+(5650-5100)+1000+300+300+11814.99+10000+10000+2000</f>
        <v>140236.09000000003</v>
      </c>
      <c r="C70" s="5"/>
      <c r="D70" s="5"/>
      <c r="E70" s="5"/>
      <c r="F70" s="5"/>
      <c r="G70" s="5"/>
      <c r="H70" s="5"/>
      <c r="I70" s="5"/>
      <c r="J70" s="5"/>
      <c r="K70" s="5"/>
      <c r="L70" s="5"/>
      <c r="M70" s="5"/>
      <c r="N70" s="5"/>
      <c r="O70" s="5"/>
      <c r="P70" s="5"/>
      <c r="Q70" s="5"/>
      <c r="R70" s="5"/>
      <c r="S70" s="5"/>
      <c r="T70" s="116"/>
    </row>
    <row r="71">
      <c r="A71" s="5" t="s">
        <v>76</v>
      </c>
      <c r="B71" s="5">
        <f>3000+1000+1200+1300+1500</f>
        <v>8000</v>
      </c>
      <c r="C71" s="5"/>
      <c r="D71" s="5"/>
      <c r="E71" s="5"/>
      <c r="F71" s="5"/>
      <c r="G71" s="5"/>
      <c r="H71" s="5"/>
      <c r="I71" s="5"/>
      <c r="J71" s="5"/>
      <c r="K71" s="5"/>
      <c r="L71" s="5"/>
      <c r="M71" s="5"/>
      <c r="N71" s="5"/>
      <c r="O71" s="5"/>
      <c r="P71" s="5"/>
      <c r="Q71" s="5"/>
      <c r="R71" s="5"/>
      <c r="S71" s="5"/>
      <c r="T71" s="1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4" percent="1" timePeriod="today" id="{009700E2-007A-4DF3-A302-00B400BE0074}">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3" percent="1" timePeriod="today" id="{00530003-0056-4C3C-ADFC-00870037001A}">
            <x14:dxf>
              <font>
                <color rgb="FF006100"/>
              </font>
              <fill>
                <patternFill patternType="solid">
                  <fgColor rgb="FFC6EFCE"/>
                  <bgColor rgb="FFC6EFCE"/>
                </patternFill>
              </fill>
            </x14:dxf>
          </x14:cfRule>
          <xm:sqref>A36 A66 A37 A38 A39 A40 A41 A42 A43 A44 A45 A46 A47 A48 A49 A50 A51 A52 A53 A54 A55 A56 A57 A58 A59 A60 A61 A62 A63 A64 A65</xm:sqref>
        </x14:conditionalFormatting>
        <x14:conditionalFormatting xmlns:xm="http://schemas.microsoft.com/office/excel/2006/main">
          <x14:cfRule type="timePeriod" priority="2" percent="1" timePeriod="today" id="{005B003D-0021-4A39-854C-00A9005A0053}">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0800A2-0027-4594-8C9A-003B005B00FB}">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s>
    </ext>
  </extLst>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RowHeight="14.25"/>
  <cols>
    <col customWidth="1" min="1" max="1" width="12.5742187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16"/>
    </row>
    <row r="2">
      <c r="A2" s="103">
        <v>45108</v>
      </c>
      <c r="B2" s="14">
        <f>100</f>
        <v>100</v>
      </c>
      <c r="C2" s="14"/>
      <c r="D2" s="14"/>
      <c r="E2" s="14"/>
      <c r="F2" s="14"/>
      <c r="G2" s="14"/>
      <c r="H2" s="14"/>
      <c r="I2" s="14"/>
      <c r="J2" s="14"/>
      <c r="K2" s="14"/>
      <c r="L2" s="14"/>
      <c r="M2" s="14"/>
      <c r="N2" s="14"/>
      <c r="O2" s="14"/>
      <c r="P2" s="14"/>
      <c r="Q2" s="14"/>
      <c r="R2" s="14"/>
      <c r="S2" s="14"/>
      <c r="T2" s="116"/>
    </row>
    <row r="3">
      <c r="A3" s="103">
        <v>45109</v>
      </c>
      <c r="B3" s="5">
        <v>100</v>
      </c>
      <c r="C3" s="5">
        <v>11082</v>
      </c>
      <c r="D3" s="5"/>
      <c r="E3" s="5"/>
      <c r="F3" s="5"/>
      <c r="G3" s="5"/>
      <c r="H3" s="5"/>
      <c r="I3" s="5"/>
      <c r="J3" s="5"/>
      <c r="K3" s="5"/>
      <c r="L3" s="5"/>
      <c r="M3" s="5"/>
      <c r="N3" s="5"/>
      <c r="O3" s="5"/>
      <c r="P3" s="5"/>
      <c r="Q3" s="5"/>
      <c r="R3" s="5"/>
      <c r="S3" s="5"/>
      <c r="T3" s="116"/>
    </row>
    <row r="4">
      <c r="A4" s="103">
        <v>45110</v>
      </c>
      <c r="B4" s="14">
        <f>0+0</f>
        <v>0</v>
      </c>
      <c r="C4" s="14"/>
      <c r="D4" s="14">
        <v>1320</v>
      </c>
      <c r="E4" s="14"/>
      <c r="F4" s="14"/>
      <c r="G4" s="14"/>
      <c r="H4" s="14"/>
      <c r="I4" s="14"/>
      <c r="J4" s="14"/>
      <c r="K4" s="14"/>
      <c r="L4" s="14"/>
      <c r="M4" s="14"/>
      <c r="N4" s="14"/>
      <c r="O4" s="14"/>
      <c r="P4" s="14"/>
      <c r="Q4" s="14"/>
      <c r="R4" s="14"/>
      <c r="S4" s="14"/>
      <c r="T4" s="116"/>
    </row>
    <row r="5">
      <c r="A5" s="103">
        <v>45111</v>
      </c>
      <c r="B5" s="5">
        <f>0</f>
        <v>0</v>
      </c>
      <c r="C5" s="5"/>
      <c r="D5" s="5">
        <v>1785</v>
      </c>
      <c r="E5" s="5"/>
      <c r="F5" s="5"/>
      <c r="G5" s="5"/>
      <c r="H5" s="5"/>
      <c r="I5" s="5"/>
      <c r="J5" s="5"/>
      <c r="K5" s="5"/>
      <c r="L5" s="5"/>
      <c r="M5" s="5">
        <v>1190</v>
      </c>
      <c r="N5" s="5"/>
      <c r="O5" s="5"/>
      <c r="P5" s="5"/>
      <c r="Q5" s="5"/>
      <c r="R5" s="5"/>
      <c r="S5" s="5"/>
      <c r="T5" s="116"/>
    </row>
    <row r="6">
      <c r="A6" s="103">
        <v>45112</v>
      </c>
      <c r="B6" s="14">
        <f>100+100</f>
        <v>200</v>
      </c>
      <c r="C6" s="14"/>
      <c r="D6" s="14"/>
      <c r="E6" s="14"/>
      <c r="F6" s="14"/>
      <c r="G6" s="14"/>
      <c r="H6" s="14"/>
      <c r="I6" s="14"/>
      <c r="J6" s="14"/>
      <c r="K6" s="14"/>
      <c r="L6" s="14"/>
      <c r="M6" s="14"/>
      <c r="N6" s="14"/>
      <c r="O6" s="14"/>
      <c r="P6" s="14"/>
      <c r="Q6" s="14"/>
      <c r="R6" s="14"/>
      <c r="S6" s="14"/>
      <c r="T6" s="116"/>
    </row>
    <row r="7">
      <c r="A7" s="103">
        <v>45113</v>
      </c>
      <c r="B7" s="5"/>
      <c r="C7" s="5"/>
      <c r="D7" s="5"/>
      <c r="E7" s="5"/>
      <c r="F7" s="5"/>
      <c r="G7" s="5"/>
      <c r="H7" s="5"/>
      <c r="I7" s="5"/>
      <c r="J7" s="5"/>
      <c r="K7" s="5"/>
      <c r="L7" s="5"/>
      <c r="M7" s="5"/>
      <c r="N7" s="5"/>
      <c r="O7" s="5"/>
      <c r="P7" s="5"/>
      <c r="Q7" s="5"/>
      <c r="R7" s="5"/>
      <c r="S7" s="5"/>
      <c r="T7" s="116"/>
    </row>
    <row r="8">
      <c r="A8" s="103">
        <v>45114</v>
      </c>
      <c r="B8" s="14">
        <f>0+0</f>
        <v>0</v>
      </c>
      <c r="C8" s="14"/>
      <c r="D8" s="14"/>
      <c r="E8" s="14"/>
      <c r="F8" s="14"/>
      <c r="G8" s="14"/>
      <c r="H8" s="14"/>
      <c r="I8" s="14"/>
      <c r="J8" s="14"/>
      <c r="K8" s="14"/>
      <c r="L8" s="14"/>
      <c r="M8" s="14"/>
      <c r="N8" s="14"/>
      <c r="O8" s="14"/>
      <c r="P8" s="14"/>
      <c r="Q8" s="14"/>
      <c r="R8" s="14"/>
      <c r="S8" s="14"/>
      <c r="T8" s="116"/>
    </row>
    <row r="9">
      <c r="A9" s="103">
        <v>45115</v>
      </c>
      <c r="B9" s="5">
        <f>0+100</f>
        <v>100</v>
      </c>
      <c r="C9" s="5">
        <v>930</v>
      </c>
      <c r="D9" s="5"/>
      <c r="E9" s="5"/>
      <c r="F9" s="5"/>
      <c r="G9" s="5"/>
      <c r="H9" s="5"/>
      <c r="I9" s="5"/>
      <c r="J9" s="5"/>
      <c r="K9" s="5"/>
      <c r="L9" s="5"/>
      <c r="M9" s="5"/>
      <c r="N9" s="5"/>
      <c r="O9" s="5"/>
      <c r="P9" s="5"/>
      <c r="Q9" s="5"/>
      <c r="R9" s="5"/>
      <c r="S9" s="5"/>
      <c r="T9" s="116"/>
    </row>
    <row r="10">
      <c r="A10" s="103">
        <v>45116</v>
      </c>
      <c r="B10" s="14"/>
      <c r="C10" s="14"/>
      <c r="D10" s="14"/>
      <c r="E10" s="14"/>
      <c r="F10" s="14"/>
      <c r="G10" s="14"/>
      <c r="H10" s="14"/>
      <c r="I10" s="14"/>
      <c r="J10" s="14">
        <f>13000+400-7500</f>
        <v>5900</v>
      </c>
      <c r="K10" s="14"/>
      <c r="L10" s="14">
        <f>150000+(7000-3500)</f>
        <v>153500</v>
      </c>
      <c r="M10" s="14"/>
      <c r="N10" s="14"/>
      <c r="O10" s="14"/>
      <c r="P10" s="14"/>
      <c r="Q10" s="14"/>
      <c r="R10" s="14"/>
      <c r="S10" s="14"/>
      <c r="T10" s="116"/>
    </row>
    <row r="11">
      <c r="A11" s="103">
        <v>45117</v>
      </c>
      <c r="B11" s="5">
        <f>0+0</f>
        <v>0</v>
      </c>
      <c r="C11" s="5">
        <v>690</v>
      </c>
      <c r="D11" s="5"/>
      <c r="E11" s="5"/>
      <c r="F11" s="5"/>
      <c r="G11" s="5"/>
      <c r="H11" s="5"/>
      <c r="I11" s="5"/>
      <c r="J11" s="5"/>
      <c r="K11" s="5"/>
      <c r="L11" s="5"/>
      <c r="M11" s="5"/>
      <c r="N11" s="5"/>
      <c r="O11" s="5"/>
      <c r="P11" s="5"/>
      <c r="Q11" s="5"/>
      <c r="R11" s="5"/>
      <c r="S11" s="5"/>
      <c r="T11" s="116"/>
    </row>
    <row r="12">
      <c r="A12" s="103">
        <v>45118</v>
      </c>
      <c r="B12" s="14">
        <f>0</f>
        <v>0</v>
      </c>
      <c r="C12" s="14"/>
      <c r="D12" s="14"/>
      <c r="E12" s="14"/>
      <c r="F12" s="14"/>
      <c r="G12" s="14"/>
      <c r="H12" s="14"/>
      <c r="I12" s="14"/>
      <c r="J12" s="14"/>
      <c r="K12" s="14"/>
      <c r="L12" s="14"/>
      <c r="M12" s="14"/>
      <c r="N12" s="14"/>
      <c r="O12" s="14"/>
      <c r="P12" s="14"/>
      <c r="Q12" s="14"/>
      <c r="R12" s="14"/>
      <c r="S12" s="14"/>
      <c r="T12" s="116"/>
    </row>
    <row r="13">
      <c r="A13" s="103">
        <v>45119</v>
      </c>
      <c r="B13" s="5"/>
      <c r="C13" s="5"/>
      <c r="D13" s="5">
        <v>1450</v>
      </c>
      <c r="E13" s="5"/>
      <c r="F13" s="5"/>
      <c r="G13" s="5"/>
      <c r="H13" s="5"/>
      <c r="I13" s="5"/>
      <c r="J13" s="5"/>
      <c r="K13" s="5"/>
      <c r="L13" s="5"/>
      <c r="M13" s="5"/>
      <c r="N13" s="5"/>
      <c r="O13" s="5"/>
      <c r="P13" s="5"/>
      <c r="Q13" s="5"/>
      <c r="R13" s="5"/>
      <c r="S13" s="5"/>
      <c r="T13" s="116"/>
    </row>
    <row r="14">
      <c r="A14" s="103">
        <v>45120</v>
      </c>
      <c r="B14" s="14">
        <f>0+0</f>
        <v>0</v>
      </c>
      <c r="C14" s="14"/>
      <c r="D14" s="14"/>
      <c r="E14" s="14"/>
      <c r="F14" s="14"/>
      <c r="G14" s="14"/>
      <c r="H14" s="14"/>
      <c r="I14" s="14"/>
      <c r="J14" s="14"/>
      <c r="K14" s="14"/>
      <c r="L14" s="14"/>
      <c r="M14" s="14"/>
      <c r="N14" s="14"/>
      <c r="O14" s="14"/>
      <c r="P14" s="14"/>
      <c r="Q14" s="14"/>
      <c r="R14" s="14"/>
      <c r="S14" s="14"/>
      <c r="T14" s="116"/>
    </row>
    <row r="15">
      <c r="A15" s="103">
        <v>45121</v>
      </c>
      <c r="B15" s="5">
        <f>100</f>
        <v>100</v>
      </c>
      <c r="C15" s="5"/>
      <c r="D15" s="5"/>
      <c r="E15" s="5"/>
      <c r="F15" s="5"/>
      <c r="G15" s="5"/>
      <c r="H15" s="5"/>
      <c r="I15" s="5"/>
      <c r="J15" s="5"/>
      <c r="K15" s="5"/>
      <c r="L15" s="5"/>
      <c r="M15" s="5"/>
      <c r="N15" s="5"/>
      <c r="O15" s="5"/>
      <c r="P15" s="5"/>
      <c r="Q15" s="5"/>
      <c r="R15" s="5"/>
      <c r="S15" s="5"/>
      <c r="T15" s="116"/>
    </row>
    <row r="16">
      <c r="A16" s="103">
        <v>45122</v>
      </c>
      <c r="B16" s="14"/>
      <c r="C16" s="97"/>
      <c r="D16" s="14"/>
      <c r="E16" s="14"/>
      <c r="F16" s="14"/>
      <c r="G16" s="14"/>
      <c r="H16" s="14"/>
      <c r="I16" s="14"/>
      <c r="J16" s="14"/>
      <c r="K16" s="14"/>
      <c r="L16" s="14"/>
      <c r="M16" s="14"/>
      <c r="N16" s="14"/>
      <c r="O16" s="14"/>
      <c r="P16" s="14"/>
      <c r="Q16" s="14"/>
      <c r="R16" s="14"/>
      <c r="S16" s="14"/>
      <c r="T16" s="116"/>
    </row>
    <row r="17">
      <c r="A17" s="103">
        <v>45123</v>
      </c>
      <c r="B17" s="5">
        <v>200</v>
      </c>
      <c r="C17" s="6"/>
      <c r="D17" s="5"/>
      <c r="E17" s="5"/>
      <c r="F17" s="5"/>
      <c r="G17" s="5"/>
      <c r="H17" s="5"/>
      <c r="I17" s="5"/>
      <c r="J17" s="5"/>
      <c r="K17" s="5"/>
      <c r="L17" s="5"/>
      <c r="M17" s="5"/>
      <c r="N17" s="5"/>
      <c r="O17" s="5"/>
      <c r="P17" s="5"/>
      <c r="Q17" s="5"/>
      <c r="R17" s="5"/>
      <c r="S17" s="5"/>
      <c r="T17" s="116"/>
    </row>
    <row r="18">
      <c r="A18" s="103">
        <v>45124</v>
      </c>
      <c r="B18" s="14">
        <f t="shared" ref="B18:B19" si="136">100+100</f>
        <v>200</v>
      </c>
      <c r="C18" s="14">
        <v>580</v>
      </c>
      <c r="D18" s="14">
        <v>970</v>
      </c>
      <c r="E18" s="14"/>
      <c r="F18" s="14">
        <f>18000*'Сводная таблица'!B84</f>
        <v>78840</v>
      </c>
      <c r="G18" s="14"/>
      <c r="H18" s="14"/>
      <c r="I18" s="14"/>
      <c r="J18" s="14"/>
      <c r="K18" s="14"/>
      <c r="L18" s="14"/>
      <c r="M18" s="14"/>
      <c r="N18" s="14"/>
      <c r="O18" s="14"/>
      <c r="P18" s="14"/>
      <c r="Q18" s="14"/>
      <c r="R18" s="14"/>
      <c r="S18" s="14"/>
      <c r="T18" s="116"/>
    </row>
    <row r="19">
      <c r="A19" s="103">
        <v>45125</v>
      </c>
      <c r="B19" s="5">
        <f t="shared" si="136"/>
        <v>200</v>
      </c>
      <c r="C19" s="5"/>
      <c r="D19" s="5"/>
      <c r="E19" s="5"/>
      <c r="F19" s="5"/>
      <c r="G19" s="5"/>
      <c r="H19" s="5"/>
      <c r="I19" s="5"/>
      <c r="J19" s="5"/>
      <c r="K19" s="5"/>
      <c r="L19" s="5">
        <f>3018+6743+1604-9622</f>
        <v>1743</v>
      </c>
      <c r="M19" s="5"/>
      <c r="N19" s="5"/>
      <c r="O19" s="5"/>
      <c r="P19" s="5"/>
      <c r="Q19" s="5"/>
      <c r="R19" s="6"/>
      <c r="S19" s="5"/>
      <c r="T19" s="116"/>
    </row>
    <row r="20">
      <c r="A20" s="103">
        <v>45126</v>
      </c>
      <c r="B20" s="14">
        <f t="shared" ref="B20:B21" si="137">100</f>
        <v>100</v>
      </c>
      <c r="C20" s="14"/>
      <c r="D20" s="14">
        <v>1810</v>
      </c>
      <c r="E20" s="14"/>
      <c r="F20" s="14"/>
      <c r="G20" s="14"/>
      <c r="H20" s="14"/>
      <c r="I20" s="14"/>
      <c r="J20" s="14"/>
      <c r="K20" s="14"/>
      <c r="L20" s="14"/>
      <c r="M20" s="14"/>
      <c r="N20" s="14"/>
      <c r="O20" s="14"/>
      <c r="P20" s="34"/>
      <c r="Q20" s="14"/>
      <c r="R20" s="14"/>
      <c r="S20" s="14"/>
      <c r="T20" s="116"/>
    </row>
    <row r="21">
      <c r="A21" s="103">
        <v>45127</v>
      </c>
      <c r="B21" s="69">
        <f t="shared" si="137"/>
        <v>100</v>
      </c>
      <c r="C21" s="6"/>
      <c r="D21" s="5">
        <v>1320</v>
      </c>
      <c r="E21" s="5"/>
      <c r="F21" s="5"/>
      <c r="G21" s="5"/>
      <c r="H21" s="5"/>
      <c r="I21" s="5"/>
      <c r="J21" s="5"/>
      <c r="K21" s="5"/>
      <c r="L21" s="5"/>
      <c r="M21" s="5"/>
      <c r="N21" s="5"/>
      <c r="O21" s="5"/>
      <c r="P21" s="5"/>
      <c r="Q21" s="5"/>
      <c r="R21" s="5"/>
      <c r="S21" s="5"/>
      <c r="T21" s="116"/>
    </row>
    <row r="22">
      <c r="A22" s="103">
        <v>45128</v>
      </c>
      <c r="B22" s="22">
        <f>100+100</f>
        <v>200</v>
      </c>
      <c r="C22" s="14"/>
      <c r="D22" s="14">
        <v>1490</v>
      </c>
      <c r="E22" s="14"/>
      <c r="F22" s="14"/>
      <c r="G22" s="14"/>
      <c r="H22" s="14"/>
      <c r="I22" s="14"/>
      <c r="J22" s="14"/>
      <c r="K22" s="14"/>
      <c r="L22" s="14"/>
      <c r="M22" s="14"/>
      <c r="N22" s="14"/>
      <c r="O22" s="14"/>
      <c r="P22" s="14"/>
      <c r="Q22" s="14"/>
      <c r="R22" s="14"/>
      <c r="S22" s="14"/>
      <c r="T22" s="116"/>
    </row>
    <row r="23">
      <c r="A23" s="103">
        <v>45129</v>
      </c>
      <c r="B23" s="5">
        <f>100</f>
        <v>100</v>
      </c>
      <c r="C23" s="5">
        <v>4330</v>
      </c>
      <c r="D23" s="5">
        <v>150</v>
      </c>
      <c r="E23" s="5"/>
      <c r="F23" s="5"/>
      <c r="G23" s="5"/>
      <c r="H23" s="5"/>
      <c r="I23" s="5"/>
      <c r="J23" s="5"/>
      <c r="K23" s="5"/>
      <c r="L23" s="5"/>
      <c r="M23" s="5"/>
      <c r="N23" s="5"/>
      <c r="O23" s="5"/>
      <c r="P23" s="5"/>
      <c r="Q23" s="5"/>
      <c r="R23" s="5"/>
      <c r="S23" s="5"/>
      <c r="T23" s="116"/>
    </row>
    <row r="24">
      <c r="A24" s="103">
        <v>45130</v>
      </c>
      <c r="B24" s="14"/>
      <c r="C24" s="14">
        <v>650</v>
      </c>
      <c r="D24" s="14"/>
      <c r="E24" s="14"/>
      <c r="F24" s="14"/>
      <c r="G24" s="14"/>
      <c r="H24" s="14"/>
      <c r="I24" s="14"/>
      <c r="J24" s="14"/>
      <c r="K24" s="14"/>
      <c r="L24" s="14"/>
      <c r="M24" s="14"/>
      <c r="N24" s="14"/>
      <c r="O24" s="14"/>
      <c r="P24" s="14"/>
      <c r="Q24" s="14"/>
      <c r="R24" s="14"/>
      <c r="S24" s="14"/>
      <c r="T24" s="116"/>
    </row>
    <row r="25">
      <c r="A25" s="103">
        <v>45131</v>
      </c>
      <c r="B25" s="28">
        <f>100+(5706+41619.07)*'Сводная таблица'!B84</f>
        <v>207383.80659999998</v>
      </c>
      <c r="C25" s="5"/>
      <c r="D25" s="5"/>
      <c r="E25" s="5"/>
      <c r="F25" s="5"/>
      <c r="G25" s="5">
        <f>199*'Сводная таблица'!B84</f>
        <v>871.62</v>
      </c>
      <c r="H25" s="5"/>
      <c r="I25" s="5"/>
      <c r="J25" s="5"/>
      <c r="K25" s="5"/>
      <c r="L25" s="5"/>
      <c r="M25" s="5"/>
      <c r="N25" s="5"/>
      <c r="O25" s="5"/>
      <c r="P25" s="5"/>
      <c r="Q25" s="5"/>
      <c r="R25" s="5"/>
      <c r="S25" s="5"/>
      <c r="T25" s="116"/>
    </row>
    <row r="26">
      <c r="A26" s="103">
        <v>45132</v>
      </c>
      <c r="B26" s="14"/>
      <c r="C26" s="14"/>
      <c r="D26" s="14">
        <v>1350</v>
      </c>
      <c r="E26" s="14"/>
      <c r="F26" s="14"/>
      <c r="G26" s="14"/>
      <c r="H26" s="14"/>
      <c r="I26" s="14"/>
      <c r="J26" s="14"/>
      <c r="K26" s="14"/>
      <c r="L26" s="14"/>
      <c r="M26" s="14"/>
      <c r="N26" s="14"/>
      <c r="O26" s="14"/>
      <c r="P26" s="14"/>
      <c r="Q26" s="14"/>
      <c r="R26" s="14"/>
      <c r="S26" s="14"/>
      <c r="T26" s="116"/>
    </row>
    <row r="27">
      <c r="A27" s="103">
        <v>45133</v>
      </c>
      <c r="B27" s="5"/>
      <c r="C27" s="6">
        <v>3950</v>
      </c>
      <c r="D27" s="5"/>
      <c r="E27" s="5"/>
      <c r="F27" s="5"/>
      <c r="G27" s="5"/>
      <c r="H27" s="5"/>
      <c r="I27" s="5"/>
      <c r="J27" s="5"/>
      <c r="K27" s="5"/>
      <c r="L27" s="5"/>
      <c r="M27" s="5"/>
      <c r="N27" s="5"/>
      <c r="O27" s="5"/>
      <c r="P27" s="5"/>
      <c r="Q27" s="5"/>
      <c r="R27" s="5"/>
      <c r="S27" s="5"/>
      <c r="T27" s="116"/>
    </row>
    <row r="28">
      <c r="A28" s="103">
        <v>45134</v>
      </c>
      <c r="B28" s="14">
        <f t="shared" ref="B28:B29" si="138">100+100</f>
        <v>200</v>
      </c>
      <c r="C28" s="14"/>
      <c r="D28" s="14"/>
      <c r="E28" s="14"/>
      <c r="F28" s="14"/>
      <c r="G28" s="14"/>
      <c r="H28" s="14"/>
      <c r="I28" s="14"/>
      <c r="J28" s="14"/>
      <c r="K28" s="14"/>
      <c r="L28" s="14"/>
      <c r="M28" s="14"/>
      <c r="N28" s="14"/>
      <c r="O28" s="14"/>
      <c r="P28" s="14"/>
      <c r="Q28" s="14"/>
      <c r="R28" s="14"/>
      <c r="S28" s="14"/>
      <c r="T28" s="116"/>
    </row>
    <row r="29">
      <c r="A29" s="103">
        <v>45135</v>
      </c>
      <c r="B29" s="5">
        <f t="shared" si="138"/>
        <v>200</v>
      </c>
      <c r="C29" s="5"/>
      <c r="D29" s="5">
        <v>1350</v>
      </c>
      <c r="E29" s="5"/>
      <c r="F29" s="5"/>
      <c r="G29" s="5"/>
      <c r="H29" s="5"/>
      <c r="I29" s="5"/>
      <c r="J29" s="5"/>
      <c r="K29" s="5"/>
      <c r="L29" s="5"/>
      <c r="M29" s="5"/>
      <c r="N29" s="5"/>
      <c r="O29" s="5"/>
      <c r="P29" s="5"/>
      <c r="Q29" s="5"/>
      <c r="R29" s="5"/>
      <c r="S29" s="5"/>
      <c r="T29" s="116"/>
    </row>
    <row r="30">
      <c r="A30" s="103">
        <v>45136</v>
      </c>
      <c r="B30" s="22"/>
      <c r="C30" s="22"/>
      <c r="D30" s="22"/>
      <c r="E30" s="22"/>
      <c r="F30" s="22"/>
      <c r="G30" s="22"/>
      <c r="H30" s="22"/>
      <c r="I30" s="22"/>
      <c r="J30" s="22"/>
      <c r="K30" s="22"/>
      <c r="L30" s="22"/>
      <c r="M30" s="22"/>
      <c r="N30" s="22"/>
      <c r="O30" s="22"/>
      <c r="P30" s="22"/>
      <c r="Q30" s="22"/>
      <c r="R30" s="22"/>
      <c r="S30" s="22"/>
      <c r="T30" s="116"/>
    </row>
    <row r="31">
      <c r="A31" s="103">
        <v>45137</v>
      </c>
      <c r="B31" s="5"/>
      <c r="C31" s="5">
        <v>7596</v>
      </c>
      <c r="D31" s="5"/>
      <c r="E31" s="5"/>
      <c r="F31" s="5"/>
      <c r="G31" s="5"/>
      <c r="H31" s="5"/>
      <c r="I31" s="5"/>
      <c r="J31" s="5"/>
      <c r="K31" s="5"/>
      <c r="L31" s="5"/>
      <c r="M31" s="5"/>
      <c r="N31" s="5"/>
      <c r="O31" s="5"/>
      <c r="P31" s="5"/>
      <c r="Q31" s="5"/>
      <c r="R31" s="5"/>
      <c r="S31" s="5"/>
      <c r="T31" s="116"/>
    </row>
    <row r="32">
      <c r="A32" s="103">
        <v>45138</v>
      </c>
      <c r="B32" s="22">
        <f>100</f>
        <v>100</v>
      </c>
      <c r="C32" s="22"/>
      <c r="D32" s="22">
        <v>970</v>
      </c>
      <c r="E32" s="22"/>
      <c r="F32" s="22"/>
      <c r="G32" s="22"/>
      <c r="H32" s="22"/>
      <c r="I32" s="22"/>
      <c r="J32" s="22"/>
      <c r="K32" s="22"/>
      <c r="L32" s="22"/>
      <c r="M32" s="22"/>
      <c r="N32" s="22"/>
      <c r="O32" s="22"/>
      <c r="P32" s="22"/>
      <c r="Q32" s="22"/>
      <c r="R32" s="22"/>
      <c r="S32" s="22"/>
      <c r="T32" s="116"/>
    </row>
    <row r="33">
      <c r="A33" s="113" t="s">
        <v>87</v>
      </c>
      <c r="B33" s="113">
        <f>SUM(B2:B32)</f>
        <v>209583.80659999998</v>
      </c>
      <c r="C33" s="113">
        <f>SUM(C2:C32)</f>
        <v>29808</v>
      </c>
      <c r="D33" s="113">
        <f>SUM(D2:D32)</f>
        <v>13965</v>
      </c>
      <c r="E33" s="113">
        <f>SUM(E2:E32)</f>
        <v>0</v>
      </c>
      <c r="F33" s="113">
        <f>SUM(F2:F32)</f>
        <v>78840</v>
      </c>
      <c r="G33" s="113">
        <f>SUM(G2:G32)</f>
        <v>871.62</v>
      </c>
      <c r="H33" s="113">
        <f>SUM(H2:H32)</f>
        <v>0</v>
      </c>
      <c r="I33" s="113">
        <f>SUM(I2:I32)</f>
        <v>0</v>
      </c>
      <c r="J33" s="113">
        <f>SUM(J2:J32)</f>
        <v>5900</v>
      </c>
      <c r="K33" s="113">
        <f>SUM(K2:K32)</f>
        <v>0</v>
      </c>
      <c r="L33" s="113">
        <f>SUM(L2:L32)</f>
        <v>155243</v>
      </c>
      <c r="M33" s="113">
        <f>SUM(M2:M32)</f>
        <v>1190</v>
      </c>
      <c r="N33" s="113">
        <f>SUM(N2:N32)</f>
        <v>0</v>
      </c>
      <c r="O33" s="113">
        <f>SUM(O2:O32)</f>
        <v>0</v>
      </c>
      <c r="P33" s="113">
        <f>SUM(P2:P32)</f>
        <v>0</v>
      </c>
      <c r="Q33" s="113">
        <f>SUM(Q2:Q32)</f>
        <v>0</v>
      </c>
      <c r="R33" s="113">
        <f>SUM(R2:R32)</f>
        <v>0</v>
      </c>
      <c r="S33" s="113">
        <f>SUM(B33:R33)+SUM(S2:S32)</f>
        <v>495401.42660000001</v>
      </c>
      <c r="T33" s="124" t="s">
        <v>88</v>
      </c>
    </row>
    <row r="34">
      <c r="A34" s="108" t="s">
        <v>89</v>
      </c>
      <c r="B34" s="110">
        <f>B33/'Сводная таблица'!B67</f>
        <v>47850.18415525114</v>
      </c>
      <c r="C34" s="110">
        <f>C33/'Сводная таблица'!B67</f>
        <v>6805.4794520547948</v>
      </c>
      <c r="D34" s="110">
        <f>D33/'Сводная таблица'!B67</f>
        <v>3188.3561643835619</v>
      </c>
      <c r="E34" s="110">
        <f>E33/'Сводная таблица'!B67</f>
        <v>0</v>
      </c>
      <c r="F34" s="110">
        <f>F33/'Сводная таблица'!B67</f>
        <v>18000</v>
      </c>
      <c r="G34" s="110">
        <f>G33/'Сводная таблица'!B67</f>
        <v>199</v>
      </c>
      <c r="H34" s="110">
        <f>H33/'Сводная таблица'!B67</f>
        <v>0</v>
      </c>
      <c r="I34" s="110">
        <f>I33/'Сводная таблица'!B67</f>
        <v>0</v>
      </c>
      <c r="J34" s="110">
        <f>J33/'Сводная таблица'!B67</f>
        <v>1347.0319634703196</v>
      </c>
      <c r="K34" s="110">
        <f>K33/'Сводная таблица'!B67</f>
        <v>0</v>
      </c>
      <c r="L34" s="110">
        <f>L33/'Сводная таблица'!B67</f>
        <v>35443.607305936071</v>
      </c>
      <c r="M34" s="110">
        <f>M33/'Сводная таблица'!B67</f>
        <v>271.689497716895</v>
      </c>
      <c r="N34" s="110">
        <f>N33/'Сводная таблица'!B67</f>
        <v>0</v>
      </c>
      <c r="O34" s="110">
        <f>O33/'Сводная таблица'!B67</f>
        <v>0</v>
      </c>
      <c r="P34" s="110">
        <f>P33/'Сводная таблица'!B67</f>
        <v>0</v>
      </c>
      <c r="Q34" s="110">
        <f>Q33/'Сводная таблица'!B67</f>
        <v>0</v>
      </c>
      <c r="R34" s="110">
        <f>R33/'Сводная таблица'!B67</f>
        <v>0</v>
      </c>
      <c r="S34" s="120">
        <f>S33/'Сводная таблица'!B84</f>
        <v>113105.34853881279</v>
      </c>
      <c r="T34" s="125" t="s">
        <v>90</v>
      </c>
    </row>
    <row r="35">
      <c r="A35" s="121" t="s">
        <v>0</v>
      </c>
      <c r="B35" s="121" t="s">
        <v>50</v>
      </c>
      <c r="C35" s="121" t="s">
        <v>13</v>
      </c>
      <c r="D35" s="121" t="s">
        <v>11</v>
      </c>
      <c r="E35" s="121" t="s">
        <v>51</v>
      </c>
      <c r="F35" s="121" t="s">
        <v>52</v>
      </c>
      <c r="G35" s="121"/>
      <c r="H35" s="121" t="s">
        <v>54</v>
      </c>
      <c r="I35" s="121" t="s">
        <v>55</v>
      </c>
      <c r="J35" s="121" t="s">
        <v>61</v>
      </c>
      <c r="K35" s="121" t="s">
        <v>74</v>
      </c>
      <c r="L35" s="122"/>
      <c r="M35" s="122"/>
      <c r="N35" s="122"/>
      <c r="O35" s="122"/>
      <c r="P35" s="122"/>
      <c r="Q35" s="122"/>
      <c r="R35" s="122"/>
      <c r="S35" s="122"/>
      <c r="T35" s="116"/>
    </row>
    <row r="36">
      <c r="A36" s="103">
        <v>45108</v>
      </c>
      <c r="B36" s="14"/>
      <c r="C36" s="14"/>
      <c r="D36" s="14"/>
      <c r="E36" s="14"/>
      <c r="F36" s="14"/>
      <c r="G36" s="14"/>
      <c r="H36" s="14"/>
      <c r="I36" s="14"/>
      <c r="J36" s="22"/>
      <c r="K36" s="22"/>
      <c r="L36" s="22"/>
      <c r="M36" s="22"/>
      <c r="N36" s="22"/>
      <c r="O36" s="22"/>
      <c r="P36" s="22"/>
      <c r="Q36" s="22"/>
      <c r="R36" s="22"/>
      <c r="S36" s="22"/>
      <c r="T36" s="116"/>
    </row>
    <row r="37">
      <c r="A37" s="103">
        <v>45109</v>
      </c>
      <c r="B37" s="5"/>
      <c r="C37" s="5"/>
      <c r="D37" s="5"/>
      <c r="E37" s="5"/>
      <c r="F37" s="5"/>
      <c r="G37" s="5"/>
      <c r="H37" s="5"/>
      <c r="I37" s="5"/>
      <c r="J37" s="5"/>
      <c r="K37" s="5"/>
      <c r="L37" s="5"/>
      <c r="M37" s="5"/>
      <c r="N37" s="5"/>
      <c r="O37" s="5"/>
      <c r="P37" s="5"/>
      <c r="Q37" s="5"/>
      <c r="R37" s="5"/>
      <c r="S37" s="5"/>
      <c r="T37" s="116"/>
    </row>
    <row r="38">
      <c r="A38" s="103">
        <v>45110</v>
      </c>
      <c r="B38" s="14"/>
      <c r="C38" s="14"/>
      <c r="D38" s="14"/>
      <c r="E38" s="14"/>
      <c r="F38" s="14"/>
      <c r="G38" s="14"/>
      <c r="H38" s="14"/>
      <c r="I38" s="14"/>
      <c r="J38" s="22"/>
      <c r="K38" s="22"/>
      <c r="L38" s="22"/>
      <c r="M38" s="22"/>
      <c r="N38" s="22"/>
      <c r="O38" s="22"/>
      <c r="P38" s="22"/>
      <c r="Q38" s="22"/>
      <c r="R38" s="22"/>
      <c r="S38" s="22"/>
      <c r="T38" s="116"/>
    </row>
    <row r="39">
      <c r="A39" s="103">
        <v>45111</v>
      </c>
      <c r="B39" s="5">
        <v>250000</v>
      </c>
      <c r="C39" s="5"/>
      <c r="D39" s="5"/>
      <c r="E39" s="71"/>
      <c r="F39" s="5"/>
      <c r="G39" s="5"/>
      <c r="H39" s="5"/>
      <c r="I39" s="5"/>
      <c r="J39" s="5"/>
      <c r="K39" s="5"/>
      <c r="L39" s="5"/>
      <c r="M39" s="5"/>
      <c r="N39" s="5"/>
      <c r="O39" s="5"/>
      <c r="P39" s="5"/>
      <c r="Q39" s="5"/>
      <c r="R39" s="5"/>
      <c r="S39" s="5"/>
      <c r="T39" s="116"/>
    </row>
    <row r="40">
      <c r="A40" s="103">
        <v>45112</v>
      </c>
      <c r="B40" s="14"/>
      <c r="C40" s="14"/>
      <c r="D40" s="14"/>
      <c r="E40" s="14"/>
      <c r="F40" s="14"/>
      <c r="G40" s="14"/>
      <c r="H40" s="14"/>
      <c r="I40" s="14"/>
      <c r="J40" s="14"/>
      <c r="K40" s="14"/>
      <c r="L40" s="14"/>
      <c r="M40" s="14"/>
      <c r="N40" s="14"/>
      <c r="O40" s="14"/>
      <c r="P40" s="14"/>
      <c r="Q40" s="14"/>
      <c r="R40" s="14"/>
      <c r="S40" s="14"/>
      <c r="T40" s="116"/>
    </row>
    <row r="41">
      <c r="A41" s="103">
        <v>45113</v>
      </c>
      <c r="B41" s="5"/>
      <c r="C41" s="5"/>
      <c r="D41" s="5"/>
      <c r="E41" s="5">
        <f>8.23*'Сводная таблица'!B84</f>
        <v>36.047400000000003</v>
      </c>
      <c r="F41" s="5"/>
      <c r="G41" s="5"/>
      <c r="H41" s="5"/>
      <c r="I41" s="5"/>
      <c r="J41" s="5"/>
      <c r="K41" s="5"/>
      <c r="L41" s="5"/>
      <c r="M41" s="5"/>
      <c r="N41" s="5"/>
      <c r="O41" s="5"/>
      <c r="P41" s="5"/>
      <c r="Q41" s="5"/>
      <c r="R41" s="5"/>
      <c r="S41" s="5"/>
      <c r="T41" s="116"/>
    </row>
    <row r="42">
      <c r="A42" s="103">
        <v>45114</v>
      </c>
      <c r="B42" s="14"/>
      <c r="C42" s="14"/>
      <c r="D42" s="14"/>
      <c r="E42" s="14"/>
      <c r="F42" s="14"/>
      <c r="G42" s="14"/>
      <c r="H42" s="14"/>
      <c r="I42" s="14"/>
      <c r="J42" s="14"/>
      <c r="K42" s="14"/>
      <c r="L42" s="14"/>
      <c r="M42" s="14"/>
      <c r="N42" s="14"/>
      <c r="O42" s="14"/>
      <c r="P42" s="14"/>
      <c r="Q42" s="14"/>
      <c r="R42" s="14"/>
      <c r="S42" s="14"/>
      <c r="T42" s="116"/>
    </row>
    <row r="43">
      <c r="A43" s="103">
        <v>45115</v>
      </c>
      <c r="B43" s="5"/>
      <c r="C43" s="5"/>
      <c r="D43" s="5"/>
      <c r="E43" s="5"/>
      <c r="F43" s="5"/>
      <c r="G43" s="5"/>
      <c r="H43" s="5"/>
      <c r="I43" s="5"/>
      <c r="J43" s="5"/>
      <c r="K43" s="5"/>
      <c r="L43" s="5"/>
      <c r="M43" s="5"/>
      <c r="N43" s="5"/>
      <c r="O43" s="5"/>
      <c r="P43" s="5"/>
      <c r="Q43" s="5"/>
      <c r="R43" s="5"/>
      <c r="S43" s="5"/>
      <c r="T43" s="116"/>
    </row>
    <row r="44">
      <c r="A44" s="103">
        <v>45116</v>
      </c>
      <c r="B44" s="79"/>
      <c r="C44" s="14"/>
      <c r="D44" s="14"/>
      <c r="E44" s="14"/>
      <c r="F44" s="14"/>
      <c r="G44" s="14"/>
      <c r="H44" s="14"/>
      <c r="I44" s="14"/>
      <c r="J44" s="14"/>
      <c r="K44" s="14"/>
      <c r="L44" s="14"/>
      <c r="M44" s="14"/>
      <c r="N44" s="14"/>
      <c r="O44" s="14"/>
      <c r="P44" s="14"/>
      <c r="Q44" s="14"/>
      <c r="R44" s="14"/>
      <c r="S44" s="14"/>
      <c r="T44" s="116"/>
    </row>
    <row r="45">
      <c r="A45" s="103">
        <v>45117</v>
      </c>
      <c r="B45" s="5"/>
      <c r="C45" s="5"/>
      <c r="D45" s="5"/>
      <c r="E45" s="5">
        <f>470*'Сводная таблица'!B84</f>
        <v>2058.5999999999999</v>
      </c>
      <c r="F45" s="5"/>
      <c r="G45" s="5"/>
      <c r="H45" s="5"/>
      <c r="I45" s="5"/>
      <c r="J45" s="5"/>
      <c r="K45" s="5"/>
      <c r="L45" s="5"/>
      <c r="M45" s="5"/>
      <c r="N45" s="5"/>
      <c r="O45" s="5"/>
      <c r="P45" s="5"/>
      <c r="Q45" s="5"/>
      <c r="R45" s="5"/>
      <c r="S45" s="5"/>
      <c r="T45" s="116"/>
    </row>
    <row r="46">
      <c r="A46" s="103">
        <v>45118</v>
      </c>
      <c r="B46" s="14"/>
      <c r="C46" s="14"/>
      <c r="D46" s="14"/>
      <c r="E46" s="14"/>
      <c r="F46" s="14"/>
      <c r="G46" s="14"/>
      <c r="H46" s="14"/>
      <c r="I46" s="14"/>
      <c r="J46" s="14"/>
      <c r="K46" s="14"/>
      <c r="L46" s="14"/>
      <c r="M46" s="14"/>
      <c r="N46" s="14"/>
      <c r="O46" s="14"/>
      <c r="P46" s="14"/>
      <c r="Q46" s="14"/>
      <c r="R46" s="14"/>
      <c r="S46" s="14"/>
      <c r="T46" s="116"/>
    </row>
    <row r="47">
      <c r="A47" s="103">
        <v>45119</v>
      </c>
      <c r="B47" s="5"/>
      <c r="C47" s="5"/>
      <c r="D47" s="5"/>
      <c r="E47" s="5"/>
      <c r="F47" s="5"/>
      <c r="G47" s="5"/>
      <c r="H47" s="5"/>
      <c r="I47" s="5"/>
      <c r="J47" s="5"/>
      <c r="K47" s="5"/>
      <c r="L47" s="5"/>
      <c r="M47" s="5"/>
      <c r="N47" s="5"/>
      <c r="O47" s="5"/>
      <c r="P47" s="5"/>
      <c r="Q47" s="5"/>
      <c r="R47" s="5"/>
      <c r="S47" s="5"/>
      <c r="T47" s="116"/>
    </row>
    <row r="48">
      <c r="A48" s="103">
        <v>45120</v>
      </c>
      <c r="B48" s="14"/>
      <c r="C48" s="14"/>
      <c r="D48" s="14"/>
      <c r="E48" s="14"/>
      <c r="F48" s="14"/>
      <c r="G48" s="14"/>
      <c r="H48" s="14"/>
      <c r="I48" s="14"/>
      <c r="J48" s="14"/>
      <c r="K48" s="14"/>
      <c r="L48" s="14"/>
      <c r="M48" s="14"/>
      <c r="N48" s="14"/>
      <c r="O48" s="14"/>
      <c r="P48" s="14"/>
      <c r="Q48" s="14"/>
      <c r="R48" s="14"/>
      <c r="S48" s="14"/>
      <c r="T48" s="116"/>
    </row>
    <row r="49">
      <c r="A49" s="103">
        <v>45121</v>
      </c>
      <c r="B49" s="5"/>
      <c r="C49" s="5"/>
      <c r="D49" s="5"/>
      <c r="E49" s="5"/>
      <c r="F49" s="5"/>
      <c r="G49" s="5"/>
      <c r="H49" s="5"/>
      <c r="I49" s="5"/>
      <c r="J49" s="5"/>
      <c r="K49" s="5"/>
      <c r="L49" s="5"/>
      <c r="M49" s="5"/>
      <c r="N49" s="5"/>
      <c r="O49" s="5"/>
      <c r="P49" s="5"/>
      <c r="Q49" s="5"/>
      <c r="R49" s="5"/>
      <c r="S49" s="5"/>
      <c r="T49" s="116"/>
    </row>
    <row r="50">
      <c r="A50" s="103">
        <v>45122</v>
      </c>
      <c r="B50" s="14"/>
      <c r="C50" s="14"/>
      <c r="D50" s="14"/>
      <c r="E50" s="14"/>
      <c r="F50" s="14"/>
      <c r="G50" s="14"/>
      <c r="H50" s="14"/>
      <c r="I50" s="14"/>
      <c r="J50" s="14"/>
      <c r="K50" s="14"/>
      <c r="L50" s="14"/>
      <c r="M50" s="14"/>
      <c r="N50" s="14"/>
      <c r="O50" s="14"/>
      <c r="P50" s="14"/>
      <c r="Q50" s="14"/>
      <c r="R50" s="14"/>
      <c r="S50" s="14"/>
      <c r="T50" s="116"/>
    </row>
    <row r="51">
      <c r="A51" s="103">
        <v>45123</v>
      </c>
      <c r="B51" s="5"/>
      <c r="C51" s="5"/>
      <c r="D51" s="5"/>
      <c r="E51" s="5"/>
      <c r="F51" s="5"/>
      <c r="G51" s="5"/>
      <c r="H51" s="5"/>
      <c r="I51" s="5"/>
      <c r="J51" s="5"/>
      <c r="K51" s="5"/>
      <c r="L51" s="5"/>
      <c r="M51" s="5"/>
      <c r="N51" s="5"/>
      <c r="O51" s="5"/>
      <c r="P51" s="5"/>
      <c r="Q51" s="5"/>
      <c r="R51" s="5"/>
      <c r="S51" s="5"/>
      <c r="T51" s="116"/>
    </row>
    <row r="52">
      <c r="A52" s="103">
        <v>45124</v>
      </c>
      <c r="B52" s="14"/>
      <c r="C52" s="14"/>
      <c r="D52" s="14"/>
      <c r="E52" s="14"/>
      <c r="F52" s="14"/>
      <c r="G52" s="14"/>
      <c r="H52" s="14"/>
      <c r="I52" s="14"/>
      <c r="J52" s="14"/>
      <c r="K52" s="14"/>
      <c r="L52" s="14"/>
      <c r="M52" s="14"/>
      <c r="N52" s="14"/>
      <c r="O52" s="14"/>
      <c r="P52" s="14"/>
      <c r="Q52" s="14"/>
      <c r="R52" s="14"/>
      <c r="S52" s="14"/>
      <c r="T52" s="116"/>
    </row>
    <row r="53">
      <c r="A53" s="103">
        <v>45125</v>
      </c>
      <c r="B53" s="5"/>
      <c r="C53" s="5"/>
      <c r="D53" s="5"/>
      <c r="E53" s="5"/>
      <c r="F53" s="5"/>
      <c r="G53" s="5"/>
      <c r="H53" s="5"/>
      <c r="I53" s="5"/>
      <c r="J53" s="5"/>
      <c r="K53" s="5"/>
      <c r="L53" s="5"/>
      <c r="M53" s="5"/>
      <c r="N53" s="5"/>
      <c r="O53" s="5"/>
      <c r="P53" s="5"/>
      <c r="Q53" s="5"/>
      <c r="R53" s="5"/>
      <c r="S53" s="5"/>
      <c r="T53" s="116"/>
    </row>
    <row r="54">
      <c r="A54" s="103">
        <v>45126</v>
      </c>
      <c r="B54" s="14"/>
      <c r="C54" s="14"/>
      <c r="D54" s="14"/>
      <c r="E54" s="14"/>
      <c r="F54" s="14"/>
      <c r="G54" s="14"/>
      <c r="H54" s="14"/>
      <c r="I54" s="14"/>
      <c r="J54" s="14"/>
      <c r="K54" s="14"/>
      <c r="L54" s="14"/>
      <c r="M54" s="14"/>
      <c r="N54" s="14"/>
      <c r="O54" s="14"/>
      <c r="P54" s="14"/>
      <c r="Q54" s="14"/>
      <c r="R54" s="14"/>
      <c r="S54" s="14"/>
      <c r="T54" s="116"/>
    </row>
    <row r="55">
      <c r="A55" s="103">
        <v>45127</v>
      </c>
      <c r="B55" s="5">
        <v>250000</v>
      </c>
      <c r="C55" s="5"/>
      <c r="D55" s="5"/>
      <c r="E55" s="5"/>
      <c r="F55" s="5"/>
      <c r="G55" s="5"/>
      <c r="H55" s="5"/>
      <c r="I55" s="5"/>
      <c r="J55" s="5"/>
      <c r="K55" s="5"/>
      <c r="L55" s="5"/>
      <c r="M55" s="5"/>
      <c r="N55" s="5"/>
      <c r="O55" s="5"/>
      <c r="P55" s="5"/>
      <c r="Q55" s="5"/>
      <c r="R55" s="5"/>
      <c r="S55" s="5"/>
      <c r="T55" s="116"/>
    </row>
    <row r="56">
      <c r="A56" s="103">
        <v>45128</v>
      </c>
      <c r="B56" s="14"/>
      <c r="C56" s="14"/>
      <c r="D56" s="14"/>
      <c r="E56" s="14"/>
      <c r="F56" s="14"/>
      <c r="G56" s="14"/>
      <c r="H56" s="14"/>
      <c r="I56" s="14"/>
      <c r="J56" s="14"/>
      <c r="K56" s="14"/>
      <c r="L56" s="14"/>
      <c r="M56" s="14"/>
      <c r="N56" s="14"/>
      <c r="O56" s="14"/>
      <c r="P56" s="14"/>
      <c r="Q56" s="14"/>
      <c r="R56" s="14"/>
      <c r="S56" s="14"/>
      <c r="T56" s="116"/>
    </row>
    <row r="57">
      <c r="A57" s="103">
        <v>45129</v>
      </c>
      <c r="B57" s="5"/>
      <c r="C57" s="5"/>
      <c r="D57" s="5"/>
      <c r="E57" s="5"/>
      <c r="F57" s="5"/>
      <c r="G57" s="5"/>
      <c r="H57" s="5"/>
      <c r="I57" s="5"/>
      <c r="J57" s="5"/>
      <c r="K57" s="5"/>
      <c r="L57" s="5"/>
      <c r="M57" s="5"/>
      <c r="N57" s="5"/>
      <c r="O57" s="5"/>
      <c r="P57" s="5"/>
      <c r="Q57" s="5"/>
      <c r="R57" s="5"/>
      <c r="S57" s="5"/>
      <c r="T57" s="116"/>
    </row>
    <row r="58">
      <c r="A58" s="103">
        <v>45130</v>
      </c>
      <c r="B58" s="14"/>
      <c r="C58" s="14"/>
      <c r="D58" s="14"/>
      <c r="E58" s="14"/>
      <c r="F58" s="14"/>
      <c r="G58" s="14"/>
      <c r="H58" s="14"/>
      <c r="I58" s="14"/>
      <c r="J58" s="14"/>
      <c r="K58" s="14"/>
      <c r="L58" s="14"/>
      <c r="M58" s="14"/>
      <c r="N58" s="14"/>
      <c r="O58" s="14"/>
      <c r="P58" s="14"/>
      <c r="Q58" s="14"/>
      <c r="R58" s="14"/>
      <c r="S58" s="14"/>
      <c r="T58" s="116"/>
    </row>
    <row r="59">
      <c r="A59" s="103">
        <v>45131</v>
      </c>
      <c r="B59" s="5"/>
      <c r="C59" s="5"/>
      <c r="D59" s="5"/>
      <c r="E59" s="5"/>
      <c r="F59" s="5"/>
      <c r="G59" s="5"/>
      <c r="H59" s="5"/>
      <c r="I59" s="5"/>
      <c r="J59" s="5"/>
      <c r="K59" s="5"/>
      <c r="L59" s="5"/>
      <c r="M59" s="5"/>
      <c r="N59" s="5"/>
      <c r="O59" s="5"/>
      <c r="P59" s="5"/>
      <c r="Q59" s="5"/>
      <c r="R59" s="5"/>
      <c r="S59" s="5"/>
      <c r="T59" s="116"/>
    </row>
    <row r="60">
      <c r="A60" s="103">
        <v>45132</v>
      </c>
      <c r="B60" s="14"/>
      <c r="C60" s="14"/>
      <c r="D60" s="14"/>
      <c r="E60" s="14"/>
      <c r="F60" s="14"/>
      <c r="G60" s="14"/>
      <c r="H60" s="14"/>
      <c r="I60" s="14"/>
      <c r="J60" s="14"/>
      <c r="K60" s="14"/>
      <c r="L60" s="14"/>
      <c r="M60" s="14"/>
      <c r="N60" s="14"/>
      <c r="O60" s="14"/>
      <c r="P60" s="14"/>
      <c r="Q60" s="14"/>
      <c r="R60" s="14"/>
      <c r="S60" s="14"/>
      <c r="T60" s="116"/>
    </row>
    <row r="61">
      <c r="A61" s="103">
        <v>45133</v>
      </c>
      <c r="B61" s="5"/>
      <c r="C61" s="5"/>
      <c r="D61" s="5"/>
      <c r="E61" s="5"/>
      <c r="F61" s="5"/>
      <c r="G61" s="5"/>
      <c r="H61" s="5"/>
      <c r="I61" s="5"/>
      <c r="J61" s="5"/>
      <c r="K61" s="5"/>
      <c r="L61" s="5"/>
      <c r="M61" s="5"/>
      <c r="N61" s="5"/>
      <c r="O61" s="5"/>
      <c r="P61" s="5"/>
      <c r="Q61" s="5"/>
      <c r="R61" s="5"/>
      <c r="S61" s="5"/>
      <c r="T61" s="116"/>
    </row>
    <row r="62">
      <c r="A62" s="103">
        <v>45134</v>
      </c>
      <c r="B62" s="14"/>
      <c r="C62" s="14"/>
      <c r="D62" s="14"/>
      <c r="E62" s="14"/>
      <c r="F62" s="14"/>
      <c r="G62" s="14"/>
      <c r="H62" s="14"/>
      <c r="I62" s="14"/>
      <c r="J62" s="14"/>
      <c r="K62" s="14"/>
      <c r="L62" s="14"/>
      <c r="M62" s="14"/>
      <c r="N62" s="14"/>
      <c r="O62" s="14"/>
      <c r="P62" s="14"/>
      <c r="Q62" s="14"/>
      <c r="R62" s="14"/>
      <c r="S62" s="14"/>
      <c r="T62" s="116"/>
    </row>
    <row r="63">
      <c r="A63" s="103">
        <v>45135</v>
      </c>
      <c r="B63" s="5"/>
      <c r="C63" s="5"/>
      <c r="D63" s="5"/>
      <c r="E63" s="5"/>
      <c r="F63" s="5"/>
      <c r="G63" s="5"/>
      <c r="H63" s="5"/>
      <c r="I63" s="5"/>
      <c r="J63" s="5"/>
      <c r="K63" s="5"/>
      <c r="L63" s="5"/>
      <c r="M63" s="5"/>
      <c r="N63" s="5"/>
      <c r="O63" s="5"/>
      <c r="P63" s="5"/>
      <c r="Q63" s="5"/>
      <c r="R63" s="48"/>
      <c r="S63" s="5"/>
      <c r="T63" s="116"/>
    </row>
    <row r="64">
      <c r="A64" s="103">
        <v>45136</v>
      </c>
      <c r="B64" s="22"/>
      <c r="C64" s="22"/>
      <c r="D64" s="22"/>
      <c r="E64" s="22"/>
      <c r="F64" s="22"/>
      <c r="G64" s="22"/>
      <c r="H64" s="22"/>
      <c r="I64" s="22"/>
      <c r="J64" s="14"/>
      <c r="K64" s="14"/>
      <c r="L64" s="14"/>
      <c r="M64" s="14"/>
      <c r="N64" s="14"/>
      <c r="O64" s="14"/>
      <c r="P64" s="14"/>
      <c r="Q64" s="14"/>
      <c r="R64" s="80"/>
      <c r="S64" s="14"/>
      <c r="T64" s="116"/>
    </row>
    <row r="65">
      <c r="A65" s="103">
        <v>45137</v>
      </c>
      <c r="B65" s="5"/>
      <c r="C65" s="5"/>
      <c r="D65" s="5"/>
      <c r="E65" s="5"/>
      <c r="F65" s="5"/>
      <c r="G65" s="5"/>
      <c r="H65" s="5"/>
      <c r="I65" s="5"/>
      <c r="J65" s="5"/>
      <c r="K65" s="5"/>
      <c r="L65" s="5"/>
      <c r="M65" s="5"/>
      <c r="N65" s="5"/>
      <c r="O65" s="5"/>
      <c r="P65" s="5"/>
      <c r="Q65" s="5"/>
      <c r="R65" s="48"/>
      <c r="S65" s="5"/>
      <c r="T65" s="116"/>
    </row>
    <row r="66">
      <c r="A66" s="103">
        <v>45138</v>
      </c>
      <c r="B66" s="22"/>
      <c r="C66" s="22"/>
      <c r="D66" s="22"/>
      <c r="E66" s="22">
        <f>1225.96*'Сводная таблица'!B84+(6458.9-645.9)</f>
        <v>11182.7048</v>
      </c>
      <c r="F66" s="22"/>
      <c r="G66" s="22"/>
      <c r="H66" s="22"/>
      <c r="I66" s="22"/>
      <c r="J66" s="14"/>
      <c r="K66" s="14"/>
      <c r="L66" s="14"/>
      <c r="M66" s="14"/>
      <c r="N66" s="14"/>
      <c r="O66" s="14"/>
      <c r="P66" s="14"/>
      <c r="Q66" s="14"/>
      <c r="R66" s="80"/>
      <c r="S66" s="14"/>
      <c r="T66" s="116"/>
    </row>
    <row r="67">
      <c r="A67" s="113" t="s">
        <v>87</v>
      </c>
      <c r="B67" s="113">
        <f>SUM(B36:B66)</f>
        <v>500000</v>
      </c>
      <c r="C67" s="113">
        <f>SUM(C36:C66)</f>
        <v>0</v>
      </c>
      <c r="D67" s="113">
        <f>SUM(D36:D66)</f>
        <v>0</v>
      </c>
      <c r="E67" s="113">
        <f>SUM(E36:E66)</f>
        <v>13277.352199999999</v>
      </c>
      <c r="F67" s="113">
        <f>SUM(F36:F66)</f>
        <v>0</v>
      </c>
      <c r="G67" s="113">
        <f>SUM(G36:G66)</f>
        <v>0</v>
      </c>
      <c r="H67" s="113">
        <f>SUM(H36:H66)</f>
        <v>0</v>
      </c>
      <c r="I67" s="113">
        <f>SUM(I36:I66)</f>
        <v>0</v>
      </c>
      <c r="J67" s="113">
        <f>SUM(J36:J66)</f>
        <v>0</v>
      </c>
      <c r="K67" s="113">
        <f>SUM(K36:K66)</f>
        <v>0</v>
      </c>
      <c r="L67" s="113">
        <f>SUM(L36:L66)</f>
        <v>0</v>
      </c>
      <c r="M67" s="113">
        <f>SUM(M36:M66)</f>
        <v>0</v>
      </c>
      <c r="N67" s="113">
        <f>SUM(N36:N66)</f>
        <v>0</v>
      </c>
      <c r="O67" s="113">
        <f>SUM(O36:O66)</f>
        <v>0</v>
      </c>
      <c r="P67" s="113">
        <f>SUM(P36:P66)</f>
        <v>0</v>
      </c>
      <c r="Q67" s="113">
        <f>SUM(Q36:Q66)</f>
        <v>0</v>
      </c>
      <c r="R67" s="113">
        <f>SUM(R36:R66)</f>
        <v>0</v>
      </c>
      <c r="S67" s="113">
        <f>SUM(B67:R67)</f>
        <v>513277.35220000002</v>
      </c>
      <c r="T67" s="124" t="s">
        <v>88</v>
      </c>
    </row>
    <row r="68">
      <c r="A68" s="108" t="s">
        <v>89</v>
      </c>
      <c r="B68" s="110">
        <f>B67/'Сводная таблица'!B84</f>
        <v>114155.25114155251</v>
      </c>
      <c r="C68" s="110"/>
      <c r="D68" s="110">
        <f>D67/'Сводная таблица'!B84</f>
        <v>0</v>
      </c>
      <c r="E68" s="110">
        <f>E67/'Сводная таблица'!B67</f>
        <v>3031.3589497716894</v>
      </c>
      <c r="F68" s="110"/>
      <c r="G68" s="110"/>
      <c r="H68" s="110">
        <f>H67/'Сводная таблица'!B67</f>
        <v>0</v>
      </c>
      <c r="I68" s="110">
        <f>I67/'Сводная таблица'!B67</f>
        <v>0</v>
      </c>
      <c r="J68" s="110"/>
      <c r="K68" s="110"/>
      <c r="L68" s="110"/>
      <c r="M68" s="110"/>
      <c r="N68" s="110"/>
      <c r="O68" s="110"/>
      <c r="P68" s="110"/>
      <c r="Q68" s="110"/>
      <c r="R68" s="110"/>
      <c r="S68" s="110">
        <f>S67/'Сводная таблица'!B84</f>
        <v>117186.61009132421</v>
      </c>
      <c r="T68" s="125" t="s">
        <v>90</v>
      </c>
    </row>
    <row r="69">
      <c r="A69" s="123" t="s">
        <v>67</v>
      </c>
      <c r="B69" s="123"/>
      <c r="C69" s="123"/>
      <c r="D69" s="123"/>
      <c r="E69" s="123"/>
      <c r="F69" s="123"/>
      <c r="G69" s="123"/>
      <c r="H69" s="123"/>
      <c r="I69" s="123"/>
      <c r="J69" s="123"/>
      <c r="K69" s="123"/>
      <c r="L69" s="123"/>
      <c r="M69" s="123"/>
      <c r="N69" s="123"/>
      <c r="O69" s="123"/>
      <c r="P69" s="123"/>
      <c r="Q69" s="123"/>
      <c r="R69" s="123"/>
      <c r="S69" s="123"/>
      <c r="T69" s="116"/>
    </row>
    <row r="70">
      <c r="A70" s="5" t="s">
        <v>68</v>
      </c>
      <c r="B70" s="118">
        <f>21000-344+2039+(23000-23000)-344-344+8164.1-4600-3300+(3000-3000)+80000+2000+(5500-5500)+(5650-5100)+1000+300+300+11814.99+10000+10000+2000+18000</f>
        <v>158236.09000000003</v>
      </c>
      <c r="C70" s="5"/>
      <c r="D70" s="5"/>
      <c r="E70" s="5"/>
      <c r="F70" s="5"/>
      <c r="G70" s="5"/>
      <c r="H70" s="5"/>
      <c r="I70" s="5"/>
      <c r="J70" s="5"/>
      <c r="K70" s="5"/>
      <c r="L70" s="5"/>
      <c r="M70" s="5"/>
      <c r="N70" s="5"/>
      <c r="O70" s="5"/>
      <c r="P70" s="5"/>
      <c r="Q70" s="5"/>
      <c r="R70" s="5"/>
      <c r="S70" s="5"/>
      <c r="T70" s="116"/>
    </row>
    <row r="71">
      <c r="A71" s="5" t="s">
        <v>76</v>
      </c>
      <c r="B71" s="5">
        <f>3000+1000+1200+1300+1500</f>
        <v>8000</v>
      </c>
      <c r="C71" s="5"/>
      <c r="D71" s="5"/>
      <c r="E71" s="5"/>
      <c r="F71" s="5"/>
      <c r="G71" s="5"/>
      <c r="H71" s="5"/>
      <c r="I71" s="5"/>
      <c r="J71" s="5"/>
      <c r="K71" s="5"/>
      <c r="L71" s="5"/>
      <c r="M71" s="5"/>
      <c r="N71" s="5"/>
      <c r="O71" s="5"/>
      <c r="P71" s="5"/>
      <c r="Q71" s="5"/>
      <c r="R71" s="5"/>
      <c r="S71" s="5"/>
      <c r="T71" s="1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5" percent="1" timePeriod="today" id="{00EB0070-004A-4ED1-A3A5-0068005700E5}">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4" percent="1" timePeriod="today" id="{00A10012-009E-414D-9945-009B00F70082}">
            <x14:dxf>
              <font>
                <color rgb="FF006100"/>
              </font>
              <fill>
                <patternFill patternType="solid">
                  <fgColor rgb="FFC6EFCE"/>
                  <bgColor rgb="FFC6EFCE"/>
                </patternFill>
              </fill>
            </x14:dxf>
          </x14:cfRule>
          <xm:sqref>A36 A37 A38 A39 A40 A41 A42 A43 A44 A45 A46 A47 A48 A49 A50 A51 A52 A53 A54 A55 A56 A57 A58 A59 A60 A61 A62 A63 A64 A65 A66</xm:sqref>
        </x14:conditionalFormatting>
        <x14:conditionalFormatting xmlns:xm="http://schemas.microsoft.com/office/excel/2006/main">
          <x14:cfRule type="timePeriod" priority="3" percent="1" timePeriod="today" id="{00D7008D-00E9-41DC-B5EB-00AB00BB00F9}">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2" percent="1" timePeriod="today" id="{00D500E0-0027-44F0-8CFD-008500C80044}">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15003A-001E-4593-920F-00AE0049007E}">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RowHeight="14.25"/>
  <cols>
    <col customWidth="1" min="1" max="1" width="12.5742187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16"/>
    </row>
    <row r="2">
      <c r="A2" s="103">
        <v>45139</v>
      </c>
      <c r="B2" s="14">
        <f>100</f>
        <v>100</v>
      </c>
      <c r="C2" s="14"/>
      <c r="D2" s="14">
        <v>1130</v>
      </c>
      <c r="E2" s="14"/>
      <c r="F2" s="14"/>
      <c r="G2" s="14"/>
      <c r="H2" s="14"/>
      <c r="I2" s="14"/>
      <c r="J2" s="14"/>
      <c r="K2" s="14"/>
      <c r="L2" s="14"/>
      <c r="M2" s="14"/>
      <c r="N2" s="14"/>
      <c r="O2" s="14"/>
      <c r="P2" s="14"/>
      <c r="Q2" s="14"/>
      <c r="R2" s="14"/>
      <c r="S2" s="14"/>
      <c r="T2" s="116"/>
    </row>
    <row r="3">
      <c r="A3" s="103">
        <v>45140</v>
      </c>
      <c r="B3" s="5">
        <f>0+100</f>
        <v>100</v>
      </c>
      <c r="C3" s="5"/>
      <c r="D3" s="5"/>
      <c r="E3" s="5"/>
      <c r="F3" s="5"/>
      <c r="G3" s="5"/>
      <c r="H3" s="5"/>
      <c r="I3" s="5"/>
      <c r="J3" s="5"/>
      <c r="K3" s="5"/>
      <c r="L3" s="5"/>
      <c r="M3" s="5"/>
      <c r="N3" s="5"/>
      <c r="O3" s="5"/>
      <c r="P3" s="5"/>
      <c r="Q3" s="5"/>
      <c r="R3" s="5"/>
      <c r="S3" s="5"/>
      <c r="T3" s="116"/>
    </row>
    <row r="4">
      <c r="A4" s="103">
        <v>45141</v>
      </c>
      <c r="B4" s="14">
        <f>100</f>
        <v>100</v>
      </c>
      <c r="C4" s="14"/>
      <c r="D4" s="14"/>
      <c r="E4" s="14">
        <v>1450</v>
      </c>
      <c r="F4" s="14"/>
      <c r="G4" s="14"/>
      <c r="H4" s="14"/>
      <c r="I4" s="14"/>
      <c r="J4" s="14">
        <v>1990</v>
      </c>
      <c r="K4" s="14"/>
      <c r="L4" s="14"/>
      <c r="M4" s="14"/>
      <c r="N4" s="14"/>
      <c r="O4" s="14"/>
      <c r="P4" s="14">
        <v>6000</v>
      </c>
      <c r="Q4" s="14"/>
      <c r="R4" s="14"/>
      <c r="S4" s="14"/>
      <c r="T4" s="116"/>
    </row>
    <row r="5">
      <c r="A5" s="103">
        <v>45142</v>
      </c>
      <c r="B5" s="5">
        <f>100+100</f>
        <v>200</v>
      </c>
      <c r="C5" s="5">
        <f>180+340+180+480</f>
        <v>1180</v>
      </c>
      <c r="D5" s="5"/>
      <c r="E5" s="5">
        <v>2150</v>
      </c>
      <c r="F5" s="5"/>
      <c r="G5" s="5"/>
      <c r="H5" s="5"/>
      <c r="I5" s="5"/>
      <c r="J5" s="5">
        <f>8680+5500</f>
        <v>14180</v>
      </c>
      <c r="K5" s="5"/>
      <c r="L5" s="5"/>
      <c r="M5" s="5"/>
      <c r="N5" s="5"/>
      <c r="O5" s="5"/>
      <c r="P5" s="5"/>
      <c r="Q5" s="5"/>
      <c r="R5" s="5"/>
      <c r="S5" s="5"/>
      <c r="T5" s="116"/>
    </row>
    <row r="6">
      <c r="A6" s="103">
        <v>45143</v>
      </c>
      <c r="B6" s="14">
        <f>1340*'Сводная таблица'!B84+1500+1800</f>
        <v>9169.2000000000007</v>
      </c>
      <c r="C6" s="14">
        <v>430</v>
      </c>
      <c r="D6" s="14"/>
      <c r="E6" s="14">
        <v>1800</v>
      </c>
      <c r="F6" s="14"/>
      <c r="G6" s="14"/>
      <c r="H6" s="14"/>
      <c r="I6" s="14"/>
      <c r="J6" s="14">
        <v>1200</v>
      </c>
      <c r="K6" s="14"/>
      <c r="L6" s="14"/>
      <c r="M6" s="14"/>
      <c r="N6" s="14"/>
      <c r="O6" s="14"/>
      <c r="P6" s="14"/>
      <c r="Q6" s="14"/>
      <c r="R6" s="14"/>
      <c r="S6" s="14"/>
      <c r="T6" s="116"/>
    </row>
    <row r="7">
      <c r="A7" s="103">
        <v>45144</v>
      </c>
      <c r="B7" s="5"/>
      <c r="C7" s="5">
        <f>1280+970</f>
        <v>2250</v>
      </c>
      <c r="D7" s="5"/>
      <c r="E7" s="5">
        <v>6600</v>
      </c>
      <c r="F7" s="5"/>
      <c r="G7" s="5"/>
      <c r="H7" s="5"/>
      <c r="I7" s="5"/>
      <c r="J7" s="5"/>
      <c r="K7" s="5"/>
      <c r="L7" s="5"/>
      <c r="M7" s="5"/>
      <c r="N7" s="5"/>
      <c r="O7" s="5"/>
      <c r="P7" s="5"/>
      <c r="Q7" s="5"/>
      <c r="R7" s="5"/>
      <c r="S7" s="5"/>
      <c r="T7" s="116"/>
    </row>
    <row r="8">
      <c r="A8" s="103">
        <v>45145</v>
      </c>
      <c r="B8" s="14">
        <v>600</v>
      </c>
      <c r="C8" s="14">
        <f>1000+7946</f>
        <v>8946</v>
      </c>
      <c r="D8" s="14"/>
      <c r="E8" s="14">
        <v>3800</v>
      </c>
      <c r="F8" s="14"/>
      <c r="G8" s="14"/>
      <c r="H8" s="14"/>
      <c r="I8" s="14"/>
      <c r="J8" s="14"/>
      <c r="K8" s="14"/>
      <c r="L8" s="14"/>
      <c r="M8" s="14"/>
      <c r="N8" s="14"/>
      <c r="O8" s="14"/>
      <c r="P8" s="14"/>
      <c r="Q8" s="14"/>
      <c r="R8" s="14"/>
      <c r="S8" s="14"/>
      <c r="T8" s="116"/>
    </row>
    <row r="9">
      <c r="A9" s="103">
        <v>45146</v>
      </c>
      <c r="B9" s="5"/>
      <c r="C9" s="5"/>
      <c r="D9" s="5"/>
      <c r="E9" s="5">
        <f>18260+1000</f>
        <v>19260</v>
      </c>
      <c r="F9" s="5"/>
      <c r="G9" s="5"/>
      <c r="H9" s="5"/>
      <c r="I9" s="5"/>
      <c r="J9" s="5"/>
      <c r="K9" s="5"/>
      <c r="L9" s="5"/>
      <c r="M9" s="5"/>
      <c r="N9" s="5">
        <v>3761.5999999999999</v>
      </c>
      <c r="O9" s="5"/>
      <c r="P9" s="5"/>
      <c r="Q9" s="5"/>
      <c r="R9" s="5"/>
      <c r="S9" s="5"/>
      <c r="T9" s="116"/>
    </row>
    <row r="10">
      <c r="A10" s="103">
        <v>45147</v>
      </c>
      <c r="B10" s="14">
        <v>200</v>
      </c>
      <c r="C10" s="14">
        <v>950</v>
      </c>
      <c r="D10" s="14"/>
      <c r="E10" s="14"/>
      <c r="F10" s="14"/>
      <c r="G10" s="14"/>
      <c r="H10" s="14"/>
      <c r="I10" s="14"/>
      <c r="J10" s="14"/>
      <c r="K10" s="14"/>
      <c r="L10" s="14">
        <v>150000</v>
      </c>
      <c r="M10" s="14"/>
      <c r="N10" s="14"/>
      <c r="O10" s="14"/>
      <c r="P10" s="14"/>
      <c r="Q10" s="14"/>
      <c r="R10" s="14"/>
      <c r="S10" s="14"/>
      <c r="T10" s="116"/>
    </row>
    <row r="11">
      <c r="A11" s="103">
        <v>45148</v>
      </c>
      <c r="B11" s="5"/>
      <c r="C11" s="5">
        <f>350+2700</f>
        <v>3050</v>
      </c>
      <c r="D11" s="5"/>
      <c r="E11" s="5">
        <v>5600</v>
      </c>
      <c r="F11" s="5"/>
      <c r="G11" s="5"/>
      <c r="H11" s="5"/>
      <c r="I11" s="5"/>
      <c r="J11" s="5"/>
      <c r="K11" s="5"/>
      <c r="L11" s="5"/>
      <c r="M11" s="5"/>
      <c r="N11" s="5"/>
      <c r="O11" s="5"/>
      <c r="P11" s="5"/>
      <c r="Q11" s="5">
        <f>14000+5000+(8750*'Сводная таблица'!B84)</f>
        <v>57325</v>
      </c>
      <c r="R11" s="5"/>
      <c r="S11" s="5"/>
      <c r="T11" s="116"/>
    </row>
    <row r="12">
      <c r="A12" s="103">
        <v>45149</v>
      </c>
      <c r="B12" s="14"/>
      <c r="C12" s="14">
        <v>5590</v>
      </c>
      <c r="D12" s="14"/>
      <c r="E12" s="14"/>
      <c r="F12" s="14"/>
      <c r="G12" s="14"/>
      <c r="H12" s="14"/>
      <c r="I12" s="14"/>
      <c r="J12" s="14"/>
      <c r="K12" s="14"/>
      <c r="L12" s="14">
        <f>7000+4613+2005+2587-5792</f>
        <v>10413</v>
      </c>
      <c r="M12" s="14"/>
      <c r="N12" s="14"/>
      <c r="O12" s="14"/>
      <c r="P12" s="14"/>
      <c r="Q12" s="14"/>
      <c r="R12" s="14"/>
      <c r="S12" s="14"/>
      <c r="T12" s="116"/>
    </row>
    <row r="13">
      <c r="A13" s="103">
        <v>45150</v>
      </c>
      <c r="B13" s="5"/>
      <c r="C13" s="5">
        <v>850</v>
      </c>
      <c r="D13" s="5"/>
      <c r="E13" s="5">
        <v>3300</v>
      </c>
      <c r="F13" s="5"/>
      <c r="G13" s="5"/>
      <c r="H13" s="5"/>
      <c r="I13" s="5"/>
      <c r="J13" s="5"/>
      <c r="K13" s="5"/>
      <c r="L13" s="5"/>
      <c r="M13" s="5"/>
      <c r="N13" s="5"/>
      <c r="O13" s="5"/>
      <c r="P13" s="5"/>
      <c r="Q13" s="5"/>
      <c r="R13" s="5"/>
      <c r="S13" s="5"/>
      <c r="T13" s="116"/>
    </row>
    <row r="14">
      <c r="A14" s="103">
        <v>45151</v>
      </c>
      <c r="B14" s="14">
        <v>400</v>
      </c>
      <c r="C14" s="14">
        <f>5590+1050</f>
        <v>6640</v>
      </c>
      <c r="D14" s="14"/>
      <c r="E14" s="14"/>
      <c r="F14" s="14"/>
      <c r="G14" s="14"/>
      <c r="H14" s="14"/>
      <c r="I14" s="14"/>
      <c r="J14" s="14"/>
      <c r="K14" s="14"/>
      <c r="L14" s="14"/>
      <c r="M14" s="14"/>
      <c r="N14" s="14"/>
      <c r="O14" s="14"/>
      <c r="P14" s="14"/>
      <c r="Q14" s="14"/>
      <c r="R14" s="14"/>
      <c r="S14" s="14"/>
      <c r="T14" s="116"/>
    </row>
    <row r="15">
      <c r="A15" s="103">
        <v>45152</v>
      </c>
      <c r="B15" s="5"/>
      <c r="C15" s="5">
        <f>2294+280+430+170</f>
        <v>3174</v>
      </c>
      <c r="D15" s="5"/>
      <c r="E15" s="5">
        <v>3300</v>
      </c>
      <c r="F15" s="5">
        <f>1500*'Сводная таблица'!B84</f>
        <v>6570</v>
      </c>
      <c r="G15" s="5"/>
      <c r="H15" s="5"/>
      <c r="I15" s="5"/>
      <c r="J15" s="5"/>
      <c r="K15" s="5">
        <f>255+50</f>
        <v>305</v>
      </c>
      <c r="L15" s="5"/>
      <c r="M15" s="5"/>
      <c r="N15" s="5"/>
      <c r="O15" s="5"/>
      <c r="P15" s="5"/>
      <c r="Q15" s="5"/>
      <c r="R15" s="5"/>
      <c r="S15" s="5"/>
      <c r="T15" s="116"/>
    </row>
    <row r="16">
      <c r="A16" s="103">
        <v>45153</v>
      </c>
      <c r="B16" s="14">
        <f>1300+1600</f>
        <v>2900</v>
      </c>
      <c r="C16" s="97">
        <f>2246+260</f>
        <v>2506</v>
      </c>
      <c r="D16" s="14"/>
      <c r="E16" s="14"/>
      <c r="F16" s="14"/>
      <c r="G16" s="14"/>
      <c r="H16" s="14"/>
      <c r="I16" s="14"/>
      <c r="J16" s="14"/>
      <c r="K16" s="14"/>
      <c r="L16" s="14"/>
      <c r="M16" s="14"/>
      <c r="N16" s="14"/>
      <c r="O16" s="14"/>
      <c r="P16" s="14"/>
      <c r="Q16" s="14">
        <f>20000+6380</f>
        <v>26380</v>
      </c>
      <c r="R16" s="14"/>
      <c r="S16" s="14"/>
      <c r="T16" s="116"/>
    </row>
    <row r="17">
      <c r="A17" s="103">
        <v>45154</v>
      </c>
      <c r="B17" s="5">
        <v>200</v>
      </c>
      <c r="C17" s="6"/>
      <c r="D17" s="5"/>
      <c r="E17" s="5">
        <v>8800</v>
      </c>
      <c r="F17" s="5"/>
      <c r="G17" s="5"/>
      <c r="H17" s="5"/>
      <c r="I17" s="5"/>
      <c r="J17" s="5"/>
      <c r="K17" s="5"/>
      <c r="L17" s="5"/>
      <c r="M17" s="5"/>
      <c r="N17" s="5"/>
      <c r="O17" s="5"/>
      <c r="P17" s="5"/>
      <c r="Q17" s="5"/>
      <c r="R17" s="5"/>
      <c r="S17" s="5"/>
      <c r="T17" s="116"/>
    </row>
    <row r="18">
      <c r="A18" s="103">
        <v>45155</v>
      </c>
      <c r="B18" s="14"/>
      <c r="C18" s="14"/>
      <c r="D18" s="14"/>
      <c r="E18" s="14"/>
      <c r="F18" s="14"/>
      <c r="G18" s="14"/>
      <c r="H18" s="14"/>
      <c r="I18" s="14"/>
      <c r="J18" s="14"/>
      <c r="K18" s="14"/>
      <c r="L18" s="14"/>
      <c r="M18" s="14"/>
      <c r="N18" s="14"/>
      <c r="O18" s="14"/>
      <c r="P18" s="14"/>
      <c r="Q18" s="14"/>
      <c r="R18" s="14"/>
      <c r="S18" s="14"/>
      <c r="T18" s="116"/>
    </row>
    <row r="19">
      <c r="A19" s="103">
        <v>45156</v>
      </c>
      <c r="B19" s="5">
        <f>1800+1700+200</f>
        <v>3700</v>
      </c>
      <c r="C19" s="5">
        <v>2120</v>
      </c>
      <c r="D19" s="5"/>
      <c r="E19" s="5">
        <v>9020</v>
      </c>
      <c r="F19" s="5"/>
      <c r="G19" s="5"/>
      <c r="H19" s="5"/>
      <c r="I19" s="5"/>
      <c r="J19" s="5">
        <v>1820</v>
      </c>
      <c r="K19" s="5"/>
      <c r="L19" s="5"/>
      <c r="M19" s="5"/>
      <c r="N19" s="5"/>
      <c r="O19" s="5"/>
      <c r="P19" s="5"/>
      <c r="Q19" s="5"/>
      <c r="R19" s="6"/>
      <c r="S19" s="5"/>
      <c r="T19" s="116"/>
    </row>
    <row r="20">
      <c r="A20" s="103">
        <v>45157</v>
      </c>
      <c r="B20" s="14">
        <f>947*'Сводная таблица'!B84</f>
        <v>4147.8599999999997</v>
      </c>
      <c r="C20" s="14"/>
      <c r="D20" s="14"/>
      <c r="E20" s="14"/>
      <c r="F20" s="14"/>
      <c r="G20" s="14"/>
      <c r="H20" s="14"/>
      <c r="I20" s="14"/>
      <c r="J20" s="14"/>
      <c r="K20" s="14"/>
      <c r="L20" s="14"/>
      <c r="M20" s="14"/>
      <c r="N20" s="14"/>
      <c r="O20" s="14"/>
      <c r="P20" s="34"/>
      <c r="Q20" s="14"/>
      <c r="R20" s="14"/>
      <c r="S20" s="14"/>
      <c r="T20" s="116"/>
    </row>
    <row r="21">
      <c r="A21" s="103">
        <v>45158</v>
      </c>
      <c r="B21" s="69"/>
      <c r="C21" s="6">
        <v>7440</v>
      </c>
      <c r="D21" s="5"/>
      <c r="E21" s="5"/>
      <c r="F21" s="5"/>
      <c r="G21" s="5"/>
      <c r="H21" s="5"/>
      <c r="I21" s="5"/>
      <c r="J21" s="5"/>
      <c r="K21" s="5"/>
      <c r="L21" s="5"/>
      <c r="M21" s="5"/>
      <c r="N21" s="5"/>
      <c r="O21" s="5"/>
      <c r="P21" s="5"/>
      <c r="Q21" s="5"/>
      <c r="R21" s="5"/>
      <c r="S21" s="5"/>
      <c r="T21" s="116"/>
    </row>
    <row r="22">
      <c r="A22" s="103">
        <v>45159</v>
      </c>
      <c r="B22" s="22">
        <f>100+100</f>
        <v>200</v>
      </c>
      <c r="C22" s="14"/>
      <c r="D22" s="14">
        <v>900</v>
      </c>
      <c r="E22" s="14"/>
      <c r="F22" s="14"/>
      <c r="G22" s="14"/>
      <c r="H22" s="14"/>
      <c r="I22" s="14"/>
      <c r="J22" s="14"/>
      <c r="K22" s="14"/>
      <c r="L22" s="14"/>
      <c r="M22" s="14"/>
      <c r="N22" s="14"/>
      <c r="O22" s="14"/>
      <c r="P22" s="14"/>
      <c r="Q22" s="14"/>
      <c r="R22" s="14"/>
      <c r="S22" s="14"/>
      <c r="T22" s="116"/>
    </row>
    <row r="23">
      <c r="A23" s="103">
        <v>45160</v>
      </c>
      <c r="B23" s="5">
        <f>0+100</f>
        <v>100</v>
      </c>
      <c r="C23" s="5"/>
      <c r="D23" s="5">
        <v>1430</v>
      </c>
      <c r="E23" s="5"/>
      <c r="F23" s="5"/>
      <c r="G23" s="5"/>
      <c r="H23" s="5"/>
      <c r="I23" s="5"/>
      <c r="J23" s="5"/>
      <c r="K23" s="5"/>
      <c r="L23" s="5"/>
      <c r="M23" s="5"/>
      <c r="N23" s="5"/>
      <c r="O23" s="5"/>
      <c r="P23" s="5"/>
      <c r="Q23" s="5"/>
      <c r="R23" s="5"/>
      <c r="S23" s="5"/>
      <c r="T23" s="116"/>
    </row>
    <row r="24">
      <c r="A24" s="103">
        <v>45161</v>
      </c>
      <c r="B24" s="14">
        <f t="shared" ref="B24:B25" si="139">100+100</f>
        <v>200</v>
      </c>
      <c r="C24" s="14"/>
      <c r="D24" s="14">
        <v>1550</v>
      </c>
      <c r="E24" s="14"/>
      <c r="F24" s="14"/>
      <c r="G24" s="14"/>
      <c r="H24" s="14"/>
      <c r="I24" s="14"/>
      <c r="J24" s="14"/>
      <c r="K24" s="14"/>
      <c r="L24" s="14"/>
      <c r="M24" s="14"/>
      <c r="N24" s="14"/>
      <c r="O24" s="14"/>
      <c r="P24" s="14"/>
      <c r="Q24" s="14"/>
      <c r="R24" s="14"/>
      <c r="S24" s="14"/>
      <c r="T24" s="116"/>
    </row>
    <row r="25">
      <c r="A25" s="103">
        <v>45162</v>
      </c>
      <c r="B25" s="28">
        <f t="shared" si="139"/>
        <v>200</v>
      </c>
      <c r="C25" s="5"/>
      <c r="D25" s="5"/>
      <c r="E25" s="5"/>
      <c r="F25" s="5"/>
      <c r="G25" s="5"/>
      <c r="H25" s="5"/>
      <c r="I25" s="5"/>
      <c r="J25" s="5"/>
      <c r="K25" s="5"/>
      <c r="L25" s="5"/>
      <c r="M25" s="5"/>
      <c r="N25" s="5"/>
      <c r="O25" s="5"/>
      <c r="P25" s="5"/>
      <c r="Q25" s="5"/>
      <c r="R25" s="5"/>
      <c r="S25" s="5"/>
      <c r="T25" s="116"/>
    </row>
    <row r="26">
      <c r="A26" s="103">
        <v>45163</v>
      </c>
      <c r="B26" s="14">
        <v>200</v>
      </c>
      <c r="C26" s="14"/>
      <c r="D26" s="14"/>
      <c r="E26" s="14"/>
      <c r="F26" s="14"/>
      <c r="G26" s="14"/>
      <c r="H26" s="14"/>
      <c r="I26" s="14"/>
      <c r="J26" s="14"/>
      <c r="K26" s="14"/>
      <c r="L26" s="14"/>
      <c r="M26" s="14"/>
      <c r="N26" s="14"/>
      <c r="O26" s="14"/>
      <c r="P26" s="14"/>
      <c r="Q26" s="14"/>
      <c r="R26" s="14"/>
      <c r="S26" s="14"/>
      <c r="T26" s="116"/>
    </row>
    <row r="27">
      <c r="A27" s="103">
        <v>45164</v>
      </c>
      <c r="B27" s="5">
        <v>200</v>
      </c>
      <c r="C27" s="6"/>
      <c r="D27" s="5"/>
      <c r="E27" s="5"/>
      <c r="F27" s="5"/>
      <c r="G27" s="5"/>
      <c r="H27" s="5"/>
      <c r="I27" s="5"/>
      <c r="J27" s="5"/>
      <c r="K27" s="5"/>
      <c r="L27" s="5"/>
      <c r="M27" s="5"/>
      <c r="N27" s="5"/>
      <c r="O27" s="5"/>
      <c r="P27" s="5"/>
      <c r="Q27" s="5"/>
      <c r="R27" s="5"/>
      <c r="S27" s="5"/>
      <c r="T27" s="116"/>
    </row>
    <row r="28">
      <c r="A28" s="103">
        <v>45165</v>
      </c>
      <c r="B28" s="14">
        <v>300</v>
      </c>
      <c r="C28" s="14">
        <v>8213</v>
      </c>
      <c r="D28" s="14"/>
      <c r="E28" s="14">
        <v>1650</v>
      </c>
      <c r="F28" s="14"/>
      <c r="G28" s="14"/>
      <c r="H28" s="14"/>
      <c r="I28" s="14"/>
      <c r="J28" s="14"/>
      <c r="K28" s="14"/>
      <c r="L28" s="14"/>
      <c r="M28" s="14"/>
      <c r="N28" s="14"/>
      <c r="O28" s="14"/>
      <c r="P28" s="14"/>
      <c r="Q28" s="14"/>
      <c r="R28" s="14"/>
      <c r="S28" s="14"/>
      <c r="T28" s="116"/>
    </row>
    <row r="29">
      <c r="A29" s="103">
        <v>45166</v>
      </c>
      <c r="B29" s="5"/>
      <c r="C29" s="5"/>
      <c r="D29" s="5"/>
      <c r="E29" s="5"/>
      <c r="F29" s="5">
        <f>11431.5*'Сводная таблица'!B84</f>
        <v>50069.970000000001</v>
      </c>
      <c r="G29" s="5"/>
      <c r="H29" s="5"/>
      <c r="I29" s="5"/>
      <c r="J29" s="5"/>
      <c r="K29" s="5"/>
      <c r="L29" s="5"/>
      <c r="M29" s="5"/>
      <c r="N29" s="5"/>
      <c r="O29" s="5"/>
      <c r="P29" s="5"/>
      <c r="Q29" s="5"/>
      <c r="R29" s="5"/>
      <c r="S29" s="5"/>
      <c r="T29" s="116"/>
    </row>
    <row r="30">
      <c r="A30" s="103">
        <v>45167</v>
      </c>
      <c r="B30" s="22">
        <f>200</f>
        <v>200</v>
      </c>
      <c r="C30" s="22"/>
      <c r="D30" s="22"/>
      <c r="E30" s="22"/>
      <c r="F30" s="22"/>
      <c r="G30" s="22"/>
      <c r="H30" s="22"/>
      <c r="I30" s="22"/>
      <c r="J30" s="22"/>
      <c r="K30" s="22"/>
      <c r="L30" s="22"/>
      <c r="M30" s="22"/>
      <c r="N30" s="22">
        <v>424.39999999999998</v>
      </c>
      <c r="O30" s="22"/>
      <c r="P30" s="22"/>
      <c r="Q30" s="22"/>
      <c r="R30" s="22"/>
      <c r="S30" s="22"/>
      <c r="T30" s="116"/>
    </row>
    <row r="31">
      <c r="A31" s="103">
        <v>45168</v>
      </c>
      <c r="B31" s="5">
        <v>200</v>
      </c>
      <c r="C31" s="5"/>
      <c r="D31" s="5">
        <v>1540</v>
      </c>
      <c r="E31" s="5"/>
      <c r="F31" s="5"/>
      <c r="G31" s="5"/>
      <c r="H31" s="5"/>
      <c r="I31" s="5"/>
      <c r="J31" s="5"/>
      <c r="K31" s="5"/>
      <c r="L31" s="5"/>
      <c r="M31" s="5"/>
      <c r="N31" s="5"/>
      <c r="O31" s="5"/>
      <c r="P31" s="5"/>
      <c r="Q31" s="5"/>
      <c r="R31" s="5"/>
      <c r="S31" s="5"/>
      <c r="T31" s="116"/>
    </row>
    <row r="32">
      <c r="A32" s="103">
        <v>45169</v>
      </c>
      <c r="B32" s="22">
        <v>100</v>
      </c>
      <c r="C32" s="22"/>
      <c r="D32" s="22">
        <v>2664</v>
      </c>
      <c r="E32" s="22"/>
      <c r="F32" s="22"/>
      <c r="G32" s="22">
        <v>427.39999999999998</v>
      </c>
      <c r="H32" s="22"/>
      <c r="I32" s="22"/>
      <c r="J32" s="22"/>
      <c r="K32" s="22"/>
      <c r="L32" s="22"/>
      <c r="M32" s="22"/>
      <c r="N32" s="22">
        <v>2900</v>
      </c>
      <c r="O32" s="22"/>
      <c r="P32" s="22"/>
      <c r="Q32" s="22"/>
      <c r="R32" s="22"/>
      <c r="S32" s="22"/>
      <c r="T32" s="116"/>
    </row>
    <row r="33">
      <c r="A33" s="113" t="s">
        <v>87</v>
      </c>
      <c r="B33" s="113">
        <f>SUM(B2:B32)</f>
        <v>23717.060000000001</v>
      </c>
      <c r="C33" s="113">
        <f>SUM(C2:C32)</f>
        <v>53339</v>
      </c>
      <c r="D33" s="113">
        <f>SUM(D2:D32)</f>
        <v>9214</v>
      </c>
      <c r="E33" s="113">
        <f>SUM(E2:E32)</f>
        <v>66730</v>
      </c>
      <c r="F33" s="113">
        <f>SUM(F2:F32)</f>
        <v>56639.970000000001</v>
      </c>
      <c r="G33" s="113">
        <f>SUM(G2:G32)</f>
        <v>427.39999999999998</v>
      </c>
      <c r="H33" s="113">
        <f>SUM(H2:H32)</f>
        <v>0</v>
      </c>
      <c r="I33" s="113">
        <f>SUM(I2:I32)</f>
        <v>0</v>
      </c>
      <c r="J33" s="113">
        <f>SUM(J2:J32)</f>
        <v>19190</v>
      </c>
      <c r="K33" s="113">
        <f>SUM(K2:K32)</f>
        <v>305</v>
      </c>
      <c r="L33" s="113">
        <f>SUM(L2:L32)</f>
        <v>160413</v>
      </c>
      <c r="M33" s="113">
        <f>SUM(M2:M32)</f>
        <v>0</v>
      </c>
      <c r="N33" s="113">
        <f>SUM(N2:N32)</f>
        <v>7086</v>
      </c>
      <c r="O33" s="113">
        <f>SUM(O2:O32)</f>
        <v>0</v>
      </c>
      <c r="P33" s="113">
        <f>SUM(P2:P32)</f>
        <v>6000</v>
      </c>
      <c r="Q33" s="113">
        <f>SUM(Q2:Q32)</f>
        <v>83705</v>
      </c>
      <c r="R33" s="113">
        <f>SUM(R2:R32)</f>
        <v>0</v>
      </c>
      <c r="S33" s="113">
        <f>SUM(B33:R33)+SUM(S2:S32)</f>
        <v>486766.42999999999</v>
      </c>
      <c r="T33" s="124" t="s">
        <v>88</v>
      </c>
    </row>
    <row r="34">
      <c r="A34" s="108" t="s">
        <v>89</v>
      </c>
      <c r="B34" s="110">
        <f>B33/'Сводная таблица'!B67</f>
        <v>5414.8538812785391</v>
      </c>
      <c r="C34" s="110">
        <f>C33/'Сводная таблица'!B67</f>
        <v>12177.853881278539</v>
      </c>
      <c r="D34" s="110">
        <f>D33/'Сводная таблица'!B67</f>
        <v>2103.6529680365297</v>
      </c>
      <c r="E34" s="110">
        <f>E33/'Сводная таблица'!B67</f>
        <v>15235.159817351598</v>
      </c>
      <c r="F34" s="110">
        <f>F33/'Сводная таблица'!B67</f>
        <v>12931.5</v>
      </c>
      <c r="G34" s="110">
        <f>G33/'Сводная таблица'!B67</f>
        <v>97.579908675799089</v>
      </c>
      <c r="H34" s="110">
        <f>H33/'Сводная таблица'!B67</f>
        <v>0</v>
      </c>
      <c r="I34" s="110">
        <f>I33/'Сводная таблица'!B67</f>
        <v>0</v>
      </c>
      <c r="J34" s="110">
        <f>J33/'Сводная таблица'!B67</f>
        <v>4381.2785388127859</v>
      </c>
      <c r="K34" s="110">
        <f>K33/'Сводная таблица'!B67</f>
        <v>69.634703196347033</v>
      </c>
      <c r="L34" s="110">
        <f>L33/'Сводная таблица'!B67</f>
        <v>36623.972602739726</v>
      </c>
      <c r="M34" s="110">
        <f>M33/'Сводная таблица'!B67</f>
        <v>0</v>
      </c>
      <c r="N34" s="110">
        <f>N33/'Сводная таблица'!B67</f>
        <v>1617.8082191780823</v>
      </c>
      <c r="O34" s="110">
        <f>O33/'Сводная таблица'!B67</f>
        <v>0</v>
      </c>
      <c r="P34" s="110">
        <f>P33/'Сводная таблица'!B67</f>
        <v>1369.8630136986301</v>
      </c>
      <c r="Q34" s="110">
        <f>Q33/'Сводная таблица'!B67</f>
        <v>19110.730593607306</v>
      </c>
      <c r="R34" s="110">
        <f>R33/'Сводная таблица'!B67</f>
        <v>0</v>
      </c>
      <c r="S34" s="120">
        <f>S33/'Сводная таблица'!B84</f>
        <v>111133.88812785388</v>
      </c>
      <c r="T34" s="125" t="s">
        <v>90</v>
      </c>
    </row>
    <row r="35">
      <c r="A35" s="121" t="s">
        <v>0</v>
      </c>
      <c r="B35" s="121" t="s">
        <v>50</v>
      </c>
      <c r="C35" s="121" t="s">
        <v>13</v>
      </c>
      <c r="D35" s="121" t="s">
        <v>11</v>
      </c>
      <c r="E35" s="121" t="s">
        <v>51</v>
      </c>
      <c r="F35" s="121" t="s">
        <v>52</v>
      </c>
      <c r="G35" s="121"/>
      <c r="H35" s="121" t="s">
        <v>54</v>
      </c>
      <c r="I35" s="121" t="s">
        <v>55</v>
      </c>
      <c r="J35" s="121" t="s">
        <v>61</v>
      </c>
      <c r="K35" s="121" t="s">
        <v>74</v>
      </c>
      <c r="L35" s="122"/>
      <c r="M35" s="122"/>
      <c r="N35" s="122"/>
      <c r="O35" s="122"/>
      <c r="P35" s="122"/>
      <c r="Q35" s="122"/>
      <c r="R35" s="122"/>
      <c r="S35" s="122"/>
      <c r="T35" s="116"/>
    </row>
    <row r="36">
      <c r="A36" s="103">
        <v>45139</v>
      </c>
      <c r="B36" s="14">
        <v>248242</v>
      </c>
      <c r="C36" s="14"/>
      <c r="D36" s="14"/>
      <c r="E36" s="14"/>
      <c r="F36" s="14"/>
      <c r="G36" s="14"/>
      <c r="H36" s="14"/>
      <c r="I36" s="14"/>
      <c r="J36" s="22"/>
      <c r="K36" s="22"/>
      <c r="L36" s="22"/>
      <c r="M36" s="22"/>
      <c r="N36" s="22"/>
      <c r="O36" s="22"/>
      <c r="P36" s="22"/>
      <c r="Q36" s="22"/>
      <c r="R36" s="22"/>
      <c r="S36" s="22"/>
      <c r="T36" s="116"/>
    </row>
    <row r="37">
      <c r="A37" s="103">
        <v>45140</v>
      </c>
      <c r="B37" s="5"/>
      <c r="C37" s="5"/>
      <c r="D37" s="5"/>
      <c r="E37" s="5"/>
      <c r="F37" s="5"/>
      <c r="G37" s="5"/>
      <c r="H37" s="5"/>
      <c r="I37" s="5"/>
      <c r="J37" s="5"/>
      <c r="K37" s="5"/>
      <c r="L37" s="5"/>
      <c r="M37" s="5"/>
      <c r="N37" s="5"/>
      <c r="O37" s="5"/>
      <c r="P37" s="5"/>
      <c r="Q37" s="5"/>
      <c r="R37" s="5"/>
      <c r="S37" s="5"/>
      <c r="T37" s="116"/>
    </row>
    <row r="38">
      <c r="A38" s="103">
        <v>45141</v>
      </c>
      <c r="B38" s="14"/>
      <c r="C38" s="14"/>
      <c r="D38" s="14"/>
      <c r="E38" s="14"/>
      <c r="F38" s="14"/>
      <c r="G38" s="14"/>
      <c r="H38" s="14"/>
      <c r="I38" s="14"/>
      <c r="J38" s="22"/>
      <c r="K38" s="22"/>
      <c r="L38" s="22"/>
      <c r="M38" s="22"/>
      <c r="N38" s="22"/>
      <c r="O38" s="22"/>
      <c r="P38" s="22"/>
      <c r="Q38" s="22"/>
      <c r="R38" s="22"/>
      <c r="S38" s="22"/>
      <c r="T38" s="116"/>
    </row>
    <row r="39">
      <c r="A39" s="103">
        <v>45142</v>
      </c>
      <c r="B39" s="5">
        <v>250000</v>
      </c>
      <c r="C39" s="5"/>
      <c r="D39" s="5"/>
      <c r="E39" s="71">
        <f>44.92*'Сводная таблица'!B84</f>
        <v>196.74960000000002</v>
      </c>
      <c r="F39" s="5"/>
      <c r="G39" s="5"/>
      <c r="H39" s="5"/>
      <c r="I39" s="5">
        <f>(701+1664)*'Сводная таблица'!B84</f>
        <v>10358.699999999999</v>
      </c>
      <c r="J39" s="5"/>
      <c r="K39" s="5"/>
      <c r="L39" s="5"/>
      <c r="M39" s="5"/>
      <c r="N39" s="5"/>
      <c r="O39" s="5"/>
      <c r="P39" s="5"/>
      <c r="Q39" s="5"/>
      <c r="R39" s="5"/>
      <c r="S39" s="5"/>
      <c r="T39" s="116"/>
    </row>
    <row r="40">
      <c r="A40" s="103">
        <v>45143</v>
      </c>
      <c r="B40" s="14"/>
      <c r="C40" s="14"/>
      <c r="D40" s="14"/>
      <c r="E40" s="14"/>
      <c r="F40" s="14"/>
      <c r="G40" s="14"/>
      <c r="H40" s="14"/>
      <c r="I40" s="14"/>
      <c r="J40" s="14"/>
      <c r="K40" s="14"/>
      <c r="L40" s="14"/>
      <c r="M40" s="14"/>
      <c r="N40" s="14"/>
      <c r="O40" s="14"/>
      <c r="P40" s="14"/>
      <c r="Q40" s="14"/>
      <c r="R40" s="14"/>
      <c r="S40" s="14"/>
      <c r="T40" s="116"/>
    </row>
    <row r="41">
      <c r="A41" s="103">
        <v>45144</v>
      </c>
      <c r="B41" s="5"/>
      <c r="C41" s="5"/>
      <c r="D41" s="5"/>
      <c r="E41" s="5"/>
      <c r="F41" s="5"/>
      <c r="G41" s="5"/>
      <c r="H41" s="5"/>
      <c r="I41" s="5"/>
      <c r="J41" s="5"/>
      <c r="K41" s="5"/>
      <c r="L41" s="5"/>
      <c r="M41" s="5"/>
      <c r="N41" s="5"/>
      <c r="O41" s="5"/>
      <c r="P41" s="5"/>
      <c r="Q41" s="5"/>
      <c r="R41" s="5"/>
      <c r="S41" s="5"/>
      <c r="T41" s="116"/>
    </row>
    <row r="42">
      <c r="A42" s="103">
        <v>45145</v>
      </c>
      <c r="B42" s="14"/>
      <c r="C42" s="14"/>
      <c r="D42" s="14"/>
      <c r="E42" s="14"/>
      <c r="F42" s="14"/>
      <c r="G42" s="14"/>
      <c r="H42" s="14"/>
      <c r="I42" s="14"/>
      <c r="J42" s="14"/>
      <c r="K42" s="14"/>
      <c r="L42" s="14"/>
      <c r="M42" s="14"/>
      <c r="N42" s="14"/>
      <c r="O42" s="14"/>
      <c r="P42" s="14"/>
      <c r="Q42" s="14"/>
      <c r="R42" s="14"/>
      <c r="S42" s="14"/>
      <c r="T42" s="116"/>
    </row>
    <row r="43">
      <c r="A43" s="103">
        <v>45146</v>
      </c>
      <c r="B43" s="5"/>
      <c r="C43" s="5"/>
      <c r="D43" s="5"/>
      <c r="E43" s="5"/>
      <c r="F43" s="5"/>
      <c r="G43" s="5"/>
      <c r="H43" s="5"/>
      <c r="I43" s="5"/>
      <c r="J43" s="5"/>
      <c r="K43" s="5"/>
      <c r="L43" s="5"/>
      <c r="M43" s="5"/>
      <c r="N43" s="5"/>
      <c r="O43" s="5"/>
      <c r="P43" s="5"/>
      <c r="Q43" s="5"/>
      <c r="R43" s="5"/>
      <c r="S43" s="5"/>
      <c r="T43" s="116"/>
    </row>
    <row r="44">
      <c r="A44" s="103">
        <v>45147</v>
      </c>
      <c r="B44" s="79"/>
      <c r="C44" s="14"/>
      <c r="D44" s="14"/>
      <c r="E44" s="14"/>
      <c r="F44" s="14"/>
      <c r="G44" s="14"/>
      <c r="H44" s="14"/>
      <c r="I44" s="14"/>
      <c r="J44" s="14"/>
      <c r="K44" s="14"/>
      <c r="L44" s="14"/>
      <c r="M44" s="14"/>
      <c r="N44" s="14"/>
      <c r="O44" s="14"/>
      <c r="P44" s="14"/>
      <c r="Q44" s="14"/>
      <c r="R44" s="14"/>
      <c r="S44" s="14"/>
      <c r="T44" s="116"/>
    </row>
    <row r="45">
      <c r="A45" s="103">
        <v>45148</v>
      </c>
      <c r="B45" s="5"/>
      <c r="C45" s="5"/>
      <c r="D45" s="5"/>
      <c r="E45" s="5"/>
      <c r="F45" s="5"/>
      <c r="G45" s="5"/>
      <c r="H45" s="5"/>
      <c r="I45" s="5">
        <f>85*'Сводная таблица'!B84</f>
        <v>372.30000000000001</v>
      </c>
      <c r="J45" s="5"/>
      <c r="K45" s="5"/>
      <c r="L45" s="5"/>
      <c r="M45" s="5"/>
      <c r="N45" s="5"/>
      <c r="O45" s="5"/>
      <c r="P45" s="5"/>
      <c r="Q45" s="5"/>
      <c r="R45" s="5"/>
      <c r="S45" s="5"/>
      <c r="T45" s="116"/>
    </row>
    <row r="46">
      <c r="A46" s="103">
        <v>45149</v>
      </c>
      <c r="B46" s="14"/>
      <c r="C46" s="14"/>
      <c r="D46" s="14"/>
      <c r="E46" s="14"/>
      <c r="F46" s="14"/>
      <c r="G46" s="14"/>
      <c r="H46" s="14"/>
      <c r="I46" s="14"/>
      <c r="J46" s="14"/>
      <c r="K46" s="14"/>
      <c r="L46" s="14"/>
      <c r="M46" s="14"/>
      <c r="N46" s="14"/>
      <c r="O46" s="14"/>
      <c r="P46" s="14"/>
      <c r="Q46" s="14"/>
      <c r="R46" s="14"/>
      <c r="S46" s="14"/>
      <c r="T46" s="116"/>
    </row>
    <row r="47">
      <c r="A47" s="103">
        <v>45150</v>
      </c>
      <c r="B47" s="5"/>
      <c r="C47" s="5"/>
      <c r="D47" s="5"/>
      <c r="E47" s="5"/>
      <c r="F47" s="5"/>
      <c r="G47" s="5"/>
      <c r="H47" s="5"/>
      <c r="I47" s="5"/>
      <c r="J47" s="5"/>
      <c r="K47" s="5"/>
      <c r="L47" s="5"/>
      <c r="M47" s="5"/>
      <c r="N47" s="5"/>
      <c r="O47" s="5"/>
      <c r="P47" s="5"/>
      <c r="Q47" s="5"/>
      <c r="R47" s="5"/>
      <c r="S47" s="5"/>
      <c r="T47" s="116"/>
    </row>
    <row r="48">
      <c r="A48" s="103">
        <v>45151</v>
      </c>
      <c r="B48" s="14"/>
      <c r="C48" s="14"/>
      <c r="D48" s="14"/>
      <c r="E48" s="14"/>
      <c r="F48" s="14"/>
      <c r="G48" s="14"/>
      <c r="H48" s="14"/>
      <c r="I48" s="14"/>
      <c r="J48" s="14"/>
      <c r="K48" s="14"/>
      <c r="L48" s="14"/>
      <c r="M48" s="14"/>
      <c r="N48" s="14"/>
      <c r="O48" s="14"/>
      <c r="P48" s="14"/>
      <c r="Q48" s="14"/>
      <c r="R48" s="14"/>
      <c r="S48" s="14"/>
      <c r="T48" s="116"/>
    </row>
    <row r="49">
      <c r="A49" s="103">
        <v>45152</v>
      </c>
      <c r="B49" s="5"/>
      <c r="C49" s="5"/>
      <c r="D49" s="5"/>
      <c r="E49" s="5"/>
      <c r="F49" s="5"/>
      <c r="G49" s="5"/>
      <c r="H49" s="5"/>
      <c r="I49" s="5"/>
      <c r="J49" s="5"/>
      <c r="K49" s="5"/>
      <c r="L49" s="5"/>
      <c r="M49" s="5"/>
      <c r="N49" s="5"/>
      <c r="O49" s="5"/>
      <c r="P49" s="5"/>
      <c r="Q49" s="5"/>
      <c r="R49" s="5"/>
      <c r="S49" s="5"/>
      <c r="T49" s="116"/>
    </row>
    <row r="50">
      <c r="A50" s="103">
        <v>45153</v>
      </c>
      <c r="B50" s="14"/>
      <c r="C50" s="14"/>
      <c r="D50" s="14"/>
      <c r="E50" s="14"/>
      <c r="F50" s="14"/>
      <c r="G50" s="14"/>
      <c r="H50" s="14"/>
      <c r="I50" s="14"/>
      <c r="J50" s="14"/>
      <c r="K50" s="14"/>
      <c r="L50" s="14"/>
      <c r="M50" s="14"/>
      <c r="N50" s="14"/>
      <c r="O50" s="14"/>
      <c r="P50" s="14"/>
      <c r="Q50" s="14"/>
      <c r="R50" s="14"/>
      <c r="S50" s="14"/>
      <c r="T50" s="116"/>
    </row>
    <row r="51">
      <c r="A51" s="103">
        <v>45154</v>
      </c>
      <c r="B51" s="5"/>
      <c r="C51" s="5"/>
      <c r="D51" s="5"/>
      <c r="E51" s="5"/>
      <c r="F51" s="5"/>
      <c r="G51" s="5"/>
      <c r="H51" s="5"/>
      <c r="I51" s="5"/>
      <c r="J51" s="5"/>
      <c r="K51" s="5"/>
      <c r="L51" s="5"/>
      <c r="M51" s="5"/>
      <c r="N51" s="5"/>
      <c r="O51" s="5"/>
      <c r="P51" s="5"/>
      <c r="Q51" s="5"/>
      <c r="R51" s="5"/>
      <c r="S51" s="5"/>
      <c r="T51" s="116"/>
    </row>
    <row r="52">
      <c r="A52" s="103">
        <v>45155</v>
      </c>
      <c r="B52" s="14"/>
      <c r="C52" s="14"/>
      <c r="D52" s="14"/>
      <c r="E52" s="14"/>
      <c r="F52" s="14"/>
      <c r="G52" s="14"/>
      <c r="H52" s="14"/>
      <c r="I52" s="14"/>
      <c r="J52" s="14"/>
      <c r="K52" s="14"/>
      <c r="L52" s="14"/>
      <c r="M52" s="14"/>
      <c r="N52" s="14"/>
      <c r="O52" s="14"/>
      <c r="P52" s="14"/>
      <c r="Q52" s="14"/>
      <c r="R52" s="14"/>
      <c r="S52" s="14"/>
      <c r="T52" s="116"/>
    </row>
    <row r="53">
      <c r="A53" s="103">
        <v>45156</v>
      </c>
      <c r="B53" s="5">
        <v>141305</v>
      </c>
      <c r="C53" s="5"/>
      <c r="D53" s="5"/>
      <c r="E53" s="5"/>
      <c r="F53" s="5"/>
      <c r="G53" s="5"/>
      <c r="H53" s="5"/>
      <c r="I53" s="5"/>
      <c r="J53" s="5"/>
      <c r="K53" s="5"/>
      <c r="L53" s="5"/>
      <c r="M53" s="5"/>
      <c r="N53" s="5"/>
      <c r="O53" s="5"/>
      <c r="P53" s="5"/>
      <c r="Q53" s="5"/>
      <c r="R53" s="5"/>
      <c r="S53" s="5"/>
      <c r="T53" s="116"/>
    </row>
    <row r="54">
      <c r="A54" s="103">
        <v>45157</v>
      </c>
      <c r="B54" s="14"/>
      <c r="C54" s="14"/>
      <c r="D54" s="14"/>
      <c r="E54" s="14"/>
      <c r="F54" s="14"/>
      <c r="G54" s="14"/>
      <c r="H54" s="14"/>
      <c r="I54" s="14"/>
      <c r="J54" s="14"/>
      <c r="K54" s="14"/>
      <c r="L54" s="14"/>
      <c r="M54" s="14"/>
      <c r="N54" s="14"/>
      <c r="O54" s="14"/>
      <c r="P54" s="14"/>
      <c r="Q54" s="14"/>
      <c r="R54" s="14"/>
      <c r="S54" s="14"/>
      <c r="T54" s="116"/>
    </row>
    <row r="55">
      <c r="A55" s="103">
        <v>45158</v>
      </c>
      <c r="B55" s="5"/>
      <c r="C55" s="5"/>
      <c r="D55" s="5"/>
      <c r="E55" s="5"/>
      <c r="F55" s="5"/>
      <c r="G55" s="5"/>
      <c r="H55" s="5"/>
      <c r="I55" s="5"/>
      <c r="J55" s="5"/>
      <c r="K55" s="5"/>
      <c r="L55" s="5"/>
      <c r="M55" s="5"/>
      <c r="N55" s="5"/>
      <c r="O55" s="5"/>
      <c r="P55" s="5"/>
      <c r="Q55" s="5"/>
      <c r="R55" s="5"/>
      <c r="S55" s="5"/>
      <c r="T55" s="116"/>
    </row>
    <row r="56">
      <c r="A56" s="103">
        <v>45159</v>
      </c>
      <c r="B56" s="14"/>
      <c r="C56" s="14"/>
      <c r="D56" s="14"/>
      <c r="E56" s="14"/>
      <c r="F56" s="14"/>
      <c r="G56" s="14"/>
      <c r="H56" s="14"/>
      <c r="I56" s="14"/>
      <c r="J56" s="14"/>
      <c r="K56" s="14"/>
      <c r="L56" s="14"/>
      <c r="M56" s="14"/>
      <c r="N56" s="14"/>
      <c r="O56" s="14"/>
      <c r="P56" s="14"/>
      <c r="Q56" s="14"/>
      <c r="R56" s="14"/>
      <c r="S56" s="14"/>
      <c r="T56" s="116"/>
    </row>
    <row r="57">
      <c r="A57" s="103">
        <v>45160</v>
      </c>
      <c r="B57" s="5"/>
      <c r="C57" s="5"/>
      <c r="D57" s="5"/>
      <c r="E57" s="5"/>
      <c r="F57" s="5"/>
      <c r="G57" s="5"/>
      <c r="H57" s="5"/>
      <c r="I57" s="5"/>
      <c r="J57" s="5"/>
      <c r="K57" s="5"/>
      <c r="L57" s="5"/>
      <c r="M57" s="5"/>
      <c r="N57" s="5"/>
      <c r="O57" s="5"/>
      <c r="P57" s="5"/>
      <c r="Q57" s="5"/>
      <c r="R57" s="5"/>
      <c r="S57" s="5"/>
      <c r="T57" s="116"/>
    </row>
    <row r="58">
      <c r="A58" s="103">
        <v>45161</v>
      </c>
      <c r="B58" s="14"/>
      <c r="C58" s="14"/>
      <c r="D58" s="14"/>
      <c r="E58" s="14"/>
      <c r="F58" s="14"/>
      <c r="G58" s="14"/>
      <c r="H58" s="14"/>
      <c r="I58" s="14"/>
      <c r="J58" s="14"/>
      <c r="K58" s="14"/>
      <c r="L58" s="14"/>
      <c r="M58" s="14"/>
      <c r="N58" s="14"/>
      <c r="O58" s="14"/>
      <c r="P58" s="14"/>
      <c r="Q58" s="14"/>
      <c r="R58" s="14"/>
      <c r="S58" s="14"/>
      <c r="T58" s="116"/>
    </row>
    <row r="59">
      <c r="A59" s="103">
        <v>45162</v>
      </c>
      <c r="B59" s="5"/>
      <c r="C59" s="5"/>
      <c r="D59" s="5"/>
      <c r="E59" s="5"/>
      <c r="F59" s="5"/>
      <c r="G59" s="5"/>
      <c r="H59" s="5"/>
      <c r="I59" s="5"/>
      <c r="J59" s="5"/>
      <c r="K59" s="5"/>
      <c r="L59" s="5"/>
      <c r="M59" s="5"/>
      <c r="N59" s="5"/>
      <c r="O59" s="5"/>
      <c r="P59" s="5"/>
      <c r="Q59" s="5"/>
      <c r="R59" s="5"/>
      <c r="S59" s="5"/>
      <c r="T59" s="116"/>
    </row>
    <row r="60">
      <c r="A60" s="103">
        <v>45163</v>
      </c>
      <c r="B60" s="14"/>
      <c r="C60" s="14"/>
      <c r="D60" s="14"/>
      <c r="E60" s="14"/>
      <c r="F60" s="14"/>
      <c r="G60" s="14"/>
      <c r="H60" s="14"/>
      <c r="I60" s="14"/>
      <c r="J60" s="14"/>
      <c r="K60" s="14"/>
      <c r="L60" s="14"/>
      <c r="M60" s="14"/>
      <c r="N60" s="14"/>
      <c r="O60" s="14"/>
      <c r="P60" s="14"/>
      <c r="Q60" s="14"/>
      <c r="R60" s="14"/>
      <c r="S60" s="14"/>
      <c r="T60" s="116"/>
    </row>
    <row r="61">
      <c r="A61" s="103">
        <v>45164</v>
      </c>
      <c r="B61" s="5"/>
      <c r="C61" s="5"/>
      <c r="D61" s="5"/>
      <c r="E61" s="5"/>
      <c r="F61" s="5"/>
      <c r="G61" s="5"/>
      <c r="H61" s="5"/>
      <c r="I61" s="5"/>
      <c r="J61" s="5"/>
      <c r="K61" s="5"/>
      <c r="L61" s="5"/>
      <c r="M61" s="5"/>
      <c r="N61" s="5"/>
      <c r="O61" s="5"/>
      <c r="P61" s="5"/>
      <c r="Q61" s="5"/>
      <c r="R61" s="5"/>
      <c r="S61" s="5"/>
      <c r="T61" s="116"/>
    </row>
    <row r="62">
      <c r="A62" s="103">
        <v>45165</v>
      </c>
      <c r="B62" s="14"/>
      <c r="C62" s="14"/>
      <c r="D62" s="14"/>
      <c r="E62" s="14"/>
      <c r="F62" s="14"/>
      <c r="G62" s="14"/>
      <c r="H62" s="14"/>
      <c r="I62" s="14"/>
      <c r="J62" s="14"/>
      <c r="K62" s="14"/>
      <c r="L62" s="14"/>
      <c r="M62" s="14"/>
      <c r="N62" s="14"/>
      <c r="O62" s="14"/>
      <c r="P62" s="14"/>
      <c r="Q62" s="14"/>
      <c r="R62" s="14"/>
      <c r="S62" s="14"/>
      <c r="T62" s="116"/>
    </row>
    <row r="63">
      <c r="A63" s="103">
        <v>45166</v>
      </c>
      <c r="B63" s="5"/>
      <c r="C63" s="5"/>
      <c r="D63" s="5"/>
      <c r="E63" s="5"/>
      <c r="F63" s="5"/>
      <c r="G63" s="5"/>
      <c r="H63" s="5"/>
      <c r="I63" s="5"/>
      <c r="J63" s="5"/>
      <c r="K63" s="5"/>
      <c r="L63" s="5"/>
      <c r="M63" s="5"/>
      <c r="N63" s="5"/>
      <c r="O63" s="5"/>
      <c r="P63" s="5"/>
      <c r="Q63" s="5"/>
      <c r="R63" s="48"/>
      <c r="S63" s="5"/>
      <c r="T63" s="116"/>
    </row>
    <row r="64">
      <c r="A64" s="103">
        <v>45167</v>
      </c>
      <c r="B64" s="22"/>
      <c r="C64" s="22"/>
      <c r="D64" s="22"/>
      <c r="E64" s="22"/>
      <c r="F64" s="22"/>
      <c r="G64" s="22"/>
      <c r="H64" s="22"/>
      <c r="I64" s="22"/>
      <c r="J64" s="14"/>
      <c r="K64" s="14"/>
      <c r="L64" s="14"/>
      <c r="M64" s="14"/>
      <c r="N64" s="14"/>
      <c r="O64" s="14"/>
      <c r="P64" s="14"/>
      <c r="Q64" s="14"/>
      <c r="R64" s="80"/>
      <c r="S64" s="14"/>
      <c r="T64" s="116"/>
    </row>
    <row r="65">
      <c r="A65" s="103">
        <v>45168</v>
      </c>
      <c r="B65" s="5"/>
      <c r="C65" s="5"/>
      <c r="D65" s="5"/>
      <c r="E65" s="5"/>
      <c r="F65" s="5"/>
      <c r="G65" s="5"/>
      <c r="H65" s="5"/>
      <c r="I65" s="5"/>
      <c r="J65" s="5"/>
      <c r="K65" s="5"/>
      <c r="L65" s="5"/>
      <c r="M65" s="5"/>
      <c r="N65" s="5"/>
      <c r="O65" s="5"/>
      <c r="P65" s="5"/>
      <c r="Q65" s="5"/>
      <c r="R65" s="48"/>
      <c r="S65" s="5"/>
      <c r="T65" s="116"/>
    </row>
    <row r="66">
      <c r="A66" s="103">
        <v>45169</v>
      </c>
      <c r="B66" s="22"/>
      <c r="C66" s="22"/>
      <c r="D66" s="22"/>
      <c r="E66" s="22">
        <f>(1230.13*'Сводная таблица'!B84)+(6579.6-658)</f>
        <v>11309.5694</v>
      </c>
      <c r="F66" s="22"/>
      <c r="G66" s="22"/>
      <c r="H66" s="22"/>
      <c r="I66" s="22"/>
      <c r="J66" s="14"/>
      <c r="K66" s="14"/>
      <c r="L66" s="14"/>
      <c r="M66" s="14"/>
      <c r="N66" s="14"/>
      <c r="O66" s="14"/>
      <c r="P66" s="14"/>
      <c r="Q66" s="14"/>
      <c r="R66" s="80"/>
      <c r="S66" s="14"/>
      <c r="T66" s="116"/>
    </row>
    <row r="67">
      <c r="A67" s="113" t="s">
        <v>87</v>
      </c>
      <c r="B67" s="113">
        <f>SUM(B36:B66)</f>
        <v>639547</v>
      </c>
      <c r="C67" s="113">
        <f>SUM(C36:C66)</f>
        <v>0</v>
      </c>
      <c r="D67" s="113">
        <f>SUM(D36:D66)</f>
        <v>0</v>
      </c>
      <c r="E67" s="113">
        <f>SUM(E36:E66)</f>
        <v>11506.319</v>
      </c>
      <c r="F67" s="113">
        <f>SUM(F36:F66)</f>
        <v>0</v>
      </c>
      <c r="G67" s="113">
        <f>SUM(G36:G66)</f>
        <v>0</v>
      </c>
      <c r="H67" s="113">
        <f>SUM(H36:H66)</f>
        <v>0</v>
      </c>
      <c r="I67" s="113">
        <f>SUM(I36:I66)</f>
        <v>10730.999999999998</v>
      </c>
      <c r="J67" s="113">
        <f>SUM(J36:J66)</f>
        <v>0</v>
      </c>
      <c r="K67" s="113">
        <f>SUM(K36:K66)</f>
        <v>0</v>
      </c>
      <c r="L67" s="113">
        <f>SUM(L36:L66)</f>
        <v>0</v>
      </c>
      <c r="M67" s="113">
        <f>SUM(M36:M66)</f>
        <v>0</v>
      </c>
      <c r="N67" s="113">
        <f>SUM(N36:N66)</f>
        <v>0</v>
      </c>
      <c r="O67" s="113">
        <f>SUM(O36:O66)</f>
        <v>0</v>
      </c>
      <c r="P67" s="113">
        <f>SUM(P36:P66)</f>
        <v>0</v>
      </c>
      <c r="Q67" s="113">
        <f>SUM(Q36:Q66)</f>
        <v>0</v>
      </c>
      <c r="R67" s="113">
        <f>SUM(R36:R66)</f>
        <v>0</v>
      </c>
      <c r="S67" s="113">
        <f>SUM(B67:R67)</f>
        <v>661784.31900000002</v>
      </c>
      <c r="T67" s="124" t="s">
        <v>88</v>
      </c>
    </row>
    <row r="68">
      <c r="A68" s="108" t="s">
        <v>89</v>
      </c>
      <c r="B68" s="110">
        <f>B67/'Сводная таблица'!B84</f>
        <v>146015.29680365298</v>
      </c>
      <c r="C68" s="110"/>
      <c r="D68" s="110">
        <f>D67/'Сводная таблица'!B84</f>
        <v>0</v>
      </c>
      <c r="E68" s="110">
        <f>E67/'Сводная таблица'!B67</f>
        <v>2627.0134703196345</v>
      </c>
      <c r="F68" s="110"/>
      <c r="G68" s="110"/>
      <c r="H68" s="110">
        <f>H67/'Сводная таблица'!B67</f>
        <v>0</v>
      </c>
      <c r="I68" s="110">
        <f>I67/'Сводная таблица'!B67</f>
        <v>2449.9999999999995</v>
      </c>
      <c r="J68" s="110"/>
      <c r="K68" s="110"/>
      <c r="L68" s="110"/>
      <c r="M68" s="110"/>
      <c r="N68" s="110"/>
      <c r="O68" s="110"/>
      <c r="P68" s="110"/>
      <c r="Q68" s="110"/>
      <c r="R68" s="110"/>
      <c r="S68" s="110">
        <f>S67/'Сводная таблица'!B84</f>
        <v>151092.3102739726</v>
      </c>
      <c r="T68" s="125" t="s">
        <v>90</v>
      </c>
    </row>
    <row r="69">
      <c r="A69" s="123" t="s">
        <v>67</v>
      </c>
      <c r="B69" s="123"/>
      <c r="C69" s="123"/>
      <c r="D69" s="123"/>
      <c r="E69" s="123"/>
      <c r="F69" s="123"/>
      <c r="G69" s="123"/>
      <c r="H69" s="123"/>
      <c r="I69" s="123"/>
      <c r="J69" s="123"/>
      <c r="K69" s="123"/>
      <c r="L69" s="123"/>
      <c r="M69" s="123"/>
      <c r="N69" s="123"/>
      <c r="O69" s="123"/>
      <c r="P69" s="123"/>
      <c r="Q69" s="123"/>
      <c r="R69" s="123"/>
      <c r="S69" s="123"/>
      <c r="T69" s="116"/>
    </row>
    <row r="70">
      <c r="A70" s="5" t="s">
        <v>68</v>
      </c>
      <c r="B70" s="118">
        <f>21000-344+2039+(23000-23000)-344-344+8164.1-4600-3300+(3000-3000)+80000+2000+(5500-5500)+(5650-5100)+1000+300+300+11814.99+10000+10000+2000+18000+1500</f>
        <v>159736.09000000003</v>
      </c>
      <c r="C70" s="5"/>
      <c r="D70" s="5"/>
      <c r="E70" s="5"/>
      <c r="F70" s="5"/>
      <c r="G70" s="5"/>
      <c r="H70" s="5"/>
      <c r="I70" s="5"/>
      <c r="J70" s="5"/>
      <c r="K70" s="5"/>
      <c r="L70" s="5"/>
      <c r="M70" s="5"/>
      <c r="N70" s="5"/>
      <c r="O70" s="5"/>
      <c r="P70" s="5"/>
      <c r="Q70" s="5"/>
      <c r="R70" s="5"/>
      <c r="S70" s="5"/>
      <c r="T70" s="116"/>
    </row>
    <row r="71">
      <c r="A71" s="5" t="s">
        <v>76</v>
      </c>
      <c r="B71" s="5">
        <f>3000+1000+1200+1300+1500</f>
        <v>8000</v>
      </c>
      <c r="C71" s="5"/>
      <c r="D71" s="5"/>
      <c r="E71" s="5"/>
      <c r="F71" s="5"/>
      <c r="G71" s="5"/>
      <c r="H71" s="5"/>
      <c r="I71" s="5"/>
      <c r="J71" s="5"/>
      <c r="K71" s="5"/>
      <c r="L71" s="5"/>
      <c r="M71" s="5"/>
      <c r="N71" s="5"/>
      <c r="O71" s="5"/>
      <c r="P71" s="5"/>
      <c r="Q71" s="5"/>
      <c r="R71" s="5"/>
      <c r="S71" s="5"/>
      <c r="T71" s="1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5" percent="1" timePeriod="today" id="{006D0003-00E6-4874-8A2A-00D400D50015}">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4" percent="1" timePeriod="today" id="{00DC0055-002C-4798-83D6-009F00AF00A1}">
            <x14:dxf>
              <font>
                <color rgb="FF006100"/>
              </font>
              <fill>
                <patternFill patternType="solid">
                  <fgColor rgb="FFC6EFCE"/>
                  <bgColor rgb="FFC6EFCE"/>
                </patternFill>
              </fill>
            </x14:dxf>
          </x14:cfRule>
          <xm:sqref>A36 A37 A38 A39 A40 A41 A42 A43 A44 A45 A46 A47 A48 A49 A50 A51 A52 A53 A54 A55 A56 A57 A58 A59 A60 A61 A62 A63 A64 A65 A66</xm:sqref>
        </x14:conditionalFormatting>
        <x14:conditionalFormatting xmlns:xm="http://schemas.microsoft.com/office/excel/2006/main">
          <x14:cfRule type="timePeriod" priority="3" percent="1" timePeriod="today" id="{008000BA-0095-4D02-9466-00B500DA00F5}">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2" percent="1" timePeriod="today" id="{009B0087-000A-4D86-8362-00D0006800DE}">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E300C1-0001-4A41-8574-00FE005B00E0}">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s>
    </ext>
  </extLst>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RowHeight="14.25"/>
  <cols>
    <col customWidth="1" min="1" max="1" width="10.851562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16"/>
    </row>
    <row r="2">
      <c r="A2" s="103">
        <v>45170</v>
      </c>
      <c r="B2" s="14">
        <f>100+100</f>
        <v>200</v>
      </c>
      <c r="C2" s="14"/>
      <c r="D2" s="14">
        <v>1248</v>
      </c>
      <c r="E2" s="14"/>
      <c r="F2" s="14"/>
      <c r="G2" s="14"/>
      <c r="H2" s="14"/>
      <c r="I2" s="14"/>
      <c r="J2" s="14"/>
      <c r="K2" s="14"/>
      <c r="L2" s="14"/>
      <c r="M2" s="14"/>
      <c r="N2" s="14"/>
      <c r="O2" s="14"/>
      <c r="P2" s="14"/>
      <c r="Q2" s="14"/>
      <c r="R2" s="14"/>
      <c r="S2" s="14"/>
      <c r="T2" s="116"/>
    </row>
    <row r="3">
      <c r="A3" s="103">
        <v>45171</v>
      </c>
      <c r="B3" s="5"/>
      <c r="C3" s="5"/>
      <c r="D3" s="5"/>
      <c r="E3" s="5"/>
      <c r="F3" s="5"/>
      <c r="G3" s="5"/>
      <c r="H3" s="5"/>
      <c r="I3" s="5"/>
      <c r="J3" s="5"/>
      <c r="K3" s="5"/>
      <c r="L3" s="5"/>
      <c r="M3" s="5"/>
      <c r="N3" s="5"/>
      <c r="O3" s="5"/>
      <c r="P3" s="5"/>
      <c r="Q3" s="5"/>
      <c r="R3" s="5"/>
      <c r="S3" s="5"/>
      <c r="T3" s="116"/>
    </row>
    <row r="4">
      <c r="A4" s="103">
        <v>45172</v>
      </c>
      <c r="B4" s="14">
        <f>(182.77*'Сводная таблица'!B84)+600</f>
        <v>1400.5326</v>
      </c>
      <c r="C4" s="14"/>
      <c r="D4" s="14"/>
      <c r="E4" s="14"/>
      <c r="F4" s="14"/>
      <c r="G4" s="14"/>
      <c r="H4" s="14"/>
      <c r="I4" s="14"/>
      <c r="J4" s="14"/>
      <c r="K4" s="14"/>
      <c r="L4" s="14"/>
      <c r="M4" s="14"/>
      <c r="N4" s="14"/>
      <c r="O4" s="14"/>
      <c r="P4" s="14"/>
      <c r="Q4" s="14"/>
      <c r="R4" s="14"/>
      <c r="S4" s="14"/>
      <c r="T4" s="116"/>
    </row>
    <row r="5">
      <c r="A5" s="103">
        <v>45173</v>
      </c>
      <c r="B5" s="5"/>
      <c r="C5" s="5">
        <f>2280</f>
        <v>2280</v>
      </c>
      <c r="D5" s="5"/>
      <c r="E5" s="5"/>
      <c r="F5" s="5"/>
      <c r="G5" s="5">
        <f>69*'Сводная таблица'!B84</f>
        <v>302.21999999999997</v>
      </c>
      <c r="H5" s="5"/>
      <c r="I5" s="5"/>
      <c r="J5" s="5"/>
      <c r="K5" s="5"/>
      <c r="L5" s="5"/>
      <c r="M5" s="5"/>
      <c r="N5" s="5"/>
      <c r="O5" s="5"/>
      <c r="P5" s="5"/>
      <c r="Q5" s="5"/>
      <c r="R5" s="5"/>
      <c r="S5" s="5"/>
      <c r="T5" s="116"/>
    </row>
    <row r="6">
      <c r="A6" s="103">
        <v>45174</v>
      </c>
      <c r="B6" s="14"/>
      <c r="C6" s="14"/>
      <c r="D6" s="14"/>
      <c r="E6" s="14"/>
      <c r="F6" s="14"/>
      <c r="G6" s="14"/>
      <c r="H6" s="14"/>
      <c r="I6" s="14"/>
      <c r="J6" s="14"/>
      <c r="K6" s="14"/>
      <c r="L6" s="14"/>
      <c r="M6" s="14"/>
      <c r="N6" s="14"/>
      <c r="O6" s="14"/>
      <c r="P6" s="14"/>
      <c r="Q6" s="14"/>
      <c r="R6" s="14"/>
      <c r="S6" s="14"/>
      <c r="T6" s="116"/>
    </row>
    <row r="7">
      <c r="A7" s="103">
        <v>45175</v>
      </c>
      <c r="B7" s="5"/>
      <c r="C7" s="5">
        <v>910</v>
      </c>
      <c r="D7" s="5"/>
      <c r="E7" s="5"/>
      <c r="F7" s="5"/>
      <c r="G7" s="5"/>
      <c r="H7" s="5"/>
      <c r="I7" s="5"/>
      <c r="J7" s="5"/>
      <c r="K7" s="5">
        <v>1950</v>
      </c>
      <c r="L7" s="5"/>
      <c r="M7" s="5"/>
      <c r="N7" s="5"/>
      <c r="O7" s="5"/>
      <c r="P7" s="5"/>
      <c r="Q7" s="5"/>
      <c r="R7" s="5"/>
      <c r="S7" s="5"/>
      <c r="T7" s="116"/>
    </row>
    <row r="8">
      <c r="A8" s="103">
        <v>45176</v>
      </c>
      <c r="B8" s="14"/>
      <c r="C8" s="14">
        <v>14997.309999999999</v>
      </c>
      <c r="D8" s="14"/>
      <c r="E8" s="14"/>
      <c r="F8" s="14"/>
      <c r="G8" s="14"/>
      <c r="H8" s="14"/>
      <c r="I8" s="14"/>
      <c r="J8" s="14"/>
      <c r="K8" s="14"/>
      <c r="L8" s="14"/>
      <c r="M8" s="14"/>
      <c r="N8" s="14"/>
      <c r="O8" s="14"/>
      <c r="P8" s="14"/>
      <c r="Q8" s="14"/>
      <c r="R8" s="14"/>
      <c r="S8" s="14"/>
      <c r="T8" s="116"/>
    </row>
    <row r="9">
      <c r="A9" s="103">
        <v>45177</v>
      </c>
      <c r="B9" s="5"/>
      <c r="C9" s="5"/>
      <c r="D9" s="5"/>
      <c r="E9" s="5"/>
      <c r="F9" s="5"/>
      <c r="G9" s="5"/>
      <c r="H9" s="5"/>
      <c r="I9" s="5"/>
      <c r="J9" s="5"/>
      <c r="K9" s="5"/>
      <c r="L9" s="5"/>
      <c r="M9" s="5"/>
      <c r="N9" s="5"/>
      <c r="O9" s="5"/>
      <c r="P9" s="5"/>
      <c r="Q9" s="5"/>
      <c r="R9" s="5"/>
      <c r="S9" s="5"/>
      <c r="T9" s="116"/>
    </row>
    <row r="10">
      <c r="A10" s="103">
        <v>45178</v>
      </c>
      <c r="B10" s="14"/>
      <c r="C10" s="14"/>
      <c r="D10" s="14"/>
      <c r="E10" s="14">
        <f>1500+333</f>
        <v>1833</v>
      </c>
      <c r="F10" s="14"/>
      <c r="G10" s="14"/>
      <c r="H10" s="14"/>
      <c r="I10" s="14"/>
      <c r="J10" s="14"/>
      <c r="K10" s="14"/>
      <c r="L10" s="14">
        <f>150000-50000</f>
        <v>100000</v>
      </c>
      <c r="M10" s="14"/>
      <c r="N10" s="14"/>
      <c r="O10" s="14"/>
      <c r="P10" s="14"/>
      <c r="Q10" s="14"/>
      <c r="R10" s="14"/>
      <c r="S10" s="14"/>
      <c r="T10" s="116"/>
    </row>
    <row r="11">
      <c r="A11" s="103">
        <v>45179</v>
      </c>
      <c r="B11" s="5"/>
      <c r="C11" s="5"/>
      <c r="D11" s="5"/>
      <c r="E11" s="5"/>
      <c r="F11" s="5">
        <f>600*'Сводная таблица'!B84</f>
        <v>2628</v>
      </c>
      <c r="G11" s="5"/>
      <c r="H11" s="5"/>
      <c r="I11" s="5"/>
      <c r="J11" s="5"/>
      <c r="K11" s="5"/>
      <c r="L11" s="5"/>
      <c r="M11" s="5"/>
      <c r="N11" s="5"/>
      <c r="O11" s="5"/>
      <c r="P11" s="5"/>
      <c r="Q11" s="5"/>
      <c r="R11" s="5"/>
      <c r="S11" s="5"/>
      <c r="T11" s="116"/>
    </row>
    <row r="12">
      <c r="A12" s="103">
        <v>45180</v>
      </c>
      <c r="B12" s="14"/>
      <c r="C12" s="14"/>
      <c r="D12" s="14"/>
      <c r="E12" s="14"/>
      <c r="F12" s="14"/>
      <c r="G12" s="14"/>
      <c r="H12" s="14"/>
      <c r="I12" s="14"/>
      <c r="J12" s="14"/>
      <c r="K12" s="14"/>
      <c r="L12" s="14">
        <f>(7000+7096+3305+1404)/2-3000</f>
        <v>6402.5</v>
      </c>
      <c r="M12" s="14"/>
      <c r="N12" s="14"/>
      <c r="O12" s="14"/>
      <c r="P12" s="14"/>
      <c r="Q12" s="14"/>
      <c r="R12" s="14"/>
      <c r="S12" s="14"/>
      <c r="T12" s="116"/>
    </row>
    <row r="13">
      <c r="A13" s="103">
        <v>45181</v>
      </c>
      <c r="B13" s="5"/>
      <c r="C13" s="5">
        <v>5230</v>
      </c>
      <c r="D13" s="5"/>
      <c r="E13" s="5"/>
      <c r="F13" s="5"/>
      <c r="G13" s="5"/>
      <c r="H13" s="5"/>
      <c r="I13" s="5"/>
      <c r="J13" s="5">
        <v>300</v>
      </c>
      <c r="K13" s="5"/>
      <c r="L13" s="5"/>
      <c r="M13" s="5"/>
      <c r="N13" s="5"/>
      <c r="O13" s="5"/>
      <c r="P13" s="5"/>
      <c r="Q13" s="5"/>
      <c r="R13" s="5"/>
      <c r="S13" s="5"/>
      <c r="T13" s="116"/>
    </row>
    <row r="14">
      <c r="A14" s="103">
        <v>45182</v>
      </c>
      <c r="B14" s="14"/>
      <c r="C14" s="14"/>
      <c r="D14" s="14"/>
      <c r="E14" s="14"/>
      <c r="F14" s="14"/>
      <c r="G14" s="14"/>
      <c r="H14" s="14"/>
      <c r="I14" s="14"/>
      <c r="J14" s="14"/>
      <c r="K14" s="14"/>
      <c r="L14" s="14"/>
      <c r="M14" s="14"/>
      <c r="N14" s="14"/>
      <c r="O14" s="14"/>
      <c r="P14" s="14"/>
      <c r="Q14" s="14"/>
      <c r="R14" s="14"/>
      <c r="S14" s="14"/>
      <c r="T14" s="116"/>
    </row>
    <row r="15">
      <c r="A15" s="103">
        <v>45183</v>
      </c>
      <c r="B15" s="5"/>
      <c r="C15" s="5">
        <v>1250</v>
      </c>
      <c r="D15" s="5"/>
      <c r="E15" s="5"/>
      <c r="F15" s="5"/>
      <c r="G15" s="5"/>
      <c r="H15" s="5"/>
      <c r="I15" s="5"/>
      <c r="J15" s="5"/>
      <c r="K15" s="5"/>
      <c r="L15" s="5"/>
      <c r="M15" s="5"/>
      <c r="N15" s="5"/>
      <c r="O15" s="5"/>
      <c r="P15" s="5"/>
      <c r="Q15" s="5"/>
      <c r="R15" s="5"/>
      <c r="S15" s="5"/>
      <c r="T15" s="116"/>
    </row>
    <row r="16">
      <c r="A16" s="103">
        <v>45184</v>
      </c>
      <c r="B16" s="14"/>
      <c r="C16" s="97"/>
      <c r="D16" s="14"/>
      <c r="E16" s="14"/>
      <c r="F16" s="14">
        <f>8000*'Сводная таблица'!B84</f>
        <v>35040</v>
      </c>
      <c r="G16" s="14"/>
      <c r="H16" s="14"/>
      <c r="I16" s="14"/>
      <c r="J16" s="14"/>
      <c r="K16" s="14"/>
      <c r="L16" s="14"/>
      <c r="M16" s="14"/>
      <c r="N16" s="14"/>
      <c r="O16" s="14"/>
      <c r="P16" s="14"/>
      <c r="Q16" s="14"/>
      <c r="R16" s="14"/>
      <c r="S16" s="14"/>
      <c r="T16" s="116"/>
    </row>
    <row r="17">
      <c r="A17" s="103">
        <v>45185</v>
      </c>
      <c r="B17" s="5"/>
      <c r="C17" s="6"/>
      <c r="D17" s="5"/>
      <c r="E17" s="5">
        <v>3750</v>
      </c>
      <c r="F17" s="5"/>
      <c r="G17" s="5"/>
      <c r="H17" s="5"/>
      <c r="I17" s="5"/>
      <c r="J17" s="5"/>
      <c r="K17" s="5"/>
      <c r="L17" s="5"/>
      <c r="M17" s="5"/>
      <c r="N17" s="5"/>
      <c r="O17" s="5"/>
      <c r="P17" s="5"/>
      <c r="Q17" s="5"/>
      <c r="R17" s="5"/>
      <c r="S17" s="5"/>
      <c r="T17" s="116"/>
    </row>
    <row r="18">
      <c r="A18" s="103">
        <v>45186</v>
      </c>
      <c r="B18" s="14"/>
      <c r="C18" s="14">
        <v>2900</v>
      </c>
      <c r="D18" s="14"/>
      <c r="E18" s="14"/>
      <c r="F18" s="14"/>
      <c r="G18" s="14"/>
      <c r="H18" s="14"/>
      <c r="I18" s="14"/>
      <c r="J18" s="14"/>
      <c r="K18" s="14"/>
      <c r="L18" s="14"/>
      <c r="M18" s="14"/>
      <c r="N18" s="14"/>
      <c r="O18" s="14"/>
      <c r="P18" s="14"/>
      <c r="Q18" s="14"/>
      <c r="R18" s="14"/>
      <c r="S18" s="14"/>
      <c r="T18" s="116"/>
    </row>
    <row r="19">
      <c r="A19" s="103">
        <v>45187</v>
      </c>
      <c r="B19" s="5">
        <v>200</v>
      </c>
      <c r="C19" s="5"/>
      <c r="D19" s="5">
        <v>1360</v>
      </c>
      <c r="E19" s="5"/>
      <c r="F19" s="5"/>
      <c r="G19" s="5"/>
      <c r="H19" s="5"/>
      <c r="I19" s="5"/>
      <c r="J19" s="5"/>
      <c r="K19" s="5"/>
      <c r="L19" s="5"/>
      <c r="M19" s="5"/>
      <c r="N19" s="5"/>
      <c r="O19" s="5"/>
      <c r="P19" s="5"/>
      <c r="Q19" s="5"/>
      <c r="R19" s="6"/>
      <c r="S19" s="5"/>
      <c r="T19" s="116"/>
    </row>
    <row r="20">
      <c r="A20" s="103">
        <v>45188</v>
      </c>
      <c r="B20" s="14">
        <v>200</v>
      </c>
      <c r="C20" s="14"/>
      <c r="D20" s="14">
        <v>1256</v>
      </c>
      <c r="E20" s="14"/>
      <c r="F20" s="14"/>
      <c r="G20" s="14"/>
      <c r="H20" s="14"/>
      <c r="I20" s="14"/>
      <c r="J20" s="14"/>
      <c r="K20" s="14"/>
      <c r="L20" s="14"/>
      <c r="M20" s="14"/>
      <c r="N20" s="14"/>
      <c r="O20" s="14"/>
      <c r="P20" s="34"/>
      <c r="Q20" s="14"/>
      <c r="R20" s="14"/>
      <c r="S20" s="14"/>
      <c r="T20" s="116"/>
    </row>
    <row r="21">
      <c r="A21" s="103">
        <v>45189</v>
      </c>
      <c r="B21" s="69">
        <v>200</v>
      </c>
      <c r="C21" s="6"/>
      <c r="D21" s="5"/>
      <c r="E21" s="5"/>
      <c r="F21" s="5"/>
      <c r="G21" s="5"/>
      <c r="H21" s="5"/>
      <c r="I21" s="5"/>
      <c r="J21" s="5"/>
      <c r="K21" s="5">
        <f>2000*'Сводная таблица'!B84</f>
        <v>8760</v>
      </c>
      <c r="L21" s="5"/>
      <c r="M21" s="5"/>
      <c r="N21" s="5"/>
      <c r="O21" s="5"/>
      <c r="P21" s="5"/>
      <c r="Q21" s="5"/>
      <c r="R21" s="5"/>
      <c r="S21" s="5"/>
      <c r="T21" s="116"/>
    </row>
    <row r="22">
      <c r="A22" s="103">
        <v>45190</v>
      </c>
      <c r="B22" s="22">
        <v>200</v>
      </c>
      <c r="C22" s="14"/>
      <c r="D22" s="14">
        <v>1031</v>
      </c>
      <c r="E22" s="14"/>
      <c r="F22" s="14"/>
      <c r="G22" s="14"/>
      <c r="H22" s="14"/>
      <c r="I22" s="14"/>
      <c r="J22" s="14"/>
      <c r="K22" s="14"/>
      <c r="L22" s="14"/>
      <c r="M22" s="14"/>
      <c r="N22" s="14"/>
      <c r="O22" s="14"/>
      <c r="P22" s="14"/>
      <c r="Q22" s="14"/>
      <c r="R22" s="14"/>
      <c r="S22" s="14"/>
      <c r="T22" s="116"/>
    </row>
    <row r="23">
      <c r="A23" s="103">
        <v>45191</v>
      </c>
      <c r="B23" s="5">
        <v>100</v>
      </c>
      <c r="C23" s="5"/>
      <c r="D23" s="5">
        <v>874</v>
      </c>
      <c r="E23" s="5"/>
      <c r="F23" s="5"/>
      <c r="G23" s="5"/>
      <c r="H23" s="5"/>
      <c r="I23" s="5"/>
      <c r="J23" s="5"/>
      <c r="K23" s="5"/>
      <c r="L23" s="5"/>
      <c r="M23" s="5"/>
      <c r="N23" s="5"/>
      <c r="O23" s="5"/>
      <c r="P23" s="5"/>
      <c r="Q23" s="5"/>
      <c r="R23" s="5"/>
      <c r="S23" s="5"/>
      <c r="T23" s="116"/>
    </row>
    <row r="24">
      <c r="A24" s="103">
        <v>45192</v>
      </c>
      <c r="B24" s="14">
        <v>200</v>
      </c>
      <c r="C24" s="14"/>
      <c r="D24" s="14">
        <v>1120</v>
      </c>
      <c r="E24" s="14"/>
      <c r="F24" s="14"/>
      <c r="G24" s="14"/>
      <c r="H24" s="14"/>
      <c r="I24" s="14"/>
      <c r="J24" s="14"/>
      <c r="K24" s="14"/>
      <c r="L24" s="14"/>
      <c r="M24" s="14"/>
      <c r="N24" s="14"/>
      <c r="O24" s="14"/>
      <c r="P24" s="14"/>
      <c r="Q24" s="14"/>
      <c r="R24" s="14"/>
      <c r="S24" s="14"/>
      <c r="T24" s="116"/>
    </row>
    <row r="25">
      <c r="A25" s="103">
        <v>45193</v>
      </c>
      <c r="B25" s="28"/>
      <c r="C25" s="5"/>
      <c r="D25" s="5"/>
      <c r="E25" s="5"/>
      <c r="F25" s="5"/>
      <c r="G25" s="5"/>
      <c r="H25" s="5"/>
      <c r="I25" s="5"/>
      <c r="J25" s="5"/>
      <c r="K25" s="5"/>
      <c r="L25" s="5"/>
      <c r="M25" s="5"/>
      <c r="N25" s="5"/>
      <c r="O25" s="5"/>
      <c r="P25" s="5"/>
      <c r="Q25" s="5"/>
      <c r="R25" s="5"/>
      <c r="S25" s="5"/>
      <c r="T25" s="116"/>
    </row>
    <row r="26">
      <c r="A26" s="103">
        <v>45194</v>
      </c>
      <c r="B26" s="14">
        <v>200</v>
      </c>
      <c r="C26" s="14">
        <v>1220</v>
      </c>
      <c r="D26" s="14">
        <v>792</v>
      </c>
      <c r="E26" s="14"/>
      <c r="F26" s="14"/>
      <c r="G26" s="14"/>
      <c r="H26" s="14"/>
      <c r="I26" s="14"/>
      <c r="J26" s="14"/>
      <c r="K26" s="14"/>
      <c r="L26" s="14"/>
      <c r="M26" s="14"/>
      <c r="N26" s="14"/>
      <c r="O26" s="14"/>
      <c r="P26" s="14"/>
      <c r="Q26" s="14"/>
      <c r="R26" s="14"/>
      <c r="S26" s="14"/>
      <c r="T26" s="116"/>
    </row>
    <row r="27">
      <c r="A27" s="103">
        <v>45195</v>
      </c>
      <c r="B27" s="5">
        <v>200</v>
      </c>
      <c r="C27" s="6"/>
      <c r="D27" s="5">
        <v>1832</v>
      </c>
      <c r="E27" s="5"/>
      <c r="F27" s="5"/>
      <c r="G27" s="5"/>
      <c r="H27" s="5"/>
      <c r="I27" s="5"/>
      <c r="J27" s="5"/>
      <c r="K27" s="5"/>
      <c r="L27" s="5"/>
      <c r="M27" s="5"/>
      <c r="N27" s="5"/>
      <c r="O27" s="5"/>
      <c r="P27" s="5"/>
      <c r="Q27" s="5"/>
      <c r="R27" s="5"/>
      <c r="S27" s="5"/>
      <c r="T27" s="116"/>
    </row>
    <row r="28">
      <c r="A28" s="103">
        <v>45196</v>
      </c>
      <c r="B28" s="14">
        <v>200</v>
      </c>
      <c r="C28" s="14">
        <v>1110</v>
      </c>
      <c r="D28" s="14">
        <v>1200</v>
      </c>
      <c r="E28" s="14"/>
      <c r="F28" s="14"/>
      <c r="G28" s="14"/>
      <c r="H28" s="14"/>
      <c r="I28" s="14"/>
      <c r="J28" s="14"/>
      <c r="K28" s="14"/>
      <c r="L28" s="14"/>
      <c r="M28" s="14"/>
      <c r="N28" s="14"/>
      <c r="O28" s="14"/>
      <c r="P28" s="14"/>
      <c r="Q28" s="14"/>
      <c r="R28" s="14"/>
      <c r="S28" s="14"/>
      <c r="T28" s="116"/>
    </row>
    <row r="29">
      <c r="A29" s="103">
        <v>45197</v>
      </c>
      <c r="B29" s="5">
        <v>200</v>
      </c>
      <c r="C29" s="5">
        <v>1210</v>
      </c>
      <c r="D29" s="5">
        <v>891</v>
      </c>
      <c r="E29" s="5"/>
      <c r="F29" s="5"/>
      <c r="G29" s="5"/>
      <c r="H29" s="5"/>
      <c r="I29" s="5"/>
      <c r="J29" s="5"/>
      <c r="K29" s="5"/>
      <c r="L29" s="5"/>
      <c r="M29" s="5"/>
      <c r="N29" s="5"/>
      <c r="O29" s="5"/>
      <c r="P29" s="5"/>
      <c r="Q29" s="5"/>
      <c r="R29" s="5"/>
      <c r="S29" s="5"/>
      <c r="T29" s="116"/>
    </row>
    <row r="30">
      <c r="A30" s="103">
        <v>45198</v>
      </c>
      <c r="B30" s="22">
        <v>200</v>
      </c>
      <c r="C30" s="22"/>
      <c r="D30" s="22">
        <v>1544</v>
      </c>
      <c r="E30" s="22"/>
      <c r="F30" s="22"/>
      <c r="G30" s="22"/>
      <c r="H30" s="22"/>
      <c r="I30" s="22"/>
      <c r="J30" s="22"/>
      <c r="K30" s="22"/>
      <c r="L30" s="22"/>
      <c r="M30" s="22"/>
      <c r="N30" s="22"/>
      <c r="O30" s="22"/>
      <c r="P30" s="22"/>
      <c r="Q30" s="22"/>
      <c r="R30" s="22"/>
      <c r="S30" s="22"/>
      <c r="T30" s="116"/>
    </row>
    <row r="31">
      <c r="A31" s="103">
        <v>45199</v>
      </c>
      <c r="B31" s="5">
        <v>100</v>
      </c>
      <c r="C31" s="5"/>
      <c r="D31" s="5">
        <v>818</v>
      </c>
      <c r="E31" s="5"/>
      <c r="F31" s="5"/>
      <c r="G31" s="5"/>
      <c r="H31" s="5"/>
      <c r="I31" s="5"/>
      <c r="J31" s="5"/>
      <c r="K31" s="5"/>
      <c r="L31" s="5"/>
      <c r="M31" s="5"/>
      <c r="N31" s="5">
        <v>3000</v>
      </c>
      <c r="O31" s="5"/>
      <c r="P31" s="5"/>
      <c r="Q31" s="5"/>
      <c r="R31" s="5"/>
      <c r="S31" s="5"/>
      <c r="T31" s="116"/>
    </row>
    <row r="32">
      <c r="A32" s="103"/>
      <c r="B32" s="22"/>
      <c r="C32" s="22"/>
      <c r="D32" s="22"/>
      <c r="E32" s="22"/>
      <c r="F32" s="22"/>
      <c r="G32" s="22"/>
      <c r="H32" s="22"/>
      <c r="I32" s="22"/>
      <c r="J32" s="22"/>
      <c r="K32" s="22"/>
      <c r="L32" s="22"/>
      <c r="M32" s="22"/>
      <c r="N32" s="22"/>
      <c r="O32" s="22"/>
      <c r="P32" s="22"/>
      <c r="Q32" s="22"/>
      <c r="R32" s="22"/>
      <c r="S32" s="22"/>
      <c r="T32" s="116"/>
    </row>
    <row r="33">
      <c r="A33" s="113" t="s">
        <v>87</v>
      </c>
      <c r="B33" s="113">
        <f>SUM(B2:B32)</f>
        <v>3800.5326</v>
      </c>
      <c r="C33" s="113">
        <f>SUM(C2:C32)</f>
        <v>31107.309999999998</v>
      </c>
      <c r="D33" s="113">
        <f>SUM(D2:D32)</f>
        <v>13966</v>
      </c>
      <c r="E33" s="113">
        <f>SUM(E2:E32)</f>
        <v>5583</v>
      </c>
      <c r="F33" s="113">
        <f>SUM(F2:F32)</f>
        <v>37668</v>
      </c>
      <c r="G33" s="113">
        <f>SUM(G2:G32)</f>
        <v>302.21999999999997</v>
      </c>
      <c r="H33" s="113">
        <f>SUM(H2:H32)</f>
        <v>0</v>
      </c>
      <c r="I33" s="113">
        <f>SUM(I2:I32)</f>
        <v>0</v>
      </c>
      <c r="J33" s="113">
        <f>SUM(J2:J32)</f>
        <v>300</v>
      </c>
      <c r="K33" s="113">
        <f>SUM(K2:K32)</f>
        <v>10710</v>
      </c>
      <c r="L33" s="113">
        <f>SUM(L2:L32)</f>
        <v>106402.5</v>
      </c>
      <c r="M33" s="113">
        <f>SUM(M2:M32)</f>
        <v>0</v>
      </c>
      <c r="N33" s="113">
        <f>SUM(N2:N32)</f>
        <v>3000</v>
      </c>
      <c r="O33" s="113">
        <f>SUM(O2:O32)</f>
        <v>0</v>
      </c>
      <c r="P33" s="113">
        <f>SUM(P2:P32)</f>
        <v>0</v>
      </c>
      <c r="Q33" s="113">
        <f>SUM(Q2:Q32)</f>
        <v>0</v>
      </c>
      <c r="R33" s="113">
        <f>SUM(R2:R32)</f>
        <v>0</v>
      </c>
      <c r="S33" s="113">
        <f>SUM(B33:R33)+SUM(S2:S32)</f>
        <v>212839.5626</v>
      </c>
      <c r="T33" s="124" t="s">
        <v>88</v>
      </c>
    </row>
    <row r="34">
      <c r="A34" s="108" t="s">
        <v>89</v>
      </c>
      <c r="B34" s="110">
        <f>B33/'Сводная таблица'!B67</f>
        <v>867.70150684931514</v>
      </c>
      <c r="C34" s="110">
        <f>C33/'Сводная таблица'!B67</f>
        <v>7102.1255707762557</v>
      </c>
      <c r="D34" s="110">
        <f>D33/'Сводная таблица'!B67</f>
        <v>3188.5844748858449</v>
      </c>
      <c r="E34" s="110">
        <f>E33/'Сводная таблица'!B67</f>
        <v>1274.6575342465753</v>
      </c>
      <c r="F34" s="110">
        <f>F33/'Сводная таблица'!B67</f>
        <v>8600</v>
      </c>
      <c r="G34" s="110">
        <f>G33/'Сводная таблица'!B67</f>
        <v>69</v>
      </c>
      <c r="H34" s="110">
        <f>H33/'Сводная таблица'!B67</f>
        <v>0</v>
      </c>
      <c r="I34" s="110">
        <f>I33/'Сводная таблица'!B67</f>
        <v>0</v>
      </c>
      <c r="J34" s="110">
        <f>J33/'Сводная таблица'!B67</f>
        <v>68.493150684931507</v>
      </c>
      <c r="K34" s="110">
        <f>K33/'Сводная таблица'!B67</f>
        <v>2445.205479452055</v>
      </c>
      <c r="L34" s="110">
        <f>L33/'Сводная таблица'!B67</f>
        <v>24292.808219178081</v>
      </c>
      <c r="M34" s="110">
        <f>M33/'Сводная таблица'!B67</f>
        <v>0</v>
      </c>
      <c r="N34" s="110">
        <f>N33/'Сводная таблица'!B67</f>
        <v>684.93150684931504</v>
      </c>
      <c r="O34" s="110">
        <f>O33/'Сводная таблица'!B67</f>
        <v>0</v>
      </c>
      <c r="P34" s="110">
        <f>P33/'Сводная таблица'!B67</f>
        <v>0</v>
      </c>
      <c r="Q34" s="110">
        <f>Q33/'Сводная таблица'!B67</f>
        <v>0</v>
      </c>
      <c r="R34" s="110">
        <f>R33/'Сводная таблица'!B67</f>
        <v>0</v>
      </c>
      <c r="S34" s="120">
        <f>S33/'Сводная таблица'!B84</f>
        <v>48593.507442922375</v>
      </c>
      <c r="T34" s="125" t="s">
        <v>90</v>
      </c>
    </row>
    <row r="35">
      <c r="A35" s="121" t="s">
        <v>0</v>
      </c>
      <c r="B35" s="121" t="s">
        <v>50</v>
      </c>
      <c r="C35" s="121" t="s">
        <v>13</v>
      </c>
      <c r="D35" s="121" t="s">
        <v>11</v>
      </c>
      <c r="E35" s="121" t="s">
        <v>51</v>
      </c>
      <c r="F35" s="121" t="s">
        <v>52</v>
      </c>
      <c r="G35" s="121"/>
      <c r="H35" s="121" t="s">
        <v>54</v>
      </c>
      <c r="I35" s="121" t="s">
        <v>55</v>
      </c>
      <c r="J35" s="121" t="s">
        <v>61</v>
      </c>
      <c r="K35" s="121" t="s">
        <v>74</v>
      </c>
      <c r="L35" s="122"/>
      <c r="M35" s="122"/>
      <c r="N35" s="122"/>
      <c r="O35" s="122"/>
      <c r="P35" s="122"/>
      <c r="Q35" s="122"/>
      <c r="R35" s="122"/>
      <c r="S35" s="122"/>
      <c r="T35" s="116"/>
    </row>
    <row r="36">
      <c r="A36" s="103">
        <v>45170</v>
      </c>
      <c r="B36" s="14"/>
      <c r="C36" s="14"/>
      <c r="D36" s="14"/>
      <c r="E36" s="14"/>
      <c r="F36" s="14">
        <v>2000</v>
      </c>
      <c r="G36" s="14"/>
      <c r="H36" s="14"/>
      <c r="I36" s="14"/>
      <c r="J36" s="22"/>
      <c r="K36" s="22"/>
      <c r="L36" s="22"/>
      <c r="M36" s="22"/>
      <c r="N36" s="22"/>
      <c r="O36" s="22"/>
      <c r="P36" s="22"/>
      <c r="Q36" s="22"/>
      <c r="R36" s="22"/>
      <c r="S36" s="22"/>
      <c r="T36" s="116"/>
    </row>
    <row r="37">
      <c r="A37" s="103">
        <v>45171</v>
      </c>
      <c r="B37" s="5"/>
      <c r="C37" s="5"/>
      <c r="D37" s="5"/>
      <c r="E37" s="5"/>
      <c r="F37" s="5"/>
      <c r="G37" s="5"/>
      <c r="H37" s="5"/>
      <c r="I37" s="5"/>
      <c r="J37" s="5"/>
      <c r="K37" s="5"/>
      <c r="L37" s="5"/>
      <c r="M37" s="5"/>
      <c r="N37" s="5"/>
      <c r="O37" s="5"/>
      <c r="P37" s="5"/>
      <c r="Q37" s="5"/>
      <c r="R37" s="5"/>
      <c r="S37" s="5"/>
      <c r="T37" s="116"/>
    </row>
    <row r="38">
      <c r="A38" s="103">
        <v>45172</v>
      </c>
      <c r="B38" s="14"/>
      <c r="C38" s="14"/>
      <c r="D38" s="14"/>
      <c r="E38" s="14"/>
      <c r="F38" s="14"/>
      <c r="G38" s="14"/>
      <c r="H38" s="14"/>
      <c r="I38" s="14"/>
      <c r="J38" s="22"/>
      <c r="K38" s="22"/>
      <c r="L38" s="22"/>
      <c r="M38" s="22"/>
      <c r="N38" s="22"/>
      <c r="O38" s="22"/>
      <c r="P38" s="22"/>
      <c r="Q38" s="22"/>
      <c r="R38" s="22"/>
      <c r="S38" s="22"/>
      <c r="T38" s="116"/>
    </row>
    <row r="39">
      <c r="A39" s="103">
        <v>45173</v>
      </c>
      <c r="B39" s="5"/>
      <c r="C39" s="5"/>
      <c r="D39" s="5"/>
      <c r="E39" s="71"/>
      <c r="F39" s="5"/>
      <c r="G39" s="5"/>
      <c r="H39" s="5"/>
      <c r="I39" s="5">
        <f>(123-99)*'Сводная таблица'!B84</f>
        <v>105.12</v>
      </c>
      <c r="J39" s="5"/>
      <c r="K39" s="5"/>
      <c r="L39" s="5"/>
      <c r="M39" s="5"/>
      <c r="N39" s="5"/>
      <c r="O39" s="5"/>
      <c r="P39" s="5"/>
      <c r="Q39" s="5"/>
      <c r="R39" s="5"/>
      <c r="S39" s="5"/>
      <c r="T39" s="116"/>
    </row>
    <row r="40">
      <c r="A40" s="103">
        <v>45174</v>
      </c>
      <c r="B40" s="14">
        <v>141305</v>
      </c>
      <c r="C40" s="14"/>
      <c r="D40" s="14"/>
      <c r="E40" s="14"/>
      <c r="F40" s="14"/>
      <c r="G40" s="14"/>
      <c r="H40" s="14"/>
      <c r="I40" s="14"/>
      <c r="J40" s="14"/>
      <c r="K40" s="14"/>
      <c r="L40" s="14"/>
      <c r="M40" s="14"/>
      <c r="N40" s="14"/>
      <c r="O40" s="14"/>
      <c r="P40" s="14"/>
      <c r="Q40" s="14"/>
      <c r="R40" s="14"/>
      <c r="S40" s="14"/>
      <c r="T40" s="116"/>
    </row>
    <row r="41">
      <c r="A41" s="103">
        <v>45175</v>
      </c>
      <c r="B41" s="5"/>
      <c r="C41" s="5"/>
      <c r="D41" s="5"/>
      <c r="E41" s="5"/>
      <c r="F41" s="5"/>
      <c r="G41" s="5"/>
      <c r="H41" s="5"/>
      <c r="I41" s="5"/>
      <c r="J41" s="5"/>
      <c r="K41" s="5"/>
      <c r="L41" s="5"/>
      <c r="M41" s="5"/>
      <c r="N41" s="5"/>
      <c r="O41" s="5"/>
      <c r="P41" s="5"/>
      <c r="Q41" s="5"/>
      <c r="R41" s="5"/>
      <c r="S41" s="5"/>
      <c r="T41" s="116"/>
    </row>
    <row r="42">
      <c r="A42" s="103">
        <v>45176</v>
      </c>
      <c r="B42" s="14"/>
      <c r="C42" s="14"/>
      <c r="D42" s="14"/>
      <c r="E42" s="14"/>
      <c r="F42" s="14"/>
      <c r="G42" s="14"/>
      <c r="H42" s="14"/>
      <c r="I42" s="14"/>
      <c r="J42" s="14"/>
      <c r="K42" s="14"/>
      <c r="L42" s="14"/>
      <c r="M42" s="14"/>
      <c r="N42" s="14"/>
      <c r="O42" s="14"/>
      <c r="P42" s="14"/>
      <c r="Q42" s="14"/>
      <c r="R42" s="14"/>
      <c r="S42" s="14"/>
      <c r="T42" s="116"/>
    </row>
    <row r="43">
      <c r="A43" s="103">
        <v>45177</v>
      </c>
      <c r="B43" s="5"/>
      <c r="C43" s="5"/>
      <c r="D43" s="5"/>
      <c r="E43" s="5"/>
      <c r="F43" s="5"/>
      <c r="G43" s="5"/>
      <c r="H43" s="5"/>
      <c r="I43" s="5"/>
      <c r="J43" s="5"/>
      <c r="K43" s="5"/>
      <c r="L43" s="5"/>
      <c r="M43" s="5"/>
      <c r="N43" s="5"/>
      <c r="O43" s="5"/>
      <c r="P43" s="5"/>
      <c r="Q43" s="5"/>
      <c r="R43" s="5"/>
      <c r="S43" s="5"/>
      <c r="T43" s="116"/>
    </row>
    <row r="44">
      <c r="A44" s="103">
        <v>45178</v>
      </c>
      <c r="B44" s="79"/>
      <c r="C44" s="14"/>
      <c r="D44" s="14"/>
      <c r="E44" s="14"/>
      <c r="F44" s="14"/>
      <c r="G44" s="14"/>
      <c r="H44" s="14"/>
      <c r="I44" s="14"/>
      <c r="J44" s="14"/>
      <c r="K44" s="14"/>
      <c r="L44" s="14"/>
      <c r="M44" s="14"/>
      <c r="N44" s="14"/>
      <c r="O44" s="14"/>
      <c r="P44" s="14"/>
      <c r="Q44" s="14"/>
      <c r="R44" s="14"/>
      <c r="S44" s="14"/>
      <c r="T44" s="116"/>
    </row>
    <row r="45">
      <c r="A45" s="103">
        <v>45179</v>
      </c>
      <c r="B45" s="5"/>
      <c r="C45" s="5"/>
      <c r="D45" s="5"/>
      <c r="E45" s="5"/>
      <c r="F45" s="5"/>
      <c r="G45" s="5"/>
      <c r="H45" s="5"/>
      <c r="I45" s="5"/>
      <c r="J45" s="5"/>
      <c r="K45" s="5"/>
      <c r="L45" s="5"/>
      <c r="M45" s="5"/>
      <c r="N45" s="5"/>
      <c r="O45" s="5"/>
      <c r="P45" s="5"/>
      <c r="Q45" s="5"/>
      <c r="R45" s="5"/>
      <c r="S45" s="5"/>
      <c r="T45" s="116"/>
    </row>
    <row r="46">
      <c r="A46" s="103">
        <v>45180</v>
      </c>
      <c r="B46" s="14"/>
      <c r="C46" s="14"/>
      <c r="D46" s="14"/>
      <c r="E46" s="14"/>
      <c r="F46" s="14"/>
      <c r="G46" s="14"/>
      <c r="H46" s="14"/>
      <c r="I46" s="14"/>
      <c r="J46" s="14"/>
      <c r="K46" s="14"/>
      <c r="L46" s="14"/>
      <c r="M46" s="14"/>
      <c r="N46" s="14"/>
      <c r="O46" s="14"/>
      <c r="P46" s="14"/>
      <c r="Q46" s="14"/>
      <c r="R46" s="14"/>
      <c r="S46" s="14"/>
      <c r="T46" s="116"/>
    </row>
    <row r="47">
      <c r="A47" s="103">
        <v>45181</v>
      </c>
      <c r="B47" s="5"/>
      <c r="C47" s="5"/>
      <c r="D47" s="5"/>
      <c r="E47" s="5"/>
      <c r="F47" s="5"/>
      <c r="G47" s="5"/>
      <c r="H47" s="5"/>
      <c r="I47" s="5"/>
      <c r="J47" s="5"/>
      <c r="K47" s="5"/>
      <c r="L47" s="5"/>
      <c r="M47" s="5"/>
      <c r="N47" s="5"/>
      <c r="O47" s="5"/>
      <c r="P47" s="5"/>
      <c r="Q47" s="5"/>
      <c r="R47" s="5"/>
      <c r="S47" s="5"/>
      <c r="T47" s="116"/>
    </row>
    <row r="48">
      <c r="A48" s="103">
        <v>45182</v>
      </c>
      <c r="B48" s="14"/>
      <c r="C48" s="14"/>
      <c r="D48" s="14"/>
      <c r="E48" s="14"/>
      <c r="F48" s="14"/>
      <c r="G48" s="14"/>
      <c r="H48" s="14"/>
      <c r="I48" s="14"/>
      <c r="J48" s="14"/>
      <c r="K48" s="14"/>
      <c r="L48" s="14"/>
      <c r="M48" s="14"/>
      <c r="N48" s="14"/>
      <c r="O48" s="14"/>
      <c r="P48" s="14"/>
      <c r="Q48" s="14"/>
      <c r="R48" s="14"/>
      <c r="S48" s="14"/>
      <c r="T48" s="116"/>
    </row>
    <row r="49">
      <c r="A49" s="103">
        <v>45183</v>
      </c>
      <c r="B49" s="5"/>
      <c r="C49" s="5"/>
      <c r="D49" s="5"/>
      <c r="E49" s="5"/>
      <c r="F49" s="5"/>
      <c r="G49" s="5"/>
      <c r="H49" s="5"/>
      <c r="I49" s="5"/>
      <c r="J49" s="5"/>
      <c r="K49" s="5"/>
      <c r="L49" s="5"/>
      <c r="M49" s="5"/>
      <c r="N49" s="5"/>
      <c r="O49" s="5"/>
      <c r="P49" s="5"/>
      <c r="Q49" s="5"/>
      <c r="R49" s="5"/>
      <c r="S49" s="5"/>
      <c r="T49" s="116"/>
    </row>
    <row r="50">
      <c r="A50" s="103">
        <v>45184</v>
      </c>
      <c r="B50" s="14"/>
      <c r="C50" s="14"/>
      <c r="D50" s="14"/>
      <c r="E50" s="14"/>
      <c r="F50" s="14"/>
      <c r="G50" s="14"/>
      <c r="H50" s="14"/>
      <c r="I50" s="14"/>
      <c r="J50" s="14"/>
      <c r="K50" s="14"/>
      <c r="L50" s="14"/>
      <c r="M50" s="14"/>
      <c r="N50" s="14"/>
      <c r="O50" s="14"/>
      <c r="P50" s="14"/>
      <c r="Q50" s="14"/>
      <c r="R50" s="14"/>
      <c r="S50" s="14"/>
      <c r="T50" s="116"/>
    </row>
    <row r="51">
      <c r="A51" s="103">
        <v>45185</v>
      </c>
      <c r="B51" s="5"/>
      <c r="C51" s="5"/>
      <c r="D51" s="5"/>
      <c r="E51" s="5"/>
      <c r="F51" s="5"/>
      <c r="G51" s="5"/>
      <c r="H51" s="5"/>
      <c r="I51" s="5"/>
      <c r="J51" s="5"/>
      <c r="K51" s="5"/>
      <c r="L51" s="5"/>
      <c r="M51" s="5"/>
      <c r="N51" s="5"/>
      <c r="O51" s="5"/>
      <c r="P51" s="5"/>
      <c r="Q51" s="5"/>
      <c r="R51" s="5"/>
      <c r="S51" s="5"/>
      <c r="T51" s="116"/>
    </row>
    <row r="52">
      <c r="A52" s="103">
        <v>45186</v>
      </c>
      <c r="B52" s="14"/>
      <c r="C52" s="14"/>
      <c r="D52" s="14"/>
      <c r="E52" s="14"/>
      <c r="F52" s="14"/>
      <c r="G52" s="14"/>
      <c r="H52" s="14"/>
      <c r="I52" s="14"/>
      <c r="J52" s="14"/>
      <c r="K52" s="14"/>
      <c r="L52" s="14"/>
      <c r="M52" s="14"/>
      <c r="N52" s="14"/>
      <c r="O52" s="14"/>
      <c r="P52" s="14"/>
      <c r="Q52" s="14"/>
      <c r="R52" s="14"/>
      <c r="S52" s="14"/>
      <c r="T52" s="116"/>
    </row>
    <row r="53">
      <c r="A53" s="103">
        <v>45187</v>
      </c>
      <c r="B53" s="5"/>
      <c r="C53" s="5"/>
      <c r="D53" s="5"/>
      <c r="E53" s="5"/>
      <c r="F53" s="5"/>
      <c r="G53" s="5"/>
      <c r="H53" s="5"/>
      <c r="I53" s="5"/>
      <c r="J53" s="5"/>
      <c r="K53" s="5"/>
      <c r="L53" s="5"/>
      <c r="M53" s="5"/>
      <c r="N53" s="5"/>
      <c r="O53" s="5"/>
      <c r="P53" s="5"/>
      <c r="Q53" s="5"/>
      <c r="R53" s="5"/>
      <c r="S53" s="5"/>
      <c r="T53" s="116"/>
    </row>
    <row r="54">
      <c r="A54" s="103">
        <v>45188</v>
      </c>
      <c r="B54" s="14"/>
      <c r="C54" s="14"/>
      <c r="D54" s="14"/>
      <c r="E54" s="14"/>
      <c r="F54" s="14"/>
      <c r="G54" s="14"/>
      <c r="H54" s="14"/>
      <c r="I54" s="14"/>
      <c r="J54" s="14"/>
      <c r="K54" s="14"/>
      <c r="L54" s="14"/>
      <c r="M54" s="14"/>
      <c r="N54" s="14"/>
      <c r="O54" s="14"/>
      <c r="P54" s="14"/>
      <c r="Q54" s="14"/>
      <c r="R54" s="14"/>
      <c r="S54" s="14"/>
      <c r="T54" s="116"/>
    </row>
    <row r="55">
      <c r="A55" s="103">
        <v>45189</v>
      </c>
      <c r="B55" s="5">
        <v>250000</v>
      </c>
      <c r="C55" s="5"/>
      <c r="D55" s="5"/>
      <c r="E55" s="5"/>
      <c r="F55" s="5"/>
      <c r="G55" s="5"/>
      <c r="H55" s="5"/>
      <c r="I55" s="5"/>
      <c r="J55" s="5"/>
      <c r="K55" s="5"/>
      <c r="L55" s="5"/>
      <c r="M55" s="5"/>
      <c r="N55" s="5"/>
      <c r="O55" s="5"/>
      <c r="P55" s="5"/>
      <c r="Q55" s="5"/>
      <c r="R55" s="5"/>
      <c r="S55" s="5"/>
      <c r="T55" s="116"/>
    </row>
    <row r="56">
      <c r="A56" s="103">
        <v>45190</v>
      </c>
      <c r="B56" s="14"/>
      <c r="C56" s="14"/>
      <c r="D56" s="14"/>
      <c r="E56" s="14"/>
      <c r="F56" s="14"/>
      <c r="G56" s="14"/>
      <c r="H56" s="14"/>
      <c r="I56" s="14"/>
      <c r="J56" s="14"/>
      <c r="K56" s="14"/>
      <c r="L56" s="14"/>
      <c r="M56" s="14"/>
      <c r="N56" s="14"/>
      <c r="O56" s="14"/>
      <c r="P56" s="14"/>
      <c r="Q56" s="14"/>
      <c r="R56" s="14"/>
      <c r="S56" s="14"/>
      <c r="T56" s="116"/>
    </row>
    <row r="57">
      <c r="A57" s="103">
        <v>45191</v>
      </c>
      <c r="B57" s="5"/>
      <c r="C57" s="5"/>
      <c r="D57" s="5"/>
      <c r="E57" s="5"/>
      <c r="F57" s="5"/>
      <c r="G57" s="5"/>
      <c r="H57" s="5"/>
      <c r="I57" s="5"/>
      <c r="J57" s="5"/>
      <c r="K57" s="5"/>
      <c r="L57" s="5"/>
      <c r="M57" s="5"/>
      <c r="N57" s="5"/>
      <c r="O57" s="5"/>
      <c r="P57" s="5"/>
      <c r="Q57" s="5"/>
      <c r="R57" s="5"/>
      <c r="S57" s="5"/>
      <c r="T57" s="116"/>
    </row>
    <row r="58">
      <c r="A58" s="103">
        <v>45192</v>
      </c>
      <c r="B58" s="14"/>
      <c r="C58" s="14"/>
      <c r="D58" s="14"/>
      <c r="E58" s="14"/>
      <c r="F58" s="14"/>
      <c r="G58" s="14"/>
      <c r="H58" s="14"/>
      <c r="I58" s="14"/>
      <c r="J58" s="14"/>
      <c r="K58" s="14"/>
      <c r="L58" s="14"/>
      <c r="M58" s="14"/>
      <c r="N58" s="14"/>
      <c r="O58" s="14"/>
      <c r="P58" s="14"/>
      <c r="Q58" s="14"/>
      <c r="R58" s="14"/>
      <c r="S58" s="14"/>
      <c r="T58" s="116"/>
    </row>
    <row r="59">
      <c r="A59" s="103">
        <v>45193</v>
      </c>
      <c r="B59" s="5"/>
      <c r="C59" s="5"/>
      <c r="D59" s="5"/>
      <c r="E59" s="5"/>
      <c r="F59" s="5"/>
      <c r="G59" s="5"/>
      <c r="H59" s="5"/>
      <c r="I59" s="5"/>
      <c r="J59" s="5"/>
      <c r="K59" s="5"/>
      <c r="L59" s="5"/>
      <c r="M59" s="5"/>
      <c r="N59" s="5"/>
      <c r="O59" s="5"/>
      <c r="P59" s="5"/>
      <c r="Q59" s="5"/>
      <c r="R59" s="5"/>
      <c r="S59" s="5"/>
      <c r="T59" s="116"/>
    </row>
    <row r="60">
      <c r="A60" s="103">
        <v>45194</v>
      </c>
      <c r="B60" s="14"/>
      <c r="C60" s="14"/>
      <c r="D60" s="14"/>
      <c r="E60" s="14"/>
      <c r="F60" s="14"/>
      <c r="G60" s="14"/>
      <c r="H60" s="14"/>
      <c r="I60" s="14"/>
      <c r="J60" s="14"/>
      <c r="K60" s="14"/>
      <c r="L60" s="14"/>
      <c r="M60" s="14"/>
      <c r="N60" s="14"/>
      <c r="O60" s="14"/>
      <c r="P60" s="14"/>
      <c r="Q60" s="14"/>
      <c r="R60" s="14"/>
      <c r="S60" s="14"/>
      <c r="T60" s="116"/>
    </row>
    <row r="61">
      <c r="A61" s="103">
        <v>45195</v>
      </c>
      <c r="B61" s="5"/>
      <c r="C61" s="5"/>
      <c r="D61" s="5"/>
      <c r="E61" s="5"/>
      <c r="F61" s="5"/>
      <c r="G61" s="5"/>
      <c r="H61" s="5"/>
      <c r="I61" s="5"/>
      <c r="J61" s="5"/>
      <c r="K61" s="5"/>
      <c r="L61" s="5"/>
      <c r="M61" s="5"/>
      <c r="N61" s="5"/>
      <c r="O61" s="5"/>
      <c r="P61" s="5"/>
      <c r="Q61" s="5"/>
      <c r="R61" s="5"/>
      <c r="S61" s="5"/>
      <c r="T61" s="116"/>
    </row>
    <row r="62">
      <c r="A62" s="103">
        <v>45196</v>
      </c>
      <c r="B62" s="14"/>
      <c r="C62" s="14"/>
      <c r="D62" s="14"/>
      <c r="E62" s="14"/>
      <c r="F62" s="14"/>
      <c r="G62" s="14"/>
      <c r="H62" s="14"/>
      <c r="I62" s="14"/>
      <c r="J62" s="14"/>
      <c r="K62" s="14"/>
      <c r="L62" s="14"/>
      <c r="M62" s="14"/>
      <c r="N62" s="14"/>
      <c r="O62" s="14"/>
      <c r="P62" s="14"/>
      <c r="Q62" s="14"/>
      <c r="R62" s="14"/>
      <c r="S62" s="14"/>
      <c r="T62" s="116"/>
    </row>
    <row r="63">
      <c r="A63" s="103">
        <v>45197</v>
      </c>
      <c r="B63" s="5"/>
      <c r="C63" s="5"/>
      <c r="D63" s="5"/>
      <c r="E63" s="5"/>
      <c r="F63" s="5"/>
      <c r="G63" s="5"/>
      <c r="H63" s="5"/>
      <c r="I63" s="5"/>
      <c r="J63" s="5"/>
      <c r="K63" s="5"/>
      <c r="L63" s="5"/>
      <c r="M63" s="5"/>
      <c r="N63" s="5"/>
      <c r="O63" s="5"/>
      <c r="P63" s="5"/>
      <c r="Q63" s="5"/>
      <c r="R63" s="48"/>
      <c r="S63" s="5"/>
      <c r="T63" s="116"/>
    </row>
    <row r="64">
      <c r="A64" s="103">
        <v>45198</v>
      </c>
      <c r="B64" s="22"/>
      <c r="C64" s="22"/>
      <c r="D64" s="22"/>
      <c r="E64" s="22"/>
      <c r="F64" s="22"/>
      <c r="G64" s="22"/>
      <c r="H64" s="22"/>
      <c r="I64" s="22"/>
      <c r="J64" s="14"/>
      <c r="K64" s="14"/>
      <c r="L64" s="14"/>
      <c r="M64" s="14"/>
      <c r="N64" s="14"/>
      <c r="O64" s="14"/>
      <c r="P64" s="14"/>
      <c r="Q64" s="14"/>
      <c r="R64" s="80"/>
      <c r="S64" s="14"/>
      <c r="T64" s="116"/>
    </row>
    <row r="65">
      <c r="A65" s="103">
        <v>45199</v>
      </c>
      <c r="B65" s="5"/>
      <c r="C65" s="5"/>
      <c r="D65" s="5"/>
      <c r="E65" s="5">
        <f>(1137.41*'Сводная таблица'!B84)+(6929.2-692.9)</f>
        <v>11218.1558</v>
      </c>
      <c r="F65" s="5"/>
      <c r="G65" s="5"/>
      <c r="H65" s="5"/>
      <c r="I65" s="5"/>
      <c r="J65" s="5"/>
      <c r="K65" s="5"/>
      <c r="L65" s="5"/>
      <c r="M65" s="5"/>
      <c r="N65" s="5"/>
      <c r="O65" s="5"/>
      <c r="P65" s="5"/>
      <c r="Q65" s="5"/>
      <c r="R65" s="48"/>
      <c r="S65" s="5"/>
      <c r="T65" s="116"/>
    </row>
    <row r="66">
      <c r="A66" s="103"/>
      <c r="B66" s="22"/>
      <c r="C66" s="22"/>
      <c r="D66" s="22"/>
      <c r="E66" s="22"/>
      <c r="F66" s="22"/>
      <c r="G66" s="22"/>
      <c r="H66" s="22"/>
      <c r="I66" s="22"/>
      <c r="J66" s="14"/>
      <c r="K66" s="14"/>
      <c r="L66" s="14"/>
      <c r="M66" s="14"/>
      <c r="N66" s="14"/>
      <c r="O66" s="14"/>
      <c r="P66" s="14"/>
      <c r="Q66" s="14"/>
      <c r="R66" s="80"/>
      <c r="S66" s="14"/>
      <c r="T66" s="116"/>
    </row>
    <row r="67">
      <c r="A67" s="113" t="s">
        <v>87</v>
      </c>
      <c r="B67" s="113">
        <f>SUM(B36:B66)</f>
        <v>391305</v>
      </c>
      <c r="C67" s="113">
        <f>SUM(C36:C66)</f>
        <v>0</v>
      </c>
      <c r="D67" s="113">
        <f>SUM(D36:D66)</f>
        <v>0</v>
      </c>
      <c r="E67" s="113">
        <f>SUM(E36:E66)</f>
        <v>11218.1558</v>
      </c>
      <c r="F67" s="113">
        <f>SUM(F36:F66)</f>
        <v>2000</v>
      </c>
      <c r="G67" s="113">
        <f>SUM(G36:G66)</f>
        <v>0</v>
      </c>
      <c r="H67" s="113">
        <f>SUM(H36:H66)</f>
        <v>0</v>
      </c>
      <c r="I67" s="113">
        <f>SUM(I36:I66)</f>
        <v>105.12</v>
      </c>
      <c r="J67" s="113">
        <f>SUM(J36:J66)</f>
        <v>0</v>
      </c>
      <c r="K67" s="113">
        <f>SUM(K36:K66)</f>
        <v>0</v>
      </c>
      <c r="L67" s="113">
        <f>SUM(L36:L66)</f>
        <v>0</v>
      </c>
      <c r="M67" s="113">
        <f>SUM(M36:M66)</f>
        <v>0</v>
      </c>
      <c r="N67" s="113">
        <f>SUM(N36:N66)</f>
        <v>0</v>
      </c>
      <c r="O67" s="113">
        <f>SUM(O36:O66)</f>
        <v>0</v>
      </c>
      <c r="P67" s="113">
        <f>SUM(P36:P66)</f>
        <v>0</v>
      </c>
      <c r="Q67" s="113">
        <f>SUM(Q36:Q66)</f>
        <v>0</v>
      </c>
      <c r="R67" s="113">
        <f>SUM(R36:R66)</f>
        <v>0</v>
      </c>
      <c r="S67" s="113">
        <f>SUM(B67:R67)</f>
        <v>404628.2758</v>
      </c>
      <c r="T67" s="124" t="s">
        <v>88</v>
      </c>
    </row>
    <row r="68">
      <c r="A68" s="108" t="s">
        <v>89</v>
      </c>
      <c r="B68" s="110">
        <f>B67/'Сводная таблица'!B84</f>
        <v>89339.04109589041</v>
      </c>
      <c r="C68" s="110"/>
      <c r="D68" s="110">
        <f>D67/'Сводная таблица'!B84</f>
        <v>0</v>
      </c>
      <c r="E68" s="110">
        <f>E67/'Сводная таблица'!B67</f>
        <v>2561.2227853881282</v>
      </c>
      <c r="F68" s="110"/>
      <c r="G68" s="110"/>
      <c r="H68" s="110">
        <f>H67/'Сводная таблица'!B67</f>
        <v>0</v>
      </c>
      <c r="I68" s="110">
        <f>I67/'Сводная таблица'!B67</f>
        <v>24</v>
      </c>
      <c r="J68" s="110"/>
      <c r="K68" s="110"/>
      <c r="L68" s="110"/>
      <c r="M68" s="110"/>
      <c r="N68" s="110"/>
      <c r="O68" s="110"/>
      <c r="P68" s="110"/>
      <c r="Q68" s="110"/>
      <c r="R68" s="110"/>
      <c r="S68" s="110">
        <f>S67/'Сводная таблица'!B84</f>
        <v>92380.884885844745</v>
      </c>
      <c r="T68" s="125" t="s">
        <v>90</v>
      </c>
    </row>
    <row r="69">
      <c r="A69" s="123" t="s">
        <v>67</v>
      </c>
      <c r="B69" s="123"/>
      <c r="C69" s="123"/>
      <c r="D69" s="123"/>
      <c r="E69" s="123"/>
      <c r="F69" s="123"/>
      <c r="G69" s="123"/>
      <c r="H69" s="123"/>
      <c r="I69" s="123"/>
      <c r="J69" s="123"/>
      <c r="K69" s="123"/>
      <c r="L69" s="123"/>
      <c r="M69" s="123"/>
      <c r="N69" s="123"/>
      <c r="O69" s="123"/>
      <c r="P69" s="123"/>
      <c r="Q69" s="123"/>
      <c r="R69" s="123"/>
      <c r="S69" s="123"/>
      <c r="T69" s="116"/>
    </row>
    <row r="70">
      <c r="A70" s="5" t="s">
        <v>68</v>
      </c>
      <c r="B70" s="118">
        <f>21000-344+2039+(23000-23000)-344-344+8164.1-4600-3300+(3000-3000)+80000+2000+(5500-5500)+(5650-5100)+1000+300+300+11814.99+10000+10000+2000+18000+1500+8000</f>
        <v>167736.09000000003</v>
      </c>
      <c r="C70" s="5"/>
      <c r="D70" s="5"/>
      <c r="E70" s="5"/>
      <c r="F70" s="5"/>
      <c r="G70" s="5"/>
      <c r="H70" s="5"/>
      <c r="I70" s="5"/>
      <c r="J70" s="5"/>
      <c r="K70" s="5"/>
      <c r="L70" s="5"/>
      <c r="M70" s="5"/>
      <c r="N70" s="5"/>
      <c r="O70" s="5"/>
      <c r="P70" s="5"/>
      <c r="Q70" s="5"/>
      <c r="R70" s="5"/>
      <c r="S70" s="5"/>
      <c r="T70" s="116"/>
    </row>
    <row r="71">
      <c r="A71" s="5" t="s">
        <v>76</v>
      </c>
      <c r="B71" s="5">
        <f>3000+1000+1200+1300+1500</f>
        <v>8000</v>
      </c>
      <c r="C71" s="5"/>
      <c r="D71" s="5"/>
      <c r="E71" s="5"/>
      <c r="F71" s="5"/>
      <c r="G71" s="5"/>
      <c r="H71" s="5"/>
      <c r="I71" s="5"/>
      <c r="J71" s="5"/>
      <c r="K71" s="5"/>
      <c r="L71" s="5"/>
      <c r="M71" s="5"/>
      <c r="N71" s="5"/>
      <c r="O71" s="5"/>
      <c r="P71" s="5"/>
      <c r="Q71" s="5"/>
      <c r="R71" s="5"/>
      <c r="S71" s="5"/>
      <c r="T71" s="11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5" percent="1" timePeriod="today" id="{00810025-00B6-458C-917C-0061006000B0}">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4" percent="1" timePeriod="today" id="{004E0013-0021-426F-986D-006600DA0091}">
            <x14:dxf>
              <font>
                <color rgb="FF006100"/>
              </font>
              <fill>
                <patternFill patternType="solid">
                  <fgColor rgb="FFC6EFCE"/>
                  <bgColor rgb="FFC6EFCE"/>
                </patternFill>
              </fill>
            </x14:dxf>
          </x14:cfRule>
          <xm:sqref>A36 A37 A38 A39 A40 A41 A42 A43 A44 A45 A46 A47 A48 A49 A50 A51 A52 A53 A54 A55 A56 A57 A58 A59 A60 A61 A62 A63 A64 A65 A66</xm:sqref>
        </x14:conditionalFormatting>
        <x14:conditionalFormatting xmlns:xm="http://schemas.microsoft.com/office/excel/2006/main">
          <x14:cfRule type="timePeriod" priority="3" percent="1" timePeriod="today" id="{00CE00AB-0047-49EE-B9F5-00C000E30089}">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2" percent="1" timePeriod="today" id="{005B00C7-00E3-42AB-8EB5-002200A900A3}">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700051-00C9-40DF-9819-00A400280043}">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s>
    </ext>
  </extLst>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RowHeight="14.25"/>
  <cols>
    <col customWidth="1" min="1" max="1" width="11.42187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26"/>
    </row>
    <row r="2">
      <c r="A2" s="103">
        <v>45200</v>
      </c>
      <c r="B2" s="14">
        <v>0</v>
      </c>
      <c r="C2" s="14">
        <v>14192.200000000001</v>
      </c>
      <c r="D2" s="14"/>
      <c r="E2" s="14"/>
      <c r="F2" s="14"/>
      <c r="G2" s="14"/>
      <c r="H2" s="14"/>
      <c r="I2" s="14"/>
      <c r="J2" s="14"/>
      <c r="K2" s="14"/>
      <c r="L2" s="14"/>
      <c r="M2" s="14"/>
      <c r="N2" s="14"/>
      <c r="O2" s="14"/>
      <c r="P2" s="14"/>
      <c r="Q2" s="14"/>
      <c r="R2" s="14"/>
      <c r="S2" s="14"/>
      <c r="T2" s="126"/>
    </row>
    <row r="3">
      <c r="A3" s="103">
        <v>45201</v>
      </c>
      <c r="B3" s="5">
        <v>0</v>
      </c>
      <c r="C3" s="5"/>
      <c r="D3" s="5"/>
      <c r="E3" s="5"/>
      <c r="F3" s="5"/>
      <c r="G3" s="5"/>
      <c r="H3" s="5"/>
      <c r="I3" s="5"/>
      <c r="J3" s="5"/>
      <c r="K3" s="5"/>
      <c r="L3" s="5"/>
      <c r="M3" s="5"/>
      <c r="N3" s="5"/>
      <c r="O3" s="5"/>
      <c r="P3" s="5"/>
      <c r="Q3" s="5"/>
      <c r="R3" s="5"/>
      <c r="S3" s="5"/>
      <c r="T3" s="126"/>
    </row>
    <row r="4">
      <c r="A4" s="103">
        <v>45202</v>
      </c>
      <c r="B4" s="14">
        <v>0</v>
      </c>
      <c r="C4" s="14"/>
      <c r="D4" s="14"/>
      <c r="E4" s="14"/>
      <c r="F4" s="14"/>
      <c r="G4" s="14"/>
      <c r="H4" s="14"/>
      <c r="I4" s="14"/>
      <c r="J4" s="14"/>
      <c r="K4" s="14"/>
      <c r="L4" s="14"/>
      <c r="M4" s="14"/>
      <c r="N4" s="14"/>
      <c r="O4" s="14"/>
      <c r="P4" s="14"/>
      <c r="Q4" s="14"/>
      <c r="R4" s="14"/>
      <c r="S4" s="14"/>
      <c r="T4" s="126"/>
    </row>
    <row r="5">
      <c r="A5" s="103">
        <v>45203</v>
      </c>
      <c r="B5" s="5">
        <v>0</v>
      </c>
      <c r="C5" s="5">
        <v>480</v>
      </c>
      <c r="D5" s="5"/>
      <c r="E5" s="5"/>
      <c r="F5" s="5"/>
      <c r="G5" s="5"/>
      <c r="H5" s="5"/>
      <c r="I5" s="5"/>
      <c r="J5" s="5">
        <v>360</v>
      </c>
      <c r="K5" s="5"/>
      <c r="L5" s="5"/>
      <c r="M5" s="5"/>
      <c r="N5" s="5">
        <v>4131</v>
      </c>
      <c r="O5" s="5"/>
      <c r="P5" s="5"/>
      <c r="Q5" s="5"/>
      <c r="R5" s="5"/>
      <c r="S5" s="5"/>
      <c r="T5" s="126"/>
    </row>
    <row r="6">
      <c r="A6" s="103">
        <v>45204</v>
      </c>
      <c r="B6" s="14">
        <f>0</f>
        <v>0</v>
      </c>
      <c r="C6" s="14"/>
      <c r="D6" s="14"/>
      <c r="E6" s="14"/>
      <c r="F6" s="14">
        <f>5000*'Сводная таблица'!B84</f>
        <v>21900</v>
      </c>
      <c r="G6" s="14"/>
      <c r="H6" s="14"/>
      <c r="I6" s="14"/>
      <c r="J6" s="14"/>
      <c r="K6" s="14"/>
      <c r="L6" s="14"/>
      <c r="M6" s="14"/>
      <c r="N6" s="14"/>
      <c r="O6" s="14"/>
      <c r="P6" s="14"/>
      <c r="Q6" s="14"/>
      <c r="R6" s="14"/>
      <c r="S6" s="14"/>
      <c r="T6" s="126"/>
    </row>
    <row r="7">
      <c r="A7" s="103">
        <v>45205</v>
      </c>
      <c r="B7" s="5">
        <v>200</v>
      </c>
      <c r="C7" s="5"/>
      <c r="D7" s="5">
        <v>796</v>
      </c>
      <c r="E7" s="5"/>
      <c r="F7" s="5"/>
      <c r="G7" s="5"/>
      <c r="H7" s="5"/>
      <c r="I7" s="5"/>
      <c r="J7" s="5"/>
      <c r="K7" s="5"/>
      <c r="L7" s="5"/>
      <c r="M7" s="5"/>
      <c r="N7" s="5"/>
      <c r="O7" s="5"/>
      <c r="P7" s="5"/>
      <c r="Q7" s="5"/>
      <c r="R7" s="5"/>
      <c r="S7" s="5"/>
      <c r="T7" s="126"/>
    </row>
    <row r="8">
      <c r="A8" s="103">
        <v>45206</v>
      </c>
      <c r="B8" s="14">
        <v>200</v>
      </c>
      <c r="C8" s="14"/>
      <c r="D8" s="14">
        <v>1260</v>
      </c>
      <c r="E8" s="14"/>
      <c r="F8" s="14"/>
      <c r="G8" s="14"/>
      <c r="H8" s="14"/>
      <c r="I8" s="14"/>
      <c r="J8" s="14"/>
      <c r="K8" s="14"/>
      <c r="L8" s="14"/>
      <c r="M8" s="14"/>
      <c r="N8" s="14"/>
      <c r="O8" s="14"/>
      <c r="P8" s="14"/>
      <c r="Q8" s="14"/>
      <c r="R8" s="14"/>
      <c r="S8" s="14"/>
      <c r="T8" s="126"/>
    </row>
    <row r="9">
      <c r="A9" s="103">
        <v>45207</v>
      </c>
      <c r="B9" s="5">
        <v>100</v>
      </c>
      <c r="C9" s="5"/>
      <c r="D9" s="5">
        <v>2050</v>
      </c>
      <c r="E9" s="5"/>
      <c r="F9" s="5"/>
      <c r="G9" s="5"/>
      <c r="H9" s="5"/>
      <c r="I9" s="5"/>
      <c r="J9" s="5"/>
      <c r="K9" s="5"/>
      <c r="L9" s="5"/>
      <c r="M9" s="5"/>
      <c r="N9" s="5"/>
      <c r="O9" s="5"/>
      <c r="P9" s="5"/>
      <c r="Q9" s="5"/>
      <c r="R9" s="5"/>
      <c r="S9" s="5"/>
      <c r="T9" s="126"/>
    </row>
    <row r="10">
      <c r="A10" s="103">
        <v>45208</v>
      </c>
      <c r="B10" s="14">
        <v>200</v>
      </c>
      <c r="C10" s="14"/>
      <c r="D10" s="14">
        <v>1344</v>
      </c>
      <c r="E10" s="14"/>
      <c r="F10" s="14"/>
      <c r="G10" s="14"/>
      <c r="H10" s="14"/>
      <c r="I10" s="14"/>
      <c r="J10" s="14"/>
      <c r="K10" s="14"/>
      <c r="L10" s="14">
        <v>150000</v>
      </c>
      <c r="M10" s="14"/>
      <c r="N10" s="14"/>
      <c r="O10" s="14"/>
      <c r="P10" s="14"/>
      <c r="Q10" s="14"/>
      <c r="R10" s="14"/>
      <c r="S10" s="14"/>
      <c r="T10" s="126"/>
    </row>
    <row r="11">
      <c r="A11" s="103">
        <v>45209</v>
      </c>
      <c r="B11" s="5">
        <v>200</v>
      </c>
      <c r="C11" s="5"/>
      <c r="D11" s="5">
        <v>1266</v>
      </c>
      <c r="E11" s="5"/>
      <c r="F11" s="5"/>
      <c r="G11" s="5"/>
      <c r="H11" s="5"/>
      <c r="I11" s="5"/>
      <c r="J11" s="5"/>
      <c r="K11" s="5"/>
      <c r="L11" s="5"/>
      <c r="M11" s="5"/>
      <c r="N11" s="5"/>
      <c r="O11" s="5"/>
      <c r="P11" s="5"/>
      <c r="Q11" s="5"/>
      <c r="R11" s="5"/>
      <c r="S11" s="5"/>
      <c r="T11" s="126"/>
    </row>
    <row r="12">
      <c r="A12" s="103">
        <v>45210</v>
      </c>
      <c r="B12" s="14">
        <v>100</v>
      </c>
      <c r="C12" s="14"/>
      <c r="D12" s="14">
        <v>885</v>
      </c>
      <c r="E12" s="14"/>
      <c r="F12" s="14"/>
      <c r="G12" s="14"/>
      <c r="H12" s="14"/>
      <c r="I12" s="14"/>
      <c r="J12" s="14"/>
      <c r="K12" s="14">
        <v>19500</v>
      </c>
      <c r="L12" s="14">
        <f>2442.9+1403.3+5293.8+7000-8070</f>
        <v>8070</v>
      </c>
      <c r="M12" s="14"/>
      <c r="N12" s="14"/>
      <c r="O12" s="14"/>
      <c r="P12" s="14"/>
      <c r="Q12" s="14"/>
      <c r="R12" s="14"/>
      <c r="S12" s="14"/>
      <c r="T12" s="126"/>
    </row>
    <row r="13">
      <c r="A13" s="103">
        <v>45211</v>
      </c>
      <c r="B13" s="5">
        <v>100</v>
      </c>
      <c r="C13" s="5"/>
      <c r="D13" s="5"/>
      <c r="E13" s="5"/>
      <c r="F13" s="5"/>
      <c r="G13" s="5"/>
      <c r="H13" s="5"/>
      <c r="I13" s="5"/>
      <c r="J13" s="5"/>
      <c r="K13" s="5"/>
      <c r="L13" s="5"/>
      <c r="M13" s="5"/>
      <c r="N13" s="5"/>
      <c r="O13" s="5"/>
      <c r="P13" s="5"/>
      <c r="Q13" s="5"/>
      <c r="R13" s="5"/>
      <c r="S13" s="5"/>
      <c r="T13" s="126"/>
    </row>
    <row r="14">
      <c r="A14" s="103">
        <v>45212</v>
      </c>
      <c r="B14" s="14">
        <v>100</v>
      </c>
      <c r="C14" s="14"/>
      <c r="D14" s="14"/>
      <c r="E14" s="14"/>
      <c r="F14" s="14"/>
      <c r="G14" s="14"/>
      <c r="H14" s="14"/>
      <c r="I14" s="14"/>
      <c r="J14" s="14"/>
      <c r="K14" s="14"/>
      <c r="L14" s="14"/>
      <c r="M14" s="14"/>
      <c r="N14" s="14"/>
      <c r="O14" s="14"/>
      <c r="P14" s="14"/>
      <c r="Q14" s="14"/>
      <c r="R14" s="14"/>
      <c r="S14" s="14"/>
      <c r="T14" s="126"/>
    </row>
    <row r="15">
      <c r="A15" s="103">
        <v>45213</v>
      </c>
      <c r="B15" s="5">
        <v>200</v>
      </c>
      <c r="C15" s="5">
        <v>1160</v>
      </c>
      <c r="D15" s="5"/>
      <c r="E15" s="5"/>
      <c r="F15" s="5"/>
      <c r="G15" s="5"/>
      <c r="H15" s="5"/>
      <c r="I15" s="5"/>
      <c r="J15" s="5"/>
      <c r="K15" s="5"/>
      <c r="L15" s="5"/>
      <c r="M15" s="5"/>
      <c r="N15" s="5"/>
      <c r="O15" s="5"/>
      <c r="P15" s="5"/>
      <c r="Q15" s="5"/>
      <c r="R15" s="5"/>
      <c r="S15" s="5"/>
      <c r="T15" s="126"/>
    </row>
    <row r="16">
      <c r="A16" s="103">
        <v>45214</v>
      </c>
      <c r="B16" s="14"/>
      <c r="C16" s="97"/>
      <c r="D16" s="14"/>
      <c r="E16" s="14">
        <v>2578</v>
      </c>
      <c r="F16" s="14"/>
      <c r="G16" s="14"/>
      <c r="H16" s="14"/>
      <c r="I16" s="14"/>
      <c r="J16" s="14">
        <v>300</v>
      </c>
      <c r="K16" s="14"/>
      <c r="L16" s="14"/>
      <c r="M16" s="14"/>
      <c r="N16" s="14"/>
      <c r="O16" s="14"/>
      <c r="P16" s="14"/>
      <c r="Q16" s="14"/>
      <c r="R16" s="14"/>
      <c r="S16" s="14"/>
      <c r="T16" s="126"/>
    </row>
    <row r="17">
      <c r="A17" s="103">
        <v>45215</v>
      </c>
      <c r="B17" s="5">
        <v>200</v>
      </c>
      <c r="C17" s="6"/>
      <c r="D17" s="5"/>
      <c r="E17" s="5"/>
      <c r="F17" s="5"/>
      <c r="G17" s="5"/>
      <c r="H17" s="5"/>
      <c r="I17" s="5"/>
      <c r="J17" s="5"/>
      <c r="K17" s="5"/>
      <c r="L17" s="5"/>
      <c r="M17" s="5"/>
      <c r="N17" s="5"/>
      <c r="O17" s="5"/>
      <c r="P17" s="5"/>
      <c r="Q17" s="5"/>
      <c r="R17" s="5"/>
      <c r="S17" s="5"/>
      <c r="T17" s="126"/>
    </row>
    <row r="18">
      <c r="A18" s="103">
        <v>45216</v>
      </c>
      <c r="B18" s="14">
        <v>200</v>
      </c>
      <c r="C18" s="14">
        <v>2930</v>
      </c>
      <c r="D18" s="14"/>
      <c r="E18" s="14">
        <v>1350</v>
      </c>
      <c r="F18" s="14"/>
      <c r="G18" s="14"/>
      <c r="H18" s="14"/>
      <c r="I18" s="14"/>
      <c r="J18" s="14"/>
      <c r="K18" s="14"/>
      <c r="L18" s="14"/>
      <c r="M18" s="14"/>
      <c r="N18" s="14"/>
      <c r="O18" s="14"/>
      <c r="P18" s="14"/>
      <c r="Q18" s="14"/>
      <c r="R18" s="14"/>
      <c r="S18" s="14"/>
      <c r="T18" s="126"/>
    </row>
    <row r="19">
      <c r="A19" s="103">
        <v>45217</v>
      </c>
      <c r="B19" s="5">
        <v>200</v>
      </c>
      <c r="C19" s="5"/>
      <c r="D19" s="5">
        <v>1137</v>
      </c>
      <c r="E19" s="5"/>
      <c r="F19" s="5"/>
      <c r="G19" s="5"/>
      <c r="H19" s="5"/>
      <c r="I19" s="5"/>
      <c r="J19" s="5"/>
      <c r="K19" s="5"/>
      <c r="L19" s="5"/>
      <c r="M19" s="5"/>
      <c r="N19" s="5"/>
      <c r="O19" s="5"/>
      <c r="P19" s="5"/>
      <c r="Q19" s="5"/>
      <c r="R19" s="6"/>
      <c r="S19" s="5"/>
      <c r="T19" s="126"/>
    </row>
    <row r="20">
      <c r="A20" s="103">
        <v>45218</v>
      </c>
      <c r="B20" s="14">
        <v>200</v>
      </c>
      <c r="C20" s="14"/>
      <c r="D20" s="14">
        <v>1417</v>
      </c>
      <c r="E20" s="14"/>
      <c r="F20" s="14"/>
      <c r="G20" s="14"/>
      <c r="H20" s="14"/>
      <c r="I20" s="14"/>
      <c r="J20" s="14"/>
      <c r="K20" s="14"/>
      <c r="L20" s="14"/>
      <c r="M20" s="14"/>
      <c r="N20" s="14"/>
      <c r="O20" s="14"/>
      <c r="P20" s="34"/>
      <c r="Q20" s="14"/>
      <c r="R20" s="14"/>
      <c r="S20" s="14"/>
      <c r="T20" s="126"/>
    </row>
    <row r="21">
      <c r="A21" s="103">
        <v>45219</v>
      </c>
      <c r="B21" s="69">
        <v>200</v>
      </c>
      <c r="C21" s="6"/>
      <c r="D21" s="5">
        <v>1339</v>
      </c>
      <c r="E21" s="5"/>
      <c r="F21" s="5"/>
      <c r="G21" s="5"/>
      <c r="H21" s="5"/>
      <c r="I21" s="5"/>
      <c r="J21" s="5"/>
      <c r="K21" s="5"/>
      <c r="L21" s="5"/>
      <c r="M21" s="5"/>
      <c r="N21" s="5"/>
      <c r="O21" s="5"/>
      <c r="P21" s="5"/>
      <c r="Q21" s="5"/>
      <c r="R21" s="5"/>
      <c r="S21" s="5"/>
      <c r="T21" s="126"/>
    </row>
    <row r="22">
      <c r="A22" s="103">
        <v>45220</v>
      </c>
      <c r="B22" s="22">
        <v>200</v>
      </c>
      <c r="C22" s="14"/>
      <c r="D22" s="14">
        <v>1381</v>
      </c>
      <c r="E22" s="14"/>
      <c r="F22" s="14"/>
      <c r="G22" s="14"/>
      <c r="H22" s="14"/>
      <c r="I22" s="14"/>
      <c r="J22" s="14"/>
      <c r="K22" s="14"/>
      <c r="L22" s="14"/>
      <c r="M22" s="14"/>
      <c r="N22" s="14"/>
      <c r="O22" s="14"/>
      <c r="P22" s="14"/>
      <c r="Q22" s="14"/>
      <c r="R22" s="14"/>
      <c r="S22" s="14"/>
      <c r="T22" s="126"/>
    </row>
    <row r="23">
      <c r="A23" s="103">
        <v>45221</v>
      </c>
      <c r="B23" s="5"/>
      <c r="C23" s="5">
        <v>3630</v>
      </c>
      <c r="D23" s="5"/>
      <c r="E23" s="5">
        <v>3050</v>
      </c>
      <c r="F23" s="5">
        <f>2000*'Сводная таблица'!B84</f>
        <v>8760</v>
      </c>
      <c r="G23" s="5"/>
      <c r="H23" s="5"/>
      <c r="I23" s="5"/>
      <c r="J23" s="5"/>
      <c r="K23" s="5"/>
      <c r="L23" s="5"/>
      <c r="M23" s="5"/>
      <c r="N23" s="5"/>
      <c r="O23" s="5"/>
      <c r="P23" s="5"/>
      <c r="Q23" s="5"/>
      <c r="R23" s="5"/>
      <c r="S23" s="5"/>
      <c r="T23" s="126"/>
    </row>
    <row r="24">
      <c r="A24" s="103">
        <v>45222</v>
      </c>
      <c r="B24" s="14">
        <v>200</v>
      </c>
      <c r="C24" s="14"/>
      <c r="D24" s="14"/>
      <c r="E24" s="14"/>
      <c r="F24" s="14"/>
      <c r="G24" s="14"/>
      <c r="H24" s="14"/>
      <c r="I24" s="14"/>
      <c r="J24" s="14"/>
      <c r="K24" s="14"/>
      <c r="L24" s="14"/>
      <c r="M24" s="14"/>
      <c r="N24" s="14"/>
      <c r="O24" s="14"/>
      <c r="P24" s="14"/>
      <c r="Q24" s="14"/>
      <c r="R24" s="14"/>
      <c r="S24" s="14"/>
      <c r="T24" s="126"/>
    </row>
    <row r="25">
      <c r="A25" s="103">
        <v>45223</v>
      </c>
      <c r="B25" s="28">
        <v>200</v>
      </c>
      <c r="C25" s="5"/>
      <c r="D25" s="5">
        <v>952</v>
      </c>
      <c r="E25" s="5"/>
      <c r="F25" s="5"/>
      <c r="G25" s="5"/>
      <c r="H25" s="5"/>
      <c r="I25" s="5"/>
      <c r="J25" s="5">
        <f>595*'Сводная таблица'!B84</f>
        <v>2606.0999999999999</v>
      </c>
      <c r="K25" s="5"/>
      <c r="L25" s="5"/>
      <c r="M25" s="5"/>
      <c r="N25" s="5"/>
      <c r="O25" s="5"/>
      <c r="P25" s="5"/>
      <c r="Q25" s="5"/>
      <c r="R25" s="5"/>
      <c r="S25" s="5"/>
      <c r="T25" s="126"/>
    </row>
    <row r="26">
      <c r="A26" s="103">
        <v>45224</v>
      </c>
      <c r="B26" s="14">
        <v>100</v>
      </c>
      <c r="C26" s="14"/>
      <c r="D26" s="14">
        <v>1294</v>
      </c>
      <c r="E26" s="14"/>
      <c r="F26" s="14"/>
      <c r="G26" s="14"/>
      <c r="H26" s="14"/>
      <c r="I26" s="14"/>
      <c r="J26" s="14"/>
      <c r="K26" s="14"/>
      <c r="L26" s="14"/>
      <c r="M26" s="14"/>
      <c r="N26" s="14"/>
      <c r="O26" s="14"/>
      <c r="P26" s="14"/>
      <c r="Q26" s="14"/>
      <c r="R26" s="14"/>
      <c r="S26" s="14"/>
      <c r="T26" s="126"/>
    </row>
    <row r="27">
      <c r="A27" s="103">
        <v>45225</v>
      </c>
      <c r="B27" s="5">
        <v>100</v>
      </c>
      <c r="C27" s="6"/>
      <c r="D27" s="5">
        <v>1294</v>
      </c>
      <c r="E27" s="5"/>
      <c r="F27" s="5"/>
      <c r="G27" s="5"/>
      <c r="H27" s="5"/>
      <c r="I27" s="5"/>
      <c r="J27" s="5"/>
      <c r="K27" s="5"/>
      <c r="L27" s="5"/>
      <c r="M27" s="5"/>
      <c r="N27" s="5"/>
      <c r="O27" s="5"/>
      <c r="P27" s="5"/>
      <c r="Q27" s="5"/>
      <c r="R27" s="5"/>
      <c r="S27" s="5"/>
      <c r="T27" s="126"/>
    </row>
    <row r="28">
      <c r="A28" s="103">
        <v>45226</v>
      </c>
      <c r="B28" s="14">
        <v>200</v>
      </c>
      <c r="C28" s="14"/>
      <c r="D28" s="14"/>
      <c r="E28" s="14"/>
      <c r="F28" s="14"/>
      <c r="G28" s="14"/>
      <c r="H28" s="14"/>
      <c r="I28" s="14"/>
      <c r="J28" s="14"/>
      <c r="K28" s="14"/>
      <c r="L28" s="14"/>
      <c r="M28" s="14"/>
      <c r="N28" s="14"/>
      <c r="O28" s="14"/>
      <c r="P28" s="14"/>
      <c r="Q28" s="14"/>
      <c r="R28" s="14"/>
      <c r="S28" s="14"/>
      <c r="T28" s="126"/>
    </row>
    <row r="29">
      <c r="A29" s="103">
        <v>45227</v>
      </c>
      <c r="B29" s="5">
        <f>200+('Сводная таблица'!B84*12963)</f>
        <v>56977.939999999995</v>
      </c>
      <c r="C29" s="5">
        <f>1780+1150</f>
        <v>2930</v>
      </c>
      <c r="D29" s="5">
        <v>1496</v>
      </c>
      <c r="E29" s="5"/>
      <c r="F29" s="5"/>
      <c r="G29" s="5">
        <f>(199-199)*'Сводная таблица'!B84</f>
        <v>0</v>
      </c>
      <c r="H29" s="5"/>
      <c r="I29" s="5"/>
      <c r="J29" s="5"/>
      <c r="K29" s="5"/>
      <c r="L29" s="5"/>
      <c r="M29" s="5"/>
      <c r="N29" s="5"/>
      <c r="O29" s="5"/>
      <c r="P29" s="5"/>
      <c r="Q29" s="5"/>
      <c r="R29" s="5"/>
      <c r="S29" s="5"/>
      <c r="T29" s="126"/>
    </row>
    <row r="30">
      <c r="A30" s="103">
        <v>45228</v>
      </c>
      <c r="B30" s="22"/>
      <c r="C30" s="22">
        <v>980</v>
      </c>
      <c r="D30" s="22"/>
      <c r="E30" s="22"/>
      <c r="F30" s="22"/>
      <c r="G30" s="22"/>
      <c r="H30" s="22"/>
      <c r="I30" s="22"/>
      <c r="J30" s="22"/>
      <c r="K30" s="22"/>
      <c r="L30" s="22"/>
      <c r="M30" s="22"/>
      <c r="N30" s="22"/>
      <c r="O30" s="22"/>
      <c r="P30" s="22"/>
      <c r="Q30" s="22"/>
      <c r="R30" s="22"/>
      <c r="S30" s="22"/>
      <c r="T30" s="126"/>
    </row>
    <row r="31">
      <c r="A31" s="103">
        <v>45229</v>
      </c>
      <c r="B31" s="5">
        <v>100</v>
      </c>
      <c r="C31" s="5">
        <v>850</v>
      </c>
      <c r="D31" s="5">
        <v>1132</v>
      </c>
      <c r="E31" s="5"/>
      <c r="F31" s="5"/>
      <c r="G31" s="5"/>
      <c r="H31" s="5"/>
      <c r="I31" s="5"/>
      <c r="J31" s="5"/>
      <c r="K31" s="5"/>
      <c r="L31" s="5"/>
      <c r="M31" s="5"/>
      <c r="N31" s="5"/>
      <c r="O31" s="5"/>
      <c r="P31" s="5"/>
      <c r="Q31" s="5"/>
      <c r="R31" s="5"/>
      <c r="S31" s="5"/>
      <c r="T31" s="126"/>
    </row>
    <row r="32">
      <c r="A32" s="103">
        <v>45230</v>
      </c>
      <c r="B32" s="22">
        <f>100+(1610.2*'Сводная таблица'!B84)</f>
        <v>7152.6760000000004</v>
      </c>
      <c r="C32" s="22"/>
      <c r="D32" s="22">
        <v>1339</v>
      </c>
      <c r="E32" s="22"/>
      <c r="F32" s="22"/>
      <c r="G32" s="22"/>
      <c r="H32" s="22"/>
      <c r="I32" s="22"/>
      <c r="J32" s="22">
        <f>206*'Сводная таблица'!B84</f>
        <v>902.27999999999997</v>
      </c>
      <c r="K32" s="22"/>
      <c r="L32" s="22"/>
      <c r="M32" s="22"/>
      <c r="N32" s="22">
        <f>117*'Сводная таблица'!B84</f>
        <v>512.46000000000004</v>
      </c>
      <c r="O32" s="22"/>
      <c r="P32" s="22"/>
      <c r="Q32" s="22"/>
      <c r="R32" s="22"/>
      <c r="S32" s="22"/>
      <c r="T32" s="126"/>
    </row>
    <row r="33">
      <c r="A33" s="113" t="s">
        <v>87</v>
      </c>
      <c r="B33" s="113">
        <f>SUM(B2:B32)</f>
        <v>67630.615999999995</v>
      </c>
      <c r="C33" s="113">
        <f>SUM(C2:C32)</f>
        <v>27152.200000000001</v>
      </c>
      <c r="D33" s="113">
        <f>SUM(D2:D32)</f>
        <v>20382</v>
      </c>
      <c r="E33" s="113">
        <f>SUM(E2:E32)</f>
        <v>6978</v>
      </c>
      <c r="F33" s="113">
        <f>SUM(F2:F32)</f>
        <v>30660</v>
      </c>
      <c r="G33" s="113">
        <f>SUM(G2:G32)</f>
        <v>0</v>
      </c>
      <c r="H33" s="113">
        <f>SUM(H2:H32)</f>
        <v>0</v>
      </c>
      <c r="I33" s="113">
        <f>SUM(I2:I32)</f>
        <v>0</v>
      </c>
      <c r="J33" s="113">
        <f>SUM(J2:J32)</f>
        <v>4168.3800000000001</v>
      </c>
      <c r="K33" s="113">
        <f>SUM(K2:K32)</f>
        <v>19500</v>
      </c>
      <c r="L33" s="113">
        <f>SUM(L2:L32)</f>
        <v>158070</v>
      </c>
      <c r="M33" s="113">
        <f>SUM(M2:M32)</f>
        <v>0</v>
      </c>
      <c r="N33" s="113">
        <f>SUM(N2:N32)</f>
        <v>4643.46</v>
      </c>
      <c r="O33" s="113">
        <f>SUM(O2:O32)</f>
        <v>0</v>
      </c>
      <c r="P33" s="113">
        <f>SUM(P2:P32)</f>
        <v>0</v>
      </c>
      <c r="Q33" s="113">
        <f>SUM(Q2:Q32)</f>
        <v>0</v>
      </c>
      <c r="R33" s="113">
        <f>SUM(R2:R32)</f>
        <v>0</v>
      </c>
      <c r="S33" s="113">
        <f>SUM(B33:R33)+SUM(S2:S32)</f>
        <v>339184.65600000002</v>
      </c>
      <c r="T33" s="107" t="s">
        <v>88</v>
      </c>
    </row>
    <row r="34">
      <c r="A34" s="108" t="s">
        <v>89</v>
      </c>
      <c r="B34" s="110">
        <f>B33/'Сводная таблица'!B67</f>
        <v>15440.779908675799</v>
      </c>
      <c r="C34" s="110">
        <f>C33/'Сводная таблица'!B67</f>
        <v>6199.1324200913241</v>
      </c>
      <c r="D34" s="110">
        <f>D33/'Сводная таблица'!B67</f>
        <v>4653.4246575342468</v>
      </c>
      <c r="E34" s="110">
        <f>E33/'Сводная таблица'!B67</f>
        <v>1593.1506849315069</v>
      </c>
      <c r="F34" s="110">
        <f>F33/'Сводная таблица'!B67</f>
        <v>7000</v>
      </c>
      <c r="G34" s="110">
        <f>G33/'Сводная таблица'!B67</f>
        <v>0</v>
      </c>
      <c r="H34" s="110">
        <f>H33/'Сводная таблица'!B67</f>
        <v>0</v>
      </c>
      <c r="I34" s="110">
        <f>I33/'Сводная таблица'!B67</f>
        <v>0</v>
      </c>
      <c r="J34" s="110">
        <f>J33/'Сводная таблица'!B67</f>
        <v>951.68493150684935</v>
      </c>
      <c r="K34" s="110">
        <f>K33/'Сводная таблица'!B67</f>
        <v>4452.0547945205481</v>
      </c>
      <c r="L34" s="110">
        <f>L33/'Сводная таблица'!B67</f>
        <v>36089.04109589041</v>
      </c>
      <c r="M34" s="110">
        <f>M33/'Сводная таблица'!B67</f>
        <v>0</v>
      </c>
      <c r="N34" s="110">
        <f>N33/'Сводная таблица'!B67</f>
        <v>1060.1506849315069</v>
      </c>
      <c r="O34" s="110">
        <f>O33/'Сводная таблица'!B67</f>
        <v>0</v>
      </c>
      <c r="P34" s="110">
        <f>P33/'Сводная таблица'!B67</f>
        <v>0</v>
      </c>
      <c r="Q34" s="110">
        <f>Q33/'Сводная таблица'!B67</f>
        <v>0</v>
      </c>
      <c r="R34" s="110">
        <f>R33/'Сводная таблица'!B67</f>
        <v>0</v>
      </c>
      <c r="S34" s="120">
        <f>S33/'Сводная таблица'!B84</f>
        <v>77439.4191780822</v>
      </c>
      <c r="T34" s="107" t="s">
        <v>90</v>
      </c>
    </row>
    <row r="35">
      <c r="A35" s="121" t="s">
        <v>0</v>
      </c>
      <c r="B35" s="121" t="s">
        <v>50</v>
      </c>
      <c r="C35" s="121" t="s">
        <v>13</v>
      </c>
      <c r="D35" s="121" t="s">
        <v>11</v>
      </c>
      <c r="E35" s="121" t="s">
        <v>51</v>
      </c>
      <c r="F35" s="121" t="s">
        <v>52</v>
      </c>
      <c r="G35" s="121"/>
      <c r="H35" s="121" t="s">
        <v>54</v>
      </c>
      <c r="I35" s="121" t="s">
        <v>55</v>
      </c>
      <c r="J35" s="121" t="s">
        <v>61</v>
      </c>
      <c r="K35" s="121" t="s">
        <v>74</v>
      </c>
      <c r="L35" s="122"/>
      <c r="M35" s="122"/>
      <c r="N35" s="122"/>
      <c r="O35" s="122"/>
      <c r="P35" s="122"/>
      <c r="Q35" s="122"/>
      <c r="R35" s="122"/>
      <c r="S35" s="122"/>
      <c r="T35" s="126"/>
    </row>
    <row r="36">
      <c r="A36" s="103">
        <v>45200</v>
      </c>
      <c r="B36" s="14"/>
      <c r="C36" s="14"/>
      <c r="D36" s="14"/>
      <c r="E36" s="14"/>
      <c r="F36" s="14"/>
      <c r="G36" s="14"/>
      <c r="H36" s="14"/>
      <c r="I36" s="14"/>
      <c r="J36" s="22"/>
      <c r="K36" s="22"/>
      <c r="L36" s="22"/>
      <c r="M36" s="22"/>
      <c r="N36" s="22"/>
      <c r="O36" s="22"/>
      <c r="P36" s="22"/>
      <c r="Q36" s="22"/>
      <c r="R36" s="22"/>
      <c r="S36" s="22"/>
      <c r="T36" s="126"/>
    </row>
    <row r="37">
      <c r="A37" s="103">
        <v>45201</v>
      </c>
      <c r="B37" s="5"/>
      <c r="C37" s="5"/>
      <c r="D37" s="5"/>
      <c r="E37" s="5"/>
      <c r="F37" s="5"/>
      <c r="G37" s="5"/>
      <c r="H37" s="5"/>
      <c r="I37" s="5"/>
      <c r="J37" s="5"/>
      <c r="K37" s="5"/>
      <c r="L37" s="5"/>
      <c r="M37" s="5"/>
      <c r="N37" s="5"/>
      <c r="O37" s="5"/>
      <c r="P37" s="5"/>
      <c r="Q37" s="5"/>
      <c r="R37" s="5"/>
      <c r="S37" s="5"/>
      <c r="T37" s="126"/>
    </row>
    <row r="38">
      <c r="A38" s="103">
        <v>45202</v>
      </c>
      <c r="B38" s="14"/>
      <c r="C38" s="14"/>
      <c r="D38" s="14"/>
      <c r="E38" s="14"/>
      <c r="F38" s="14"/>
      <c r="G38" s="14"/>
      <c r="H38" s="14"/>
      <c r="I38" s="14"/>
      <c r="J38" s="22"/>
      <c r="K38" s="22"/>
      <c r="L38" s="22"/>
      <c r="M38" s="22"/>
      <c r="N38" s="22"/>
      <c r="O38" s="22"/>
      <c r="P38" s="22"/>
      <c r="Q38" s="22"/>
      <c r="R38" s="22"/>
      <c r="S38" s="22"/>
      <c r="T38" s="126"/>
    </row>
    <row r="39">
      <c r="A39" s="103">
        <v>45203</v>
      </c>
      <c r="B39" s="5"/>
      <c r="C39" s="5"/>
      <c r="D39" s="5"/>
      <c r="E39" s="71"/>
      <c r="F39" s="5"/>
      <c r="G39" s="5"/>
      <c r="H39" s="5"/>
      <c r="I39" s="5"/>
      <c r="J39" s="5"/>
      <c r="K39" s="5"/>
      <c r="L39" s="5"/>
      <c r="M39" s="5"/>
      <c r="N39" s="5"/>
      <c r="O39" s="5"/>
      <c r="P39" s="5"/>
      <c r="Q39" s="5"/>
      <c r="R39" s="5"/>
      <c r="S39" s="5"/>
      <c r="T39" s="126"/>
    </row>
    <row r="40">
      <c r="A40" s="103">
        <v>45204</v>
      </c>
      <c r="B40" s="14">
        <v>250000</v>
      </c>
      <c r="C40" s="14"/>
      <c r="D40" s="14"/>
      <c r="E40" s="14"/>
      <c r="F40" s="14"/>
      <c r="G40" s="14"/>
      <c r="H40" s="14"/>
      <c r="I40" s="14"/>
      <c r="J40" s="14"/>
      <c r="K40" s="14"/>
      <c r="L40" s="14"/>
      <c r="M40" s="14"/>
      <c r="N40" s="14"/>
      <c r="O40" s="14"/>
      <c r="P40" s="14"/>
      <c r="Q40" s="14"/>
      <c r="R40" s="14"/>
      <c r="S40" s="14"/>
      <c r="T40" s="126"/>
    </row>
    <row r="41">
      <c r="A41" s="103">
        <v>45205</v>
      </c>
      <c r="B41" s="5"/>
      <c r="C41" s="5"/>
      <c r="D41" s="5"/>
      <c r="E41" s="5"/>
      <c r="F41" s="5"/>
      <c r="G41" s="5"/>
      <c r="H41" s="5"/>
      <c r="I41" s="5"/>
      <c r="J41" s="5"/>
      <c r="K41" s="5"/>
      <c r="L41" s="5"/>
      <c r="M41" s="5"/>
      <c r="N41" s="5"/>
      <c r="O41" s="5"/>
      <c r="P41" s="5"/>
      <c r="Q41" s="5"/>
      <c r="R41" s="5"/>
      <c r="S41" s="5"/>
      <c r="T41" s="126"/>
    </row>
    <row r="42">
      <c r="A42" s="103">
        <v>45206</v>
      </c>
      <c r="B42" s="14"/>
      <c r="C42" s="14"/>
      <c r="D42" s="14"/>
      <c r="E42" s="14"/>
      <c r="F42" s="14"/>
      <c r="G42" s="14"/>
      <c r="H42" s="14"/>
      <c r="I42" s="14"/>
      <c r="J42" s="14"/>
      <c r="K42" s="14"/>
      <c r="L42" s="14"/>
      <c r="M42" s="14"/>
      <c r="N42" s="14"/>
      <c r="O42" s="14"/>
      <c r="P42" s="14"/>
      <c r="Q42" s="14"/>
      <c r="R42" s="14"/>
      <c r="S42" s="14"/>
      <c r="T42" s="126"/>
    </row>
    <row r="43">
      <c r="A43" s="103">
        <v>45207</v>
      </c>
      <c r="B43" s="5"/>
      <c r="C43" s="5"/>
      <c r="D43" s="5"/>
      <c r="E43" s="5"/>
      <c r="F43" s="5"/>
      <c r="G43" s="5"/>
      <c r="H43" s="5"/>
      <c r="I43" s="5"/>
      <c r="J43" s="5"/>
      <c r="K43" s="5"/>
      <c r="L43" s="5"/>
      <c r="M43" s="5"/>
      <c r="N43" s="5"/>
      <c r="O43" s="5"/>
      <c r="P43" s="5"/>
      <c r="Q43" s="5"/>
      <c r="R43" s="5"/>
      <c r="S43" s="5"/>
      <c r="T43" s="126"/>
    </row>
    <row r="44">
      <c r="A44" s="103">
        <v>45208</v>
      </c>
      <c r="B44" s="79"/>
      <c r="C44" s="14"/>
      <c r="D44" s="14"/>
      <c r="E44" s="14"/>
      <c r="F44" s="14"/>
      <c r="G44" s="14"/>
      <c r="H44" s="14"/>
      <c r="I44" s="14"/>
      <c r="J44" s="14"/>
      <c r="K44" s="14"/>
      <c r="L44" s="14"/>
      <c r="M44" s="14"/>
      <c r="N44" s="14"/>
      <c r="O44" s="14"/>
      <c r="P44" s="14"/>
      <c r="Q44" s="14"/>
      <c r="R44" s="14"/>
      <c r="S44" s="14"/>
      <c r="T44" s="126"/>
    </row>
    <row r="45">
      <c r="A45" s="103">
        <v>45209</v>
      </c>
      <c r="B45" s="5"/>
      <c r="C45" s="5"/>
      <c r="D45" s="5"/>
      <c r="E45" s="5"/>
      <c r="F45" s="5"/>
      <c r="G45" s="5"/>
      <c r="H45" s="5"/>
      <c r="I45" s="5"/>
      <c r="J45" s="5"/>
      <c r="K45" s="5"/>
      <c r="L45" s="5"/>
      <c r="M45" s="5"/>
      <c r="N45" s="5"/>
      <c r="O45" s="5"/>
      <c r="P45" s="5"/>
      <c r="Q45" s="5"/>
      <c r="R45" s="5"/>
      <c r="S45" s="5"/>
      <c r="T45" s="126"/>
    </row>
    <row r="46">
      <c r="A46" s="103">
        <v>45210</v>
      </c>
      <c r="B46" s="14"/>
      <c r="C46" s="14"/>
      <c r="D46" s="14"/>
      <c r="E46" s="14"/>
      <c r="F46" s="14"/>
      <c r="G46" s="14"/>
      <c r="H46" s="14"/>
      <c r="I46" s="14"/>
      <c r="J46" s="14"/>
      <c r="K46" s="14"/>
      <c r="L46" s="14"/>
      <c r="M46" s="14"/>
      <c r="N46" s="14"/>
      <c r="O46" s="14"/>
      <c r="P46" s="14"/>
      <c r="Q46" s="14"/>
      <c r="R46" s="14"/>
      <c r="S46" s="14"/>
      <c r="T46" s="126"/>
    </row>
    <row r="47">
      <c r="A47" s="103">
        <v>45211</v>
      </c>
      <c r="B47" s="5"/>
      <c r="C47" s="5"/>
      <c r="D47" s="5"/>
      <c r="E47" s="5"/>
      <c r="F47" s="5"/>
      <c r="G47" s="5"/>
      <c r="H47" s="5"/>
      <c r="I47" s="5"/>
      <c r="J47" s="5"/>
      <c r="K47" s="5"/>
      <c r="L47" s="5"/>
      <c r="M47" s="5"/>
      <c r="N47" s="5"/>
      <c r="O47" s="5"/>
      <c r="P47" s="5"/>
      <c r="Q47" s="5"/>
      <c r="R47" s="5"/>
      <c r="S47" s="5"/>
      <c r="T47" s="126"/>
    </row>
    <row r="48">
      <c r="A48" s="103">
        <v>45212</v>
      </c>
      <c r="B48" s="14"/>
      <c r="C48" s="14"/>
      <c r="D48" s="14"/>
      <c r="E48" s="14"/>
      <c r="F48" s="14"/>
      <c r="G48" s="14"/>
      <c r="H48" s="14"/>
      <c r="I48" s="14"/>
      <c r="J48" s="14"/>
      <c r="K48" s="14"/>
      <c r="L48" s="14"/>
      <c r="M48" s="14"/>
      <c r="N48" s="14"/>
      <c r="O48" s="14"/>
      <c r="P48" s="14"/>
      <c r="Q48" s="14"/>
      <c r="R48" s="14"/>
      <c r="S48" s="14"/>
      <c r="T48" s="126"/>
    </row>
    <row r="49">
      <c r="A49" s="103">
        <v>45213</v>
      </c>
      <c r="B49" s="5"/>
      <c r="C49" s="5"/>
      <c r="D49" s="5"/>
      <c r="E49" s="5"/>
      <c r="F49" s="5"/>
      <c r="G49" s="5"/>
      <c r="H49" s="5"/>
      <c r="I49" s="5"/>
      <c r="J49" s="5"/>
      <c r="K49" s="5"/>
      <c r="L49" s="5"/>
      <c r="M49" s="5"/>
      <c r="N49" s="5"/>
      <c r="O49" s="5"/>
      <c r="P49" s="5"/>
      <c r="Q49" s="5"/>
      <c r="R49" s="5"/>
      <c r="S49" s="5"/>
      <c r="T49" s="126"/>
    </row>
    <row r="50">
      <c r="A50" s="103">
        <v>45214</v>
      </c>
      <c r="B50" s="14"/>
      <c r="C50" s="14"/>
      <c r="D50" s="14"/>
      <c r="E50" s="14"/>
      <c r="F50" s="14"/>
      <c r="G50" s="14"/>
      <c r="H50" s="14"/>
      <c r="I50" s="14"/>
      <c r="J50" s="14"/>
      <c r="K50" s="14"/>
      <c r="L50" s="14"/>
      <c r="M50" s="14"/>
      <c r="N50" s="14"/>
      <c r="O50" s="14"/>
      <c r="P50" s="14"/>
      <c r="Q50" s="14"/>
      <c r="R50" s="14"/>
      <c r="S50" s="14"/>
      <c r="T50" s="126"/>
    </row>
    <row r="51">
      <c r="A51" s="103">
        <v>45215</v>
      </c>
      <c r="B51" s="5"/>
      <c r="C51" s="5"/>
      <c r="D51" s="5"/>
      <c r="E51" s="5"/>
      <c r="F51" s="5"/>
      <c r="G51" s="5"/>
      <c r="H51" s="5"/>
      <c r="I51" s="5"/>
      <c r="J51" s="5"/>
      <c r="K51" s="5"/>
      <c r="L51" s="5"/>
      <c r="M51" s="5"/>
      <c r="N51" s="5"/>
      <c r="O51" s="5"/>
      <c r="P51" s="5"/>
      <c r="Q51" s="5"/>
      <c r="R51" s="5"/>
      <c r="S51" s="5"/>
      <c r="T51" s="126"/>
    </row>
    <row r="52">
      <c r="A52" s="103">
        <v>45216</v>
      </c>
      <c r="B52" s="14"/>
      <c r="C52" s="14"/>
      <c r="D52" s="14"/>
      <c r="E52" s="14"/>
      <c r="F52" s="14"/>
      <c r="G52" s="14"/>
      <c r="H52" s="14"/>
      <c r="I52" s="14"/>
      <c r="J52" s="14"/>
      <c r="K52" s="14"/>
      <c r="L52" s="14"/>
      <c r="M52" s="14"/>
      <c r="N52" s="14"/>
      <c r="O52" s="14"/>
      <c r="P52" s="14"/>
      <c r="Q52" s="14"/>
      <c r="R52" s="14"/>
      <c r="S52" s="14"/>
      <c r="T52" s="126"/>
    </row>
    <row r="53">
      <c r="A53" s="103">
        <v>45217</v>
      </c>
      <c r="B53" s="5"/>
      <c r="C53" s="5"/>
      <c r="D53" s="5"/>
      <c r="E53" s="5"/>
      <c r="F53" s="5"/>
      <c r="G53" s="5"/>
      <c r="H53" s="5"/>
      <c r="I53" s="5"/>
      <c r="J53" s="5"/>
      <c r="K53" s="5"/>
      <c r="L53" s="5"/>
      <c r="M53" s="5"/>
      <c r="N53" s="5"/>
      <c r="O53" s="5"/>
      <c r="P53" s="5"/>
      <c r="Q53" s="5"/>
      <c r="R53" s="5"/>
      <c r="S53" s="5"/>
      <c r="T53" s="126"/>
    </row>
    <row r="54">
      <c r="A54" s="103">
        <v>45218</v>
      </c>
      <c r="B54" s="14"/>
      <c r="C54" s="14"/>
      <c r="D54" s="14"/>
      <c r="E54" s="14"/>
      <c r="F54" s="14"/>
      <c r="G54" s="14"/>
      <c r="H54" s="14"/>
      <c r="I54" s="14"/>
      <c r="J54" s="14"/>
      <c r="K54" s="14"/>
      <c r="L54" s="14"/>
      <c r="M54" s="14"/>
      <c r="N54" s="14"/>
      <c r="O54" s="14"/>
      <c r="P54" s="14"/>
      <c r="Q54" s="14"/>
      <c r="R54" s="14"/>
      <c r="S54" s="14"/>
      <c r="T54" s="126"/>
    </row>
    <row r="55">
      <c r="A55" s="103">
        <v>45219</v>
      </c>
      <c r="B55" s="5">
        <v>250000</v>
      </c>
      <c r="C55" s="5"/>
      <c r="D55" s="5"/>
      <c r="E55" s="5"/>
      <c r="F55" s="5"/>
      <c r="G55" s="5"/>
      <c r="H55" s="5"/>
      <c r="I55" s="5"/>
      <c r="J55" s="5"/>
      <c r="K55" s="5"/>
      <c r="L55" s="5"/>
      <c r="M55" s="5"/>
      <c r="N55" s="5"/>
      <c r="O55" s="5"/>
      <c r="P55" s="5"/>
      <c r="Q55" s="5"/>
      <c r="R55" s="5"/>
      <c r="S55" s="5"/>
      <c r="T55" s="126"/>
    </row>
    <row r="56">
      <c r="A56" s="103">
        <v>45220</v>
      </c>
      <c r="B56" s="14"/>
      <c r="C56" s="14"/>
      <c r="D56" s="14"/>
      <c r="E56" s="14"/>
      <c r="F56" s="14"/>
      <c r="G56" s="14"/>
      <c r="H56" s="14"/>
      <c r="I56" s="14"/>
      <c r="J56" s="14"/>
      <c r="K56" s="14"/>
      <c r="L56" s="14"/>
      <c r="M56" s="14"/>
      <c r="N56" s="14"/>
      <c r="O56" s="14"/>
      <c r="P56" s="14"/>
      <c r="Q56" s="14"/>
      <c r="R56" s="14"/>
      <c r="S56" s="14"/>
      <c r="T56" s="126"/>
    </row>
    <row r="57">
      <c r="A57" s="103">
        <v>45221</v>
      </c>
      <c r="B57" s="5"/>
      <c r="C57" s="5"/>
      <c r="D57" s="5"/>
      <c r="E57" s="5"/>
      <c r="F57" s="5"/>
      <c r="G57" s="5"/>
      <c r="H57" s="5"/>
      <c r="I57" s="5"/>
      <c r="J57" s="5"/>
      <c r="K57" s="5"/>
      <c r="L57" s="5"/>
      <c r="M57" s="5"/>
      <c r="N57" s="5"/>
      <c r="O57" s="5"/>
      <c r="P57" s="5"/>
      <c r="Q57" s="5"/>
      <c r="R57" s="5"/>
      <c r="S57" s="5"/>
      <c r="T57" s="126"/>
    </row>
    <row r="58">
      <c r="A58" s="103">
        <v>45222</v>
      </c>
      <c r="B58" s="14"/>
      <c r="C58" s="14"/>
      <c r="D58" s="14"/>
      <c r="E58" s="14"/>
      <c r="F58" s="14"/>
      <c r="G58" s="14"/>
      <c r="H58" s="14"/>
      <c r="I58" s="14"/>
      <c r="J58" s="14"/>
      <c r="K58" s="14"/>
      <c r="L58" s="14"/>
      <c r="M58" s="14"/>
      <c r="N58" s="14"/>
      <c r="O58" s="14"/>
      <c r="P58" s="14"/>
      <c r="Q58" s="14"/>
      <c r="R58" s="14"/>
      <c r="S58" s="14"/>
      <c r="T58" s="126"/>
    </row>
    <row r="59">
      <c r="A59" s="103">
        <v>45223</v>
      </c>
      <c r="B59" s="5"/>
      <c r="C59" s="5"/>
      <c r="D59" s="5"/>
      <c r="E59" s="5"/>
      <c r="F59" s="5"/>
      <c r="G59" s="5"/>
      <c r="H59" s="5"/>
      <c r="I59" s="5"/>
      <c r="J59" s="5"/>
      <c r="K59" s="5"/>
      <c r="L59" s="5"/>
      <c r="M59" s="5"/>
      <c r="N59" s="5"/>
      <c r="O59" s="5"/>
      <c r="P59" s="5"/>
      <c r="Q59" s="5"/>
      <c r="R59" s="5"/>
      <c r="S59" s="5"/>
      <c r="T59" s="126"/>
    </row>
    <row r="60">
      <c r="A60" s="103">
        <v>45224</v>
      </c>
      <c r="B60" s="14"/>
      <c r="C60" s="14"/>
      <c r="D60" s="14"/>
      <c r="E60" s="14"/>
      <c r="F60" s="14"/>
      <c r="G60" s="14"/>
      <c r="H60" s="14"/>
      <c r="I60" s="14"/>
      <c r="J60" s="14"/>
      <c r="K60" s="14"/>
      <c r="L60" s="14"/>
      <c r="M60" s="14"/>
      <c r="N60" s="14"/>
      <c r="O60" s="14"/>
      <c r="P60" s="14"/>
      <c r="Q60" s="14"/>
      <c r="R60" s="14"/>
      <c r="S60" s="14"/>
      <c r="T60" s="126"/>
    </row>
    <row r="61">
      <c r="A61" s="103">
        <v>45225</v>
      </c>
      <c r="B61" s="5"/>
      <c r="C61" s="5"/>
      <c r="D61" s="5"/>
      <c r="E61" s="5"/>
      <c r="F61" s="5"/>
      <c r="G61" s="5"/>
      <c r="H61" s="5"/>
      <c r="I61" s="5"/>
      <c r="J61" s="5"/>
      <c r="K61" s="5"/>
      <c r="L61" s="5"/>
      <c r="M61" s="5"/>
      <c r="N61" s="5"/>
      <c r="O61" s="5"/>
      <c r="P61" s="5"/>
      <c r="Q61" s="5"/>
      <c r="R61" s="5"/>
      <c r="S61" s="5"/>
      <c r="T61" s="126"/>
    </row>
    <row r="62">
      <c r="A62" s="103">
        <v>45226</v>
      </c>
      <c r="B62" s="14"/>
      <c r="C62" s="14"/>
      <c r="D62" s="14"/>
      <c r="E62" s="14"/>
      <c r="F62" s="14"/>
      <c r="G62" s="14"/>
      <c r="H62" s="14"/>
      <c r="I62" s="14"/>
      <c r="J62" s="14"/>
      <c r="K62" s="14"/>
      <c r="L62" s="14"/>
      <c r="M62" s="14"/>
      <c r="N62" s="14"/>
      <c r="O62" s="14"/>
      <c r="P62" s="14"/>
      <c r="Q62" s="14"/>
      <c r="R62" s="14"/>
      <c r="S62" s="14"/>
      <c r="T62" s="126"/>
    </row>
    <row r="63">
      <c r="A63" s="103">
        <v>45227</v>
      </c>
      <c r="B63" s="5"/>
      <c r="C63" s="5"/>
      <c r="D63" s="5"/>
      <c r="E63" s="5"/>
      <c r="F63" s="5"/>
      <c r="G63" s="5"/>
      <c r="H63" s="5"/>
      <c r="I63" s="5"/>
      <c r="J63" s="5"/>
      <c r="K63" s="5"/>
      <c r="L63" s="5"/>
      <c r="M63" s="5"/>
      <c r="N63" s="5"/>
      <c r="O63" s="5"/>
      <c r="P63" s="5"/>
      <c r="Q63" s="5"/>
      <c r="R63" s="48"/>
      <c r="S63" s="5"/>
      <c r="T63" s="126"/>
    </row>
    <row r="64">
      <c r="A64" s="103">
        <v>45228</v>
      </c>
      <c r="B64" s="22"/>
      <c r="C64" s="22"/>
      <c r="D64" s="22"/>
      <c r="E64" s="22"/>
      <c r="F64" s="22"/>
      <c r="G64" s="22"/>
      <c r="H64" s="22"/>
      <c r="I64" s="22"/>
      <c r="J64" s="14"/>
      <c r="K64" s="14"/>
      <c r="L64" s="14"/>
      <c r="M64" s="14"/>
      <c r="N64" s="14"/>
      <c r="O64" s="14"/>
      <c r="P64" s="14"/>
      <c r="Q64" s="14"/>
      <c r="R64" s="80"/>
      <c r="S64" s="14"/>
      <c r="T64" s="126"/>
    </row>
    <row r="65">
      <c r="A65" s="103">
        <v>45229</v>
      </c>
      <c r="B65" s="5">
        <v>290932</v>
      </c>
      <c r="C65" s="5"/>
      <c r="D65" s="5"/>
      <c r="E65" s="5"/>
      <c r="F65" s="5"/>
      <c r="G65" s="5"/>
      <c r="H65" s="5"/>
      <c r="I65" s="5"/>
      <c r="J65" s="5"/>
      <c r="K65" s="5"/>
      <c r="L65" s="5"/>
      <c r="M65" s="5"/>
      <c r="N65" s="5"/>
      <c r="O65" s="5"/>
      <c r="P65" s="5"/>
      <c r="Q65" s="5"/>
      <c r="R65" s="48"/>
      <c r="S65" s="5"/>
      <c r="T65" s="126"/>
    </row>
    <row r="66">
      <c r="A66" s="103">
        <v>45230</v>
      </c>
      <c r="B66" s="22"/>
      <c r="C66" s="22"/>
      <c r="D66" s="22"/>
      <c r="E66" s="22">
        <f>(1100.21+1512.79)*'Сводная таблица'!B84+4281.6-428.2</f>
        <v>15298.34</v>
      </c>
      <c r="F66" s="22"/>
      <c r="G66" s="22"/>
      <c r="H66" s="22"/>
      <c r="I66" s="22"/>
      <c r="J66" s="14"/>
      <c r="K66" s="14"/>
      <c r="L66" s="14"/>
      <c r="M66" s="14"/>
      <c r="N66" s="14"/>
      <c r="O66" s="14"/>
      <c r="P66" s="14"/>
      <c r="Q66" s="14"/>
      <c r="R66" s="80"/>
      <c r="S66" s="14"/>
      <c r="T66" s="126"/>
    </row>
    <row r="67">
      <c r="A67" s="113" t="s">
        <v>87</v>
      </c>
      <c r="B67" s="113">
        <f>SUM(B36:B66)</f>
        <v>790932</v>
      </c>
      <c r="C67" s="113">
        <f>SUM(C36:C66)</f>
        <v>0</v>
      </c>
      <c r="D67" s="113">
        <f>SUM(D36:D66)</f>
        <v>0</v>
      </c>
      <c r="E67" s="113">
        <f>SUM(E36:E66)</f>
        <v>15298.34</v>
      </c>
      <c r="F67" s="113">
        <f>SUM(F36:F66)</f>
        <v>0</v>
      </c>
      <c r="G67" s="113">
        <f>SUM(G36:G66)</f>
        <v>0</v>
      </c>
      <c r="H67" s="113">
        <f>SUM(H36:H66)</f>
        <v>0</v>
      </c>
      <c r="I67" s="113">
        <f>SUM(I36:I66)</f>
        <v>0</v>
      </c>
      <c r="J67" s="113">
        <f>SUM(J36:J66)</f>
        <v>0</v>
      </c>
      <c r="K67" s="113">
        <f>SUM(K36:K66)</f>
        <v>0</v>
      </c>
      <c r="L67" s="113">
        <f>SUM(L36:L66)</f>
        <v>0</v>
      </c>
      <c r="M67" s="113">
        <f>SUM(M36:M66)</f>
        <v>0</v>
      </c>
      <c r="N67" s="113">
        <f>SUM(N36:N66)</f>
        <v>0</v>
      </c>
      <c r="O67" s="113">
        <f>SUM(O36:O66)</f>
        <v>0</v>
      </c>
      <c r="P67" s="113">
        <f>SUM(P36:P66)</f>
        <v>0</v>
      </c>
      <c r="Q67" s="113">
        <f>SUM(Q36:Q66)</f>
        <v>0</v>
      </c>
      <c r="R67" s="113">
        <f>SUM(R36:R66)</f>
        <v>0</v>
      </c>
      <c r="S67" s="113">
        <f>SUM(B67:R67)</f>
        <v>806230.33999999997</v>
      </c>
      <c r="T67" s="107" t="s">
        <v>88</v>
      </c>
    </row>
    <row r="68">
      <c r="A68" s="108" t="s">
        <v>89</v>
      </c>
      <c r="B68" s="110">
        <f>B67/'Сводная таблица'!B84</f>
        <v>180578.08219178082</v>
      </c>
      <c r="C68" s="110"/>
      <c r="D68" s="110">
        <f>D67/'Сводная таблица'!B84</f>
        <v>0</v>
      </c>
      <c r="E68" s="110">
        <f>E67/'Сводная таблица'!B67</f>
        <v>3492.771689497717</v>
      </c>
      <c r="F68" s="110"/>
      <c r="G68" s="110"/>
      <c r="H68" s="110">
        <f>H67/'Сводная таблица'!B67</f>
        <v>0</v>
      </c>
      <c r="I68" s="110">
        <f>I67/'Сводная таблица'!B67</f>
        <v>0</v>
      </c>
      <c r="J68" s="110"/>
      <c r="K68" s="110"/>
      <c r="L68" s="110"/>
      <c r="M68" s="110"/>
      <c r="N68" s="110"/>
      <c r="O68" s="110"/>
      <c r="P68" s="110"/>
      <c r="Q68" s="110"/>
      <c r="R68" s="110"/>
      <c r="S68" s="110">
        <f>S67/'Сводная таблица'!B84</f>
        <v>184070.85388127854</v>
      </c>
      <c r="T68" s="107" t="s">
        <v>90</v>
      </c>
    </row>
    <row r="69">
      <c r="A69" s="123" t="s">
        <v>67</v>
      </c>
      <c r="B69" s="123"/>
      <c r="C69" s="123"/>
      <c r="D69" s="123"/>
      <c r="E69" s="123"/>
      <c r="F69" s="123"/>
      <c r="G69" s="123"/>
      <c r="H69" s="123"/>
      <c r="I69" s="123"/>
      <c r="J69" s="123"/>
      <c r="K69" s="123"/>
      <c r="L69" s="123"/>
      <c r="M69" s="123"/>
      <c r="N69" s="123"/>
      <c r="O69" s="123"/>
      <c r="P69" s="123"/>
      <c r="Q69" s="123"/>
      <c r="R69" s="123"/>
      <c r="S69" s="123"/>
      <c r="T69" s="126"/>
    </row>
    <row r="70">
      <c r="A70" s="5" t="s">
        <v>68</v>
      </c>
      <c r="B70" s="118">
        <f>21000-344+2039+(23000-23000)-344-344+8164.1-4600-3300+(3000-3000)+80000+2000+(5500-5500)+(5650-5100)+1000+300+300+11814.99+10000+10000+2000+18000+1500+8000+5000</f>
        <v>172736.09000000003</v>
      </c>
      <c r="C70" s="5"/>
      <c r="D70" s="5"/>
      <c r="E70" s="5"/>
      <c r="F70" s="5"/>
      <c r="G70" s="5"/>
      <c r="H70" s="5"/>
      <c r="I70" s="5"/>
      <c r="J70" s="5"/>
      <c r="K70" s="5"/>
      <c r="L70" s="5"/>
      <c r="M70" s="5"/>
      <c r="N70" s="5"/>
      <c r="O70" s="5"/>
      <c r="P70" s="5"/>
      <c r="Q70" s="5"/>
      <c r="R70" s="5"/>
      <c r="S70" s="5"/>
      <c r="T70" s="126"/>
    </row>
    <row r="71">
      <c r="A71" s="5" t="s">
        <v>76</v>
      </c>
      <c r="B71" s="5">
        <f>3000+1000+1200+1300+1500</f>
        <v>8000</v>
      </c>
      <c r="C71" s="5"/>
      <c r="D71" s="5"/>
      <c r="E71" s="5"/>
      <c r="F71" s="5"/>
      <c r="G71" s="5"/>
      <c r="H71" s="5"/>
      <c r="I71" s="5"/>
      <c r="J71" s="5"/>
      <c r="K71" s="5"/>
      <c r="L71" s="5"/>
      <c r="M71" s="5"/>
      <c r="N71" s="5"/>
      <c r="O71" s="5"/>
      <c r="P71" s="5"/>
      <c r="Q71" s="5"/>
      <c r="R71" s="5"/>
      <c r="S71" s="5"/>
      <c r="T71" s="12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5" percent="1" timePeriod="today" id="{00620060-0016-4FD8-9055-000300B700A3}">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4" percent="1" timePeriod="today" id="{000B00B6-001D-4868-ACC2-0072002000FA}">
            <x14:dxf>
              <font>
                <color rgb="FF006100"/>
              </font>
              <fill>
                <patternFill patternType="solid">
                  <fgColor rgb="FFC6EFCE"/>
                  <bgColor rgb="FFC6EFCE"/>
                </patternFill>
              </fill>
            </x14:dxf>
          </x14:cfRule>
          <xm:sqref>A36 A37 A38 A39 A40 A41 A42 A43 A44 A45 A46 A47 A48 A49 A50 A51 A52 A53 A54 A55 A56 A57 A58 A59 A60 A61 A62 A63 A64 A65 A66</xm:sqref>
        </x14:conditionalFormatting>
        <x14:conditionalFormatting xmlns:xm="http://schemas.microsoft.com/office/excel/2006/main">
          <x14:cfRule type="timePeriod" priority="3" percent="1" timePeriod="today" id="{00FE00CD-00B7-43BB-B22C-00EF00D800C7}">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2" percent="1" timePeriod="today" id="{00DD002E-001E-473A-BB15-00CD007100DF}">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420010-0050-4448-8D00-00F0003100D6}">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s>
    </ext>
  </extLst>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topLeftCell="P1" zoomScale="100" workbookViewId="0">
      <selection activeCell="A1" activeCellId="0" sqref="A1"/>
    </sheetView>
  </sheetViews>
  <sheetFormatPr defaultRowHeight="14.25"/>
  <cols>
    <col customWidth="1" min="1" max="1" width="11.7109375"/>
    <col customWidth="1" min="24" max="24" width="11.14062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26"/>
      <c r="X1" s="100" t="s">
        <v>0</v>
      </c>
      <c r="Y1" s="100" t="s">
        <v>70</v>
      </c>
      <c r="Z1" s="101" t="s">
        <v>81</v>
      </c>
      <c r="AA1" s="100" t="s">
        <v>72</v>
      </c>
      <c r="AB1" s="100" t="s">
        <v>3</v>
      </c>
      <c r="AC1" s="100" t="s">
        <v>4</v>
      </c>
      <c r="AD1" s="100" t="s">
        <v>79</v>
      </c>
      <c r="AE1" s="100" t="s">
        <v>63</v>
      </c>
      <c r="AF1" s="100" t="s">
        <v>7</v>
      </c>
      <c r="AG1" s="101" t="s">
        <v>82</v>
      </c>
      <c r="AH1" s="100" t="s">
        <v>9</v>
      </c>
      <c r="AI1" s="100" t="s">
        <v>10</v>
      </c>
      <c r="AJ1" s="100" t="s">
        <v>11</v>
      </c>
      <c r="AK1" s="100" t="s">
        <v>12</v>
      </c>
      <c r="AL1" s="100" t="s">
        <v>13</v>
      </c>
      <c r="AM1" s="100" t="s">
        <v>80</v>
      </c>
      <c r="AN1" s="101" t="s">
        <v>84</v>
      </c>
      <c r="AO1" s="101" t="s">
        <v>85</v>
      </c>
      <c r="AP1" s="100"/>
      <c r="AQ1" s="126"/>
    </row>
    <row r="2">
      <c r="A2" s="103">
        <v>45231</v>
      </c>
      <c r="B2" s="14">
        <f>100/'Сводная таблица'!B84</f>
        <v>22.831050228310502</v>
      </c>
      <c r="C2" s="14"/>
      <c r="D2" s="14"/>
      <c r="E2" s="14"/>
      <c r="F2" s="14"/>
      <c r="G2" s="14"/>
      <c r="H2" s="14"/>
      <c r="I2" s="14"/>
      <c r="J2" s="14"/>
      <c r="K2" s="14"/>
      <c r="L2" s="14"/>
      <c r="M2" s="14"/>
      <c r="N2" s="14"/>
      <c r="O2" s="14"/>
      <c r="P2" s="14"/>
      <c r="Q2" s="14"/>
      <c r="R2" s="14"/>
      <c r="S2" s="14"/>
      <c r="T2" s="126"/>
      <c r="X2" s="103">
        <v>45231</v>
      </c>
      <c r="Y2" s="14"/>
      <c r="Z2" s="14"/>
      <c r="AA2" s="14"/>
      <c r="AB2" s="14"/>
      <c r="AC2" s="14"/>
      <c r="AD2" s="14"/>
      <c r="AE2" s="14"/>
      <c r="AF2" s="14"/>
      <c r="AG2" s="14"/>
      <c r="AH2" s="14"/>
      <c r="AI2" s="14"/>
      <c r="AJ2" s="14"/>
      <c r="AK2" s="14"/>
      <c r="AL2" s="14"/>
      <c r="AM2" s="14">
        <f>30+60+70+3994+6000</f>
        <v>10154</v>
      </c>
      <c r="AN2" s="14"/>
      <c r="AO2" s="14"/>
      <c r="AP2" s="14"/>
      <c r="AQ2" s="126"/>
    </row>
    <row r="3">
      <c r="A3" s="103">
        <v>45232</v>
      </c>
      <c r="B3" s="5">
        <f>200/'Сводная таблица'!B84</f>
        <v>45.662100456621005</v>
      </c>
      <c r="C3" s="5">
        <f>1110/'Сводная таблица'!B84</f>
        <v>253.42465753424659</v>
      </c>
      <c r="D3" s="5">
        <f>1070/'Сводная таблица'!B84</f>
        <v>244.29223744292239</v>
      </c>
      <c r="E3" s="5"/>
      <c r="F3" s="5"/>
      <c r="G3" s="5"/>
      <c r="H3" s="5"/>
      <c r="I3" s="5"/>
      <c r="J3" s="5"/>
      <c r="K3" s="5"/>
      <c r="L3" s="5"/>
      <c r="M3" s="5"/>
      <c r="N3" s="5"/>
      <c r="O3" s="5"/>
      <c r="P3" s="5"/>
      <c r="Q3" s="5"/>
      <c r="R3" s="5"/>
      <c r="S3" s="5"/>
      <c r="T3" s="126"/>
      <c r="X3" s="103">
        <v>45232</v>
      </c>
      <c r="Y3" s="5"/>
      <c r="Z3" s="5"/>
      <c r="AA3" s="5"/>
      <c r="AB3" s="5"/>
      <c r="AC3" s="5"/>
      <c r="AD3" s="5"/>
      <c r="AE3" s="5"/>
      <c r="AF3" s="5"/>
      <c r="AG3" s="5"/>
      <c r="AH3" s="5"/>
      <c r="AI3" s="5"/>
      <c r="AJ3" s="5"/>
      <c r="AK3" s="5"/>
      <c r="AL3" s="5"/>
      <c r="AM3" s="5"/>
      <c r="AN3" s="5"/>
      <c r="AO3" s="5"/>
      <c r="AP3" s="5"/>
      <c r="AQ3" s="126"/>
    </row>
    <row r="4">
      <c r="A4" s="103">
        <v>45233</v>
      </c>
      <c r="B4" s="14">
        <f>200/'Сводная таблица'!B84</f>
        <v>45.662100456621005</v>
      </c>
      <c r="C4" s="14"/>
      <c r="D4" s="14">
        <f>1552/'Сводная таблица'!B84</f>
        <v>354.33789954337902</v>
      </c>
      <c r="E4" s="14"/>
      <c r="F4" s="14"/>
      <c r="G4" s="14"/>
      <c r="H4" s="14"/>
      <c r="I4" s="14"/>
      <c r="J4" s="14"/>
      <c r="K4" s="14"/>
      <c r="L4" s="14"/>
      <c r="M4" s="14"/>
      <c r="N4" s="14"/>
      <c r="O4" s="14"/>
      <c r="P4" s="14"/>
      <c r="Q4" s="14"/>
      <c r="R4" s="14"/>
      <c r="S4" s="14"/>
      <c r="T4" s="126"/>
      <c r="X4" s="103">
        <v>45233</v>
      </c>
      <c r="Y4" s="14"/>
      <c r="Z4" s="14">
        <v>145</v>
      </c>
      <c r="AA4" s="14"/>
      <c r="AB4" s="14">
        <v>150</v>
      </c>
      <c r="AC4" s="14"/>
      <c r="AD4" s="14"/>
      <c r="AE4" s="14"/>
      <c r="AF4" s="14"/>
      <c r="AG4" s="14">
        <v>198</v>
      </c>
      <c r="AH4" s="14"/>
      <c r="AI4" s="14"/>
      <c r="AJ4" s="14"/>
      <c r="AK4" s="14"/>
      <c r="AL4" s="14"/>
      <c r="AM4" s="14">
        <v>280</v>
      </c>
      <c r="AN4" s="14"/>
      <c r="AO4" s="14"/>
      <c r="AP4" s="14"/>
      <c r="AQ4" s="126"/>
    </row>
    <row r="5">
      <c r="A5" s="103">
        <v>45234</v>
      </c>
      <c r="B5" s="5">
        <f>200/'Сводная таблица'!B84</f>
        <v>45.662100456621005</v>
      </c>
      <c r="C5" s="5"/>
      <c r="D5" s="5">
        <f>700/'Сводная таблица'!B84</f>
        <v>159.81735159817353</v>
      </c>
      <c r="E5" s="5"/>
      <c r="F5" s="5"/>
      <c r="G5" s="5"/>
      <c r="H5" s="5"/>
      <c r="I5" s="5"/>
      <c r="J5" s="5"/>
      <c r="K5" s="5"/>
      <c r="L5" s="5"/>
      <c r="M5" s="5"/>
      <c r="N5" s="5"/>
      <c r="O5" s="5"/>
      <c r="P5" s="5"/>
      <c r="Q5" s="5"/>
      <c r="R5" s="5"/>
      <c r="S5" s="5"/>
      <c r="T5" s="126"/>
      <c r="X5" s="103">
        <v>45234</v>
      </c>
      <c r="Y5" s="5">
        <v>149</v>
      </c>
      <c r="Z5" s="5"/>
      <c r="AA5" s="5"/>
      <c r="AB5" s="5"/>
      <c r="AC5" s="5"/>
      <c r="AD5" s="5"/>
      <c r="AE5" s="5"/>
      <c r="AF5" s="5"/>
      <c r="AG5" s="5"/>
      <c r="AH5" s="5"/>
      <c r="AI5" s="5"/>
      <c r="AJ5" s="5"/>
      <c r="AK5" s="5"/>
      <c r="AL5" s="5"/>
      <c r="AM5" s="5"/>
      <c r="AN5" s="5"/>
      <c r="AO5" s="5"/>
      <c r="AP5" s="5"/>
      <c r="AQ5" s="126"/>
    </row>
    <row r="6">
      <c r="A6" s="103">
        <v>45235</v>
      </c>
      <c r="B6" s="14"/>
      <c r="C6" s="14">
        <f>3030/'Сводная таблица'!B84</f>
        <v>691.78082191780823</v>
      </c>
      <c r="D6" s="14"/>
      <c r="E6" s="14"/>
      <c r="F6" s="14"/>
      <c r="G6" s="14"/>
      <c r="H6" s="14"/>
      <c r="I6" s="14"/>
      <c r="J6" s="14"/>
      <c r="K6" s="14"/>
      <c r="L6" s="14"/>
      <c r="M6" s="14"/>
      <c r="N6" s="14"/>
      <c r="O6" s="14"/>
      <c r="P6" s="14"/>
      <c r="Q6" s="14"/>
      <c r="R6" s="14"/>
      <c r="S6" s="14"/>
      <c r="T6" s="126"/>
      <c r="X6" s="103">
        <v>45235</v>
      </c>
      <c r="Y6" s="14">
        <v>500</v>
      </c>
      <c r="Z6" s="14"/>
      <c r="AA6" s="14"/>
      <c r="AB6" s="14"/>
      <c r="AC6" s="14"/>
      <c r="AD6" s="14"/>
      <c r="AE6" s="14"/>
      <c r="AF6" s="14"/>
      <c r="AG6" s="14"/>
      <c r="AH6" s="14"/>
      <c r="AI6" s="14"/>
      <c r="AJ6" s="14"/>
      <c r="AK6" s="14"/>
      <c r="AL6" s="14"/>
      <c r="AM6" s="14"/>
      <c r="AN6" s="14"/>
      <c r="AO6" s="14"/>
      <c r="AP6" s="14"/>
      <c r="AQ6" s="126"/>
    </row>
    <row r="7">
      <c r="A7" s="103">
        <v>45236</v>
      </c>
      <c r="B7" s="5">
        <f>200/'Сводная таблица'!B84</f>
        <v>45.662100456621005</v>
      </c>
      <c r="C7" s="5"/>
      <c r="D7" s="5">
        <f>1020/'Сводная таблица'!B84</f>
        <v>232.87671232876713</v>
      </c>
      <c r="E7" s="5"/>
      <c r="F7" s="5"/>
      <c r="G7" s="5"/>
      <c r="H7" s="5"/>
      <c r="I7" s="5"/>
      <c r="J7" s="5"/>
      <c r="K7" s="5"/>
      <c r="L7" s="5"/>
      <c r="M7" s="5"/>
      <c r="N7" s="5"/>
      <c r="O7" s="5"/>
      <c r="P7" s="5"/>
      <c r="Q7" s="5"/>
      <c r="R7" s="5"/>
      <c r="S7" s="5"/>
      <c r="T7" s="126"/>
      <c r="X7" s="103">
        <v>45236</v>
      </c>
      <c r="Y7" s="5"/>
      <c r="Z7" s="5">
        <v>255</v>
      </c>
      <c r="AA7" s="5"/>
      <c r="AB7" s="5"/>
      <c r="AC7" s="5"/>
      <c r="AD7" s="5"/>
      <c r="AE7" s="5">
        <v>1700</v>
      </c>
      <c r="AF7" s="5"/>
      <c r="AG7" s="5"/>
      <c r="AH7" s="5"/>
      <c r="AI7" s="5"/>
      <c r="AJ7" s="5"/>
      <c r="AK7" s="5"/>
      <c r="AL7" s="5"/>
      <c r="AM7" s="5"/>
      <c r="AN7" s="5"/>
      <c r="AO7" s="5"/>
      <c r="AP7" s="5"/>
      <c r="AQ7" s="126"/>
    </row>
    <row r="8">
      <c r="A8" s="103">
        <v>45237</v>
      </c>
      <c r="B8" s="14">
        <f>200/'Сводная таблица'!B84</f>
        <v>45.662100456621005</v>
      </c>
      <c r="C8" s="14"/>
      <c r="D8" s="14">
        <f>1254/'Сводная таблица'!B84</f>
        <v>286.30136986301369</v>
      </c>
      <c r="E8" s="14"/>
      <c r="F8" s="14"/>
      <c r="G8" s="14"/>
      <c r="H8" s="14"/>
      <c r="I8" s="14"/>
      <c r="J8" s="14"/>
      <c r="K8" s="14"/>
      <c r="L8" s="14"/>
      <c r="M8" s="14"/>
      <c r="N8" s="14"/>
      <c r="O8" s="14"/>
      <c r="P8" s="14"/>
      <c r="Q8" s="14"/>
      <c r="R8" s="14"/>
      <c r="S8" s="14"/>
      <c r="T8" s="126"/>
      <c r="X8" s="103">
        <v>45237</v>
      </c>
      <c r="Y8" s="14"/>
      <c r="Z8" s="14"/>
      <c r="AA8" s="14"/>
      <c r="AB8" s="14"/>
      <c r="AC8" s="14"/>
      <c r="AD8" s="14"/>
      <c r="AE8" s="14"/>
      <c r="AF8" s="14"/>
      <c r="AG8" s="14"/>
      <c r="AH8" s="14">
        <f>23+419</f>
        <v>442</v>
      </c>
      <c r="AI8" s="14"/>
      <c r="AJ8" s="14"/>
      <c r="AK8" s="14"/>
      <c r="AL8" s="14"/>
      <c r="AM8" s="14"/>
      <c r="AN8" s="14"/>
      <c r="AO8" s="14"/>
      <c r="AP8" s="14"/>
      <c r="AQ8" s="126"/>
    </row>
    <row r="9">
      <c r="A9" s="103">
        <v>45238</v>
      </c>
      <c r="B9" s="5">
        <f>200/'Сводная таблица'!B84</f>
        <v>45.662100456621005</v>
      </c>
      <c r="C9" s="5"/>
      <c r="D9" s="5">
        <f>1377/'Сводная таблица'!B84</f>
        <v>314.38356164383561</v>
      </c>
      <c r="E9" s="5"/>
      <c r="F9" s="5"/>
      <c r="G9" s="5"/>
      <c r="H9" s="5"/>
      <c r="I9" s="5"/>
      <c r="J9" s="5"/>
      <c r="K9" s="5"/>
      <c r="L9" s="5"/>
      <c r="M9" s="5"/>
      <c r="N9" s="5"/>
      <c r="O9" s="5"/>
      <c r="P9" s="5"/>
      <c r="Q9" s="5"/>
      <c r="R9" s="5"/>
      <c r="S9" s="5"/>
      <c r="T9" s="126"/>
      <c r="X9" s="103">
        <v>45238</v>
      </c>
      <c r="Y9" s="5"/>
      <c r="Z9" s="5"/>
      <c r="AA9" s="5"/>
      <c r="AB9" s="5"/>
      <c r="AC9" s="5"/>
      <c r="AD9" s="5"/>
      <c r="AE9" s="5"/>
      <c r="AF9" s="5"/>
      <c r="AG9" s="5"/>
      <c r="AH9" s="5"/>
      <c r="AI9" s="5"/>
      <c r="AJ9" s="5"/>
      <c r="AK9" s="5"/>
      <c r="AL9" s="5"/>
      <c r="AM9" s="5"/>
      <c r="AN9" s="5"/>
      <c r="AO9" s="5"/>
      <c r="AP9" s="5"/>
      <c r="AQ9" s="126"/>
    </row>
    <row r="10">
      <c r="A10" s="103">
        <v>45239</v>
      </c>
      <c r="B10" s="14"/>
      <c r="C10" s="14"/>
      <c r="D10" s="14">
        <f>1500/'Сводная таблица'!B84</f>
        <v>342.46575342465752</v>
      </c>
      <c r="E10" s="14"/>
      <c r="F10" s="14"/>
      <c r="G10" s="14"/>
      <c r="H10" s="14"/>
      <c r="I10" s="14"/>
      <c r="J10" s="14"/>
      <c r="K10" s="14"/>
      <c r="L10" s="14"/>
      <c r="M10" s="14"/>
      <c r="N10" s="14"/>
      <c r="O10" s="14"/>
      <c r="P10" s="14"/>
      <c r="Q10" s="14"/>
      <c r="R10" s="14"/>
      <c r="S10" s="14"/>
      <c r="T10" s="126"/>
      <c r="X10" s="103">
        <v>45239</v>
      </c>
      <c r="Y10" s="14"/>
      <c r="Z10" s="14">
        <v>100</v>
      </c>
      <c r="AA10" s="14"/>
      <c r="AB10" s="14"/>
      <c r="AC10" s="14"/>
      <c r="AD10" s="14"/>
      <c r="AE10" s="14"/>
      <c r="AF10" s="14"/>
      <c r="AG10" s="14"/>
      <c r="AH10" s="14"/>
      <c r="AI10" s="14"/>
      <c r="AJ10" s="14"/>
      <c r="AK10" s="14"/>
      <c r="AL10" s="14"/>
      <c r="AM10" s="14"/>
      <c r="AN10" s="14"/>
      <c r="AO10" s="14"/>
      <c r="AP10" s="14"/>
      <c r="AQ10" s="126"/>
    </row>
    <row r="11">
      <c r="A11" s="103">
        <v>45240</v>
      </c>
      <c r="B11" s="5">
        <f>100/'Сводная таблица'!B84</f>
        <v>22.831050228310502</v>
      </c>
      <c r="C11" s="5"/>
      <c r="D11" s="5"/>
      <c r="E11" s="5">
        <f>5000/'Сводная таблица'!B84</f>
        <v>1141.552511415525</v>
      </c>
      <c r="F11" s="5"/>
      <c r="G11" s="5"/>
      <c r="H11" s="5"/>
      <c r="I11" s="5"/>
      <c r="J11" s="5"/>
      <c r="K11" s="5"/>
      <c r="L11" s="5">
        <f>5000/'Сводная таблица'!B84</f>
        <v>1141.552511415525</v>
      </c>
      <c r="M11" s="5"/>
      <c r="N11" s="5"/>
      <c r="O11" s="5"/>
      <c r="P11" s="5"/>
      <c r="Q11" s="5"/>
      <c r="R11" s="5"/>
      <c r="S11" s="5"/>
      <c r="T11" s="126"/>
      <c r="X11" s="103">
        <v>45240</v>
      </c>
      <c r="Y11" s="5"/>
      <c r="Z11" s="5"/>
      <c r="AA11" s="5"/>
      <c r="AB11" s="5"/>
      <c r="AC11" s="5"/>
      <c r="AD11" s="5"/>
      <c r="AE11" s="5"/>
      <c r="AF11" s="5"/>
      <c r="AG11" s="5">
        <v>144</v>
      </c>
      <c r="AH11" s="5"/>
      <c r="AI11" s="5"/>
      <c r="AJ11" s="5"/>
      <c r="AK11" s="5"/>
      <c r="AL11" s="5"/>
      <c r="AM11" s="5"/>
      <c r="AN11" s="5"/>
      <c r="AO11" s="5"/>
      <c r="AP11" s="5"/>
      <c r="AQ11" s="126"/>
    </row>
    <row r="12">
      <c r="A12" s="103">
        <v>45241</v>
      </c>
      <c r="B12" s="14"/>
      <c r="C12" s="14">
        <f>107.97+170+170</f>
        <v>447.97000000000003</v>
      </c>
      <c r="D12" s="14"/>
      <c r="E12" s="14">
        <v>219</v>
      </c>
      <c r="F12" s="14"/>
      <c r="G12" s="14"/>
      <c r="H12" s="14"/>
      <c r="I12" s="14"/>
      <c r="J12" s="14"/>
      <c r="K12" s="14"/>
      <c r="L12" s="14"/>
      <c r="M12" s="14"/>
      <c r="N12" s="14">
        <v>543</v>
      </c>
      <c r="O12" s="14"/>
      <c r="P12" s="14"/>
      <c r="Q12" s="14"/>
      <c r="R12" s="14"/>
      <c r="S12" s="14"/>
      <c r="T12" s="126"/>
      <c r="X12" s="103">
        <v>45241</v>
      </c>
      <c r="Y12" s="14"/>
      <c r="Z12" s="14">
        <f>650+170</f>
        <v>820</v>
      </c>
      <c r="AA12" s="14"/>
      <c r="AB12" s="14"/>
      <c r="AC12" s="14"/>
      <c r="AD12" s="14"/>
      <c r="AE12" s="14"/>
      <c r="AF12" s="14"/>
      <c r="AG12" s="14"/>
      <c r="AH12" s="14"/>
      <c r="AI12" s="14"/>
      <c r="AJ12" s="14"/>
      <c r="AK12" s="14"/>
      <c r="AL12" s="14"/>
      <c r="AM12" s="14">
        <v>200</v>
      </c>
      <c r="AN12" s="14"/>
      <c r="AO12" s="14"/>
      <c r="AP12" s="14"/>
      <c r="AQ12" s="126"/>
    </row>
    <row r="13">
      <c r="A13" s="103">
        <v>45242</v>
      </c>
      <c r="B13" s="5"/>
      <c r="C13" s="5"/>
      <c r="D13" s="5"/>
      <c r="E13" s="5"/>
      <c r="F13" s="5"/>
      <c r="G13" s="5"/>
      <c r="H13" s="5"/>
      <c r="I13" s="5"/>
      <c r="J13" s="5"/>
      <c r="K13" s="5"/>
      <c r="L13" s="5"/>
      <c r="M13" s="5"/>
      <c r="N13" s="5"/>
      <c r="O13" s="5"/>
      <c r="P13" s="5"/>
      <c r="Q13" s="5"/>
      <c r="R13" s="5"/>
      <c r="S13" s="5"/>
      <c r="T13" s="126"/>
      <c r="X13" s="103">
        <v>45242</v>
      </c>
      <c r="Y13" s="5"/>
      <c r="Z13" s="5"/>
      <c r="AA13" s="5"/>
      <c r="AB13" s="5"/>
      <c r="AC13" s="5"/>
      <c r="AD13" s="5"/>
      <c r="AE13" s="5"/>
      <c r="AF13" s="5"/>
      <c r="AG13" s="5">
        <v>377</v>
      </c>
      <c r="AH13" s="5"/>
      <c r="AI13" s="5"/>
      <c r="AJ13" s="5"/>
      <c r="AK13" s="5"/>
      <c r="AL13" s="5"/>
      <c r="AM13" s="5"/>
      <c r="AN13" s="5"/>
      <c r="AO13" s="5"/>
      <c r="AP13" s="5"/>
      <c r="AQ13" s="126"/>
    </row>
    <row r="14">
      <c r="A14" s="103">
        <v>45243</v>
      </c>
      <c r="B14" s="14"/>
      <c r="C14" s="14">
        <v>537.91999999999996</v>
      </c>
      <c r="D14" s="14"/>
      <c r="E14" s="14"/>
      <c r="F14" s="14"/>
      <c r="G14" s="14"/>
      <c r="H14" s="14"/>
      <c r="I14" s="14"/>
      <c r="J14" s="14">
        <v>1845</v>
      </c>
      <c r="K14" s="14"/>
      <c r="L14" s="14"/>
      <c r="M14" s="14"/>
      <c r="N14" s="14"/>
      <c r="O14" s="14"/>
      <c r="P14" s="14"/>
      <c r="Q14" s="14"/>
      <c r="R14" s="14"/>
      <c r="S14" s="14"/>
      <c r="T14" s="126"/>
      <c r="X14" s="103">
        <v>45243</v>
      </c>
      <c r="Y14" s="14"/>
      <c r="Z14" s="14">
        <f>265+291+390+454</f>
        <v>1400</v>
      </c>
      <c r="AA14" s="14"/>
      <c r="AB14" s="14">
        <v>645</v>
      </c>
      <c r="AC14" s="14"/>
      <c r="AD14" s="14"/>
      <c r="AE14" s="14"/>
      <c r="AF14" s="14"/>
      <c r="AG14" s="14"/>
      <c r="AH14" s="14"/>
      <c r="AI14" s="14"/>
      <c r="AJ14" s="14"/>
      <c r="AK14" s="14"/>
      <c r="AL14" s="14"/>
      <c r="AM14" s="14"/>
      <c r="AN14" s="14"/>
      <c r="AO14" s="14"/>
      <c r="AP14" s="14"/>
      <c r="AQ14" s="126"/>
    </row>
    <row r="15">
      <c r="A15" s="103">
        <v>45244</v>
      </c>
      <c r="B15" s="5">
        <v>25</v>
      </c>
      <c r="C15" s="5"/>
      <c r="D15" s="5"/>
      <c r="E15" s="5"/>
      <c r="F15" s="5"/>
      <c r="G15" s="5"/>
      <c r="H15" s="5"/>
      <c r="I15" s="5"/>
      <c r="J15" s="5">
        <v>1142</v>
      </c>
      <c r="K15" s="5"/>
      <c r="L15" s="5"/>
      <c r="M15" s="5"/>
      <c r="N15" s="5"/>
      <c r="O15" s="5"/>
      <c r="P15" s="5"/>
      <c r="Q15" s="5"/>
      <c r="R15" s="5"/>
      <c r="S15" s="5"/>
      <c r="T15" s="126"/>
      <c r="X15" s="103">
        <v>45244</v>
      </c>
      <c r="Y15" s="5"/>
      <c r="Z15" s="5">
        <f>580+120</f>
        <v>700</v>
      </c>
      <c r="AA15" s="5"/>
      <c r="AB15" s="5"/>
      <c r="AC15" s="5"/>
      <c r="AD15" s="5"/>
      <c r="AE15" s="5"/>
      <c r="AF15" s="5"/>
      <c r="AG15" s="5">
        <f>456+324</f>
        <v>780</v>
      </c>
      <c r="AH15" s="5"/>
      <c r="AI15" s="5"/>
      <c r="AJ15" s="5"/>
      <c r="AK15" s="5"/>
      <c r="AL15" s="5"/>
      <c r="AM15" s="5">
        <v>2788</v>
      </c>
      <c r="AN15" s="5"/>
      <c r="AO15" s="5"/>
      <c r="AP15" s="5"/>
      <c r="AQ15" s="126"/>
    </row>
    <row r="16">
      <c r="A16" s="103">
        <v>45245</v>
      </c>
      <c r="B16" s="14"/>
      <c r="C16" s="97">
        <v>67.950000000000003</v>
      </c>
      <c r="D16" s="14"/>
      <c r="E16" s="14"/>
      <c r="F16" s="14"/>
      <c r="G16" s="14"/>
      <c r="H16" s="14"/>
      <c r="I16" s="14"/>
      <c r="J16" s="14"/>
      <c r="K16" s="14">
        <v>197</v>
      </c>
      <c r="L16" s="14"/>
      <c r="M16" s="14"/>
      <c r="N16" s="14"/>
      <c r="O16" s="14"/>
      <c r="P16" s="14"/>
      <c r="Q16" s="14"/>
      <c r="R16" s="14"/>
      <c r="S16" s="14"/>
      <c r="T16" s="126"/>
      <c r="X16" s="103">
        <v>45245</v>
      </c>
      <c r="Y16" s="14"/>
      <c r="Z16" s="97">
        <v>393</v>
      </c>
      <c r="AA16" s="14"/>
      <c r="AB16" s="14"/>
      <c r="AC16" s="14"/>
      <c r="AD16" s="14">
        <v>99</v>
      </c>
      <c r="AE16" s="14"/>
      <c r="AF16" s="14"/>
      <c r="AG16" s="14"/>
      <c r="AH16" s="14"/>
      <c r="AI16" s="14"/>
      <c r="AJ16" s="14"/>
      <c r="AK16" s="14"/>
      <c r="AL16" s="14"/>
      <c r="AM16" s="14"/>
      <c r="AN16" s="14"/>
      <c r="AO16" s="14"/>
      <c r="AP16" s="14"/>
      <c r="AQ16" s="126"/>
    </row>
    <row r="17">
      <c r="A17" s="103">
        <v>45246</v>
      </c>
      <c r="B17" s="5"/>
      <c r="C17" s="6"/>
      <c r="D17" s="5"/>
      <c r="E17" s="5"/>
      <c r="F17" s="5"/>
      <c r="G17" s="5"/>
      <c r="H17" s="5"/>
      <c r="I17" s="5"/>
      <c r="J17" s="5"/>
      <c r="K17" s="5"/>
      <c r="L17" s="5"/>
      <c r="M17" s="5"/>
      <c r="N17" s="5"/>
      <c r="O17" s="5"/>
      <c r="P17" s="5"/>
      <c r="Q17" s="5"/>
      <c r="R17" s="5"/>
      <c r="S17" s="5"/>
      <c r="T17" s="126"/>
      <c r="X17" s="103">
        <v>45246</v>
      </c>
      <c r="Y17" s="5"/>
      <c r="Z17" s="6">
        <f>364</f>
        <v>364</v>
      </c>
      <c r="AA17" s="5"/>
      <c r="AB17" s="5"/>
      <c r="AC17" s="5"/>
      <c r="AD17" s="5"/>
      <c r="AE17" s="5"/>
      <c r="AF17" s="5"/>
      <c r="AG17" s="5">
        <v>100</v>
      </c>
      <c r="AH17" s="5"/>
      <c r="AI17" s="5"/>
      <c r="AJ17" s="5"/>
      <c r="AK17" s="5"/>
      <c r="AL17" s="5"/>
      <c r="AM17" s="5"/>
      <c r="AN17" s="5"/>
      <c r="AO17" s="5"/>
      <c r="AP17" s="5"/>
      <c r="AQ17" s="126"/>
    </row>
    <row r="18">
      <c r="A18" s="103">
        <v>45247</v>
      </c>
      <c r="B18" s="14">
        <f>25+1000</f>
        <v>1025</v>
      </c>
      <c r="C18" s="14">
        <v>38.990000000000002</v>
      </c>
      <c r="D18" s="14"/>
      <c r="E18" s="14"/>
      <c r="F18" s="14"/>
      <c r="G18" s="14"/>
      <c r="H18" s="14"/>
      <c r="I18" s="14"/>
      <c r="J18" s="14">
        <f>288+516</f>
        <v>804</v>
      </c>
      <c r="K18" s="14"/>
      <c r="L18" s="14"/>
      <c r="M18" s="14"/>
      <c r="N18" s="14"/>
      <c r="O18" s="14"/>
      <c r="P18" s="14"/>
      <c r="Q18" s="14"/>
      <c r="R18" s="14"/>
      <c r="S18" s="14"/>
      <c r="T18" s="126"/>
      <c r="X18" s="103">
        <v>45247</v>
      </c>
      <c r="Y18" s="14"/>
      <c r="Z18" s="14"/>
      <c r="AA18" s="14"/>
      <c r="AB18" s="14">
        <v>564</v>
      </c>
      <c r="AC18" s="14"/>
      <c r="AD18" s="14"/>
      <c r="AE18" s="14"/>
      <c r="AF18" s="14"/>
      <c r="AG18" s="14"/>
      <c r="AH18" s="14">
        <v>305</v>
      </c>
      <c r="AI18" s="14"/>
      <c r="AJ18" s="14"/>
      <c r="AK18" s="14"/>
      <c r="AL18" s="14"/>
      <c r="AM18" s="14"/>
      <c r="AN18" s="14"/>
      <c r="AO18" s="14"/>
      <c r="AP18" s="14"/>
      <c r="AQ18" s="126"/>
    </row>
    <row r="19">
      <c r="A19" s="103">
        <v>45248</v>
      </c>
      <c r="B19" s="5"/>
      <c r="C19" s="5">
        <v>259.95999999999998</v>
      </c>
      <c r="D19" s="5"/>
      <c r="E19" s="5"/>
      <c r="F19" s="5"/>
      <c r="G19" s="5"/>
      <c r="H19" s="5"/>
      <c r="I19" s="5"/>
      <c r="J19" s="5"/>
      <c r="K19" s="5"/>
      <c r="L19" s="5"/>
      <c r="M19" s="5"/>
      <c r="N19" s="5"/>
      <c r="O19" s="5"/>
      <c r="P19" s="5"/>
      <c r="Q19" s="5"/>
      <c r="R19" s="6"/>
      <c r="S19" s="5"/>
      <c r="T19" s="126"/>
      <c r="X19" s="103">
        <v>45248</v>
      </c>
      <c r="Y19" s="5"/>
      <c r="Z19" s="5"/>
      <c r="AA19" s="5"/>
      <c r="AB19" s="5"/>
      <c r="AC19" s="5"/>
      <c r="AD19" s="5"/>
      <c r="AE19" s="5"/>
      <c r="AF19" s="5"/>
      <c r="AG19" s="5"/>
      <c r="AH19" s="5"/>
      <c r="AI19" s="5"/>
      <c r="AJ19" s="5"/>
      <c r="AK19" s="5"/>
      <c r="AL19" s="5"/>
      <c r="AM19" s="5"/>
      <c r="AN19" s="5"/>
      <c r="AO19" s="6"/>
      <c r="AP19" s="5"/>
      <c r="AQ19" s="126"/>
    </row>
    <row r="20">
      <c r="A20" s="103">
        <v>45249</v>
      </c>
      <c r="B20" s="14"/>
      <c r="C20" s="14"/>
      <c r="D20" s="14"/>
      <c r="E20" s="14"/>
      <c r="F20" s="14"/>
      <c r="G20" s="14"/>
      <c r="H20" s="14"/>
      <c r="I20" s="14"/>
      <c r="J20" s="14"/>
      <c r="K20" s="14"/>
      <c r="L20" s="14"/>
      <c r="M20" s="14"/>
      <c r="N20" s="14"/>
      <c r="O20" s="14"/>
      <c r="P20" s="34"/>
      <c r="Q20" s="14"/>
      <c r="R20" s="14"/>
      <c r="S20" s="14"/>
      <c r="T20" s="126"/>
      <c r="X20" s="103">
        <v>45249</v>
      </c>
      <c r="Y20" s="14"/>
      <c r="Z20" s="14"/>
      <c r="AA20" s="14"/>
      <c r="AB20" s="14"/>
      <c r="AC20" s="14"/>
      <c r="AD20" s="14"/>
      <c r="AE20" s="14"/>
      <c r="AF20" s="14"/>
      <c r="AG20" s="14"/>
      <c r="AH20" s="14"/>
      <c r="AI20" s="14"/>
      <c r="AJ20" s="14">
        <v>405</v>
      </c>
      <c r="AK20" s="14"/>
      <c r="AL20" s="14"/>
      <c r="AM20" s="34"/>
      <c r="AN20" s="14"/>
      <c r="AO20" s="14"/>
      <c r="AP20" s="14"/>
      <c r="AQ20" s="126"/>
    </row>
    <row r="21">
      <c r="A21" s="103">
        <v>45250</v>
      </c>
      <c r="B21" s="69">
        <v>103</v>
      </c>
      <c r="C21" s="6"/>
      <c r="D21" s="5"/>
      <c r="E21" s="5"/>
      <c r="F21" s="5"/>
      <c r="G21" s="5"/>
      <c r="H21" s="5"/>
      <c r="I21" s="5"/>
      <c r="J21" s="5"/>
      <c r="K21" s="5"/>
      <c r="L21" s="5"/>
      <c r="M21" s="5">
        <f>428.89+499.99+6.9+524.14+5000</f>
        <v>6459.9200000000001</v>
      </c>
      <c r="N21" s="5"/>
      <c r="O21" s="5"/>
      <c r="P21" s="5"/>
      <c r="Q21" s="5"/>
      <c r="R21" s="5"/>
      <c r="S21" s="5"/>
      <c r="T21" s="126"/>
      <c r="X21" s="103">
        <v>45250</v>
      </c>
      <c r="Y21" s="69"/>
      <c r="Z21" s="6">
        <f>604.88+99.95</f>
        <v>704.83000000000004</v>
      </c>
      <c r="AA21" s="5"/>
      <c r="AB21" s="5"/>
      <c r="AC21" s="5"/>
      <c r="AD21" s="5"/>
      <c r="AE21" s="5"/>
      <c r="AF21" s="5"/>
      <c r="AG21" s="5">
        <f>248</f>
        <v>248</v>
      </c>
      <c r="AH21" s="5"/>
      <c r="AI21" s="5"/>
      <c r="AJ21" s="5"/>
      <c r="AK21" s="5"/>
      <c r="AL21" s="5"/>
      <c r="AM21" s="5"/>
      <c r="AN21" s="5"/>
      <c r="AO21" s="5"/>
      <c r="AP21" s="5"/>
      <c r="AQ21" s="126"/>
    </row>
    <row r="22">
      <c r="A22" s="103">
        <v>45251</v>
      </c>
      <c r="B22" s="22"/>
      <c r="C22" s="14"/>
      <c r="D22" s="14"/>
      <c r="E22" s="14">
        <v>640</v>
      </c>
      <c r="F22" s="14"/>
      <c r="G22" s="14"/>
      <c r="H22" s="14"/>
      <c r="I22" s="14"/>
      <c r="J22" s="14"/>
      <c r="K22" s="14"/>
      <c r="L22" s="14"/>
      <c r="M22" s="14"/>
      <c r="N22" s="14"/>
      <c r="O22" s="14"/>
      <c r="P22" s="14"/>
      <c r="Q22" s="14"/>
      <c r="R22" s="14"/>
      <c r="S22" s="14"/>
      <c r="T22" s="126"/>
      <c r="X22" s="103">
        <v>45251</v>
      </c>
      <c r="Y22" s="22"/>
      <c r="Z22" s="14"/>
      <c r="AA22" s="14"/>
      <c r="AB22" s="14"/>
      <c r="AC22" s="14"/>
      <c r="AD22" s="14"/>
      <c r="AE22" s="14"/>
      <c r="AF22" s="14"/>
      <c r="AG22" s="14"/>
      <c r="AH22" s="14"/>
      <c r="AI22" s="14"/>
      <c r="AJ22" s="14"/>
      <c r="AK22" s="14"/>
      <c r="AL22" s="14"/>
      <c r="AM22" s="14"/>
      <c r="AN22" s="14"/>
      <c r="AO22" s="14"/>
      <c r="AP22" s="14"/>
      <c r="AQ22" s="126"/>
    </row>
    <row r="23">
      <c r="A23" s="103">
        <v>45252</v>
      </c>
      <c r="B23" s="5"/>
      <c r="C23" s="5"/>
      <c r="D23" s="5"/>
      <c r="E23" s="5"/>
      <c r="F23" s="5"/>
      <c r="G23" s="5"/>
      <c r="H23" s="5"/>
      <c r="I23" s="5"/>
      <c r="J23" s="5"/>
      <c r="K23" s="5"/>
      <c r="L23" s="5"/>
      <c r="M23" s="5"/>
      <c r="N23" s="5"/>
      <c r="O23" s="5"/>
      <c r="P23" s="5"/>
      <c r="Q23" s="5"/>
      <c r="R23" s="5"/>
      <c r="S23" s="5"/>
      <c r="T23" s="126"/>
      <c r="X23" s="103">
        <v>45252</v>
      </c>
      <c r="Y23" s="5"/>
      <c r="Z23" s="5">
        <v>1132.8099999999999</v>
      </c>
      <c r="AA23" s="5"/>
      <c r="AB23" s="5"/>
      <c r="AC23" s="5"/>
      <c r="AD23" s="5"/>
      <c r="AE23" s="5"/>
      <c r="AF23" s="5"/>
      <c r="AG23" s="5"/>
      <c r="AH23" s="5"/>
      <c r="AI23" s="5"/>
      <c r="AJ23" s="5"/>
      <c r="AK23" s="5"/>
      <c r="AL23" s="5"/>
      <c r="AM23" s="5"/>
      <c r="AN23" s="5"/>
      <c r="AO23" s="5"/>
      <c r="AP23" s="5"/>
      <c r="AQ23" s="126"/>
    </row>
    <row r="24">
      <c r="A24" s="103">
        <v>45253</v>
      </c>
      <c r="B24" s="14"/>
      <c r="C24" s="14">
        <f>89.98+339.98</f>
        <v>429.96000000000004</v>
      </c>
      <c r="D24" s="14"/>
      <c r="E24" s="14"/>
      <c r="F24" s="14"/>
      <c r="G24" s="14"/>
      <c r="H24" s="14"/>
      <c r="I24" s="14"/>
      <c r="J24" s="14"/>
      <c r="K24" s="14"/>
      <c r="L24" s="14"/>
      <c r="M24" s="14"/>
      <c r="N24" s="14"/>
      <c r="O24" s="14"/>
      <c r="P24" s="14"/>
      <c r="Q24" s="14"/>
      <c r="R24" s="14"/>
      <c r="S24" s="14"/>
      <c r="T24" s="126"/>
      <c r="X24" s="103">
        <v>45253</v>
      </c>
      <c r="Y24" s="14"/>
      <c r="Z24" s="14"/>
      <c r="AA24" s="14"/>
      <c r="AB24" s="14"/>
      <c r="AC24" s="14"/>
      <c r="AD24" s="14"/>
      <c r="AE24" s="14"/>
      <c r="AF24" s="14"/>
      <c r="AG24" s="14"/>
      <c r="AH24" s="14"/>
      <c r="AI24" s="14"/>
      <c r="AJ24" s="14"/>
      <c r="AK24" s="14"/>
      <c r="AL24" s="14"/>
      <c r="AM24" s="14">
        <v>1075</v>
      </c>
      <c r="AN24" s="14"/>
      <c r="AO24" s="14"/>
      <c r="AP24" s="14"/>
      <c r="AQ24" s="126"/>
    </row>
    <row r="25">
      <c r="A25" s="103">
        <v>45254</v>
      </c>
      <c r="B25" s="28"/>
      <c r="C25" s="5"/>
      <c r="D25" s="5"/>
      <c r="E25" s="5">
        <v>879</v>
      </c>
      <c r="F25" s="5"/>
      <c r="G25" s="5"/>
      <c r="H25" s="5"/>
      <c r="I25" s="5"/>
      <c r="J25" s="5"/>
      <c r="K25" s="5"/>
      <c r="L25" s="5"/>
      <c r="M25" s="5"/>
      <c r="N25" s="5"/>
      <c r="O25" s="5"/>
      <c r="P25" s="5"/>
      <c r="Q25" s="5"/>
      <c r="R25" s="5"/>
      <c r="S25" s="5"/>
      <c r="T25" s="126"/>
      <c r="X25" s="103">
        <v>45254</v>
      </c>
      <c r="Y25" s="28"/>
      <c r="Z25" s="5"/>
      <c r="AA25" s="5"/>
      <c r="AB25" s="5"/>
      <c r="AC25" s="5"/>
      <c r="AD25" s="5"/>
      <c r="AE25" s="5"/>
      <c r="AF25" s="5"/>
      <c r="AG25" s="5"/>
      <c r="AH25" s="5"/>
      <c r="AI25" s="5"/>
      <c r="AJ25" s="5"/>
      <c r="AK25" s="5"/>
      <c r="AL25" s="5"/>
      <c r="AM25" s="5"/>
      <c r="AN25" s="5"/>
      <c r="AO25" s="5"/>
      <c r="AP25" s="5"/>
      <c r="AQ25" s="126"/>
    </row>
    <row r="26">
      <c r="A26" s="103">
        <v>45255</v>
      </c>
      <c r="B26" s="14"/>
      <c r="C26" s="14">
        <f>249.93+129.99</f>
        <v>379.92000000000002</v>
      </c>
      <c r="D26" s="14"/>
      <c r="E26" s="14"/>
      <c r="F26" s="14"/>
      <c r="G26" s="14"/>
      <c r="H26" s="14"/>
      <c r="I26" s="14"/>
      <c r="J26" s="14"/>
      <c r="K26" s="14"/>
      <c r="L26" s="14"/>
      <c r="M26" s="14"/>
      <c r="N26" s="14"/>
      <c r="O26" s="14"/>
      <c r="P26" s="14"/>
      <c r="Q26" s="14"/>
      <c r="R26" s="14"/>
      <c r="S26" s="14"/>
      <c r="T26" s="126"/>
      <c r="X26" s="103">
        <v>45255</v>
      </c>
      <c r="Y26" s="14"/>
      <c r="Z26" s="14"/>
      <c r="AA26" s="14"/>
      <c r="AB26" s="14"/>
      <c r="AC26" s="14"/>
      <c r="AD26" s="14"/>
      <c r="AE26" s="14"/>
      <c r="AF26" s="14"/>
      <c r="AG26" s="14"/>
      <c r="AH26" s="14"/>
      <c r="AI26" s="14"/>
      <c r="AJ26" s="14"/>
      <c r="AK26" s="14"/>
      <c r="AL26" s="14"/>
      <c r="AM26" s="14"/>
      <c r="AN26" s="14"/>
      <c r="AO26" s="14"/>
      <c r="AP26" s="14"/>
      <c r="AQ26" s="126"/>
    </row>
    <row r="27">
      <c r="A27" s="103">
        <v>45256</v>
      </c>
      <c r="B27" s="5"/>
      <c r="C27" s="6">
        <f>39.99+49.99</f>
        <v>89.980000000000004</v>
      </c>
      <c r="D27" s="5"/>
      <c r="E27" s="5">
        <v>185</v>
      </c>
      <c r="F27" s="5"/>
      <c r="G27" s="5"/>
      <c r="H27" s="5"/>
      <c r="I27" s="5"/>
      <c r="J27" s="5">
        <f>350+340+39.99+9+175</f>
        <v>913.99000000000001</v>
      </c>
      <c r="K27" s="5"/>
      <c r="L27" s="5"/>
      <c r="M27" s="5"/>
      <c r="N27" s="5"/>
      <c r="O27" s="5"/>
      <c r="P27" s="5"/>
      <c r="Q27" s="5"/>
      <c r="R27" s="5"/>
      <c r="S27" s="5"/>
      <c r="T27" s="126"/>
      <c r="X27" s="103">
        <v>45256</v>
      </c>
      <c r="Y27" s="5"/>
      <c r="Z27" s="6"/>
      <c r="AA27" s="5"/>
      <c r="AB27" s="5"/>
      <c r="AC27" s="5"/>
      <c r="AD27" s="5"/>
      <c r="AE27" s="5"/>
      <c r="AF27" s="5"/>
      <c r="AG27" s="5"/>
      <c r="AH27" s="5"/>
      <c r="AI27" s="5"/>
      <c r="AJ27" s="5"/>
      <c r="AK27" s="5"/>
      <c r="AL27" s="5"/>
      <c r="AM27" s="5">
        <v>225</v>
      </c>
      <c r="AN27" s="5"/>
      <c r="AO27" s="5"/>
      <c r="AP27" s="5"/>
      <c r="AQ27" s="126"/>
    </row>
    <row r="28">
      <c r="A28" s="103">
        <v>45257</v>
      </c>
      <c r="B28" s="14"/>
      <c r="C28" s="14">
        <v>1947.8900000000001</v>
      </c>
      <c r="D28" s="14"/>
      <c r="E28" s="14"/>
      <c r="F28" s="14"/>
      <c r="G28" s="14"/>
      <c r="H28" s="14"/>
      <c r="I28" s="14"/>
      <c r="J28" s="14"/>
      <c r="K28" s="14"/>
      <c r="L28" s="14"/>
      <c r="M28" s="14"/>
      <c r="N28" s="14"/>
      <c r="O28" s="14"/>
      <c r="P28" s="14"/>
      <c r="Q28" s="14"/>
      <c r="R28" s="14"/>
      <c r="S28" s="14"/>
      <c r="T28" s="126"/>
      <c r="X28" s="103">
        <v>45257</v>
      </c>
      <c r="Y28" s="14">
        <v>1000</v>
      </c>
      <c r="Z28" s="14">
        <v>132</v>
      </c>
      <c r="AA28" s="14"/>
      <c r="AB28" s="14"/>
      <c r="AC28" s="14">
        <v>500</v>
      </c>
      <c r="AD28" s="14"/>
      <c r="AE28" s="14"/>
      <c r="AF28" s="14"/>
      <c r="AG28" s="14"/>
      <c r="AH28" s="14"/>
      <c r="AI28" s="14"/>
      <c r="AJ28" s="14"/>
      <c r="AK28" s="14"/>
      <c r="AL28" s="14"/>
      <c r="AM28" s="14"/>
      <c r="AN28" s="14"/>
      <c r="AO28" s="14"/>
      <c r="AP28" s="14"/>
      <c r="AQ28" s="126"/>
    </row>
    <row r="29">
      <c r="A29" s="103">
        <v>45258</v>
      </c>
      <c r="B29" s="5"/>
      <c r="C29" s="5"/>
      <c r="D29" s="5"/>
      <c r="E29" s="5"/>
      <c r="F29" s="5"/>
      <c r="G29" s="5">
        <v>327.5</v>
      </c>
      <c r="H29" s="5"/>
      <c r="I29" s="5"/>
      <c r="J29" s="5"/>
      <c r="K29" s="5"/>
      <c r="L29" s="5"/>
      <c r="M29" s="5"/>
      <c r="N29" s="5"/>
      <c r="O29" s="5"/>
      <c r="P29" s="5"/>
      <c r="Q29" s="5"/>
      <c r="R29" s="5"/>
      <c r="S29" s="5"/>
      <c r="T29" s="126"/>
      <c r="X29" s="103">
        <v>45258</v>
      </c>
      <c r="Y29" s="5"/>
      <c r="Z29" s="5"/>
      <c r="AA29" s="5"/>
      <c r="AB29" s="5">
        <v>198</v>
      </c>
      <c r="AC29" s="5"/>
      <c r="AD29" s="5"/>
      <c r="AE29" s="5">
        <v>600</v>
      </c>
      <c r="AF29" s="5"/>
      <c r="AG29" s="5"/>
      <c r="AH29" s="5"/>
      <c r="AI29" s="5"/>
      <c r="AJ29" s="5"/>
      <c r="AK29" s="5"/>
      <c r="AL29" s="5"/>
      <c r="AM29" s="5"/>
      <c r="AN29" s="5"/>
      <c r="AO29" s="5"/>
      <c r="AP29" s="5"/>
      <c r="AQ29" s="126"/>
    </row>
    <row r="30">
      <c r="A30" s="103">
        <v>45259</v>
      </c>
      <c r="B30" s="22"/>
      <c r="C30" s="22">
        <v>359.93000000000001</v>
      </c>
      <c r="D30" s="22"/>
      <c r="E30" s="22"/>
      <c r="F30" s="22"/>
      <c r="G30" s="22"/>
      <c r="H30" s="22"/>
      <c r="I30" s="22"/>
      <c r="J30" s="22"/>
      <c r="K30" s="22"/>
      <c r="L30" s="22"/>
      <c r="M30" s="22"/>
      <c r="N30" s="22"/>
      <c r="O30" s="22"/>
      <c r="P30" s="22"/>
      <c r="Q30" s="22"/>
      <c r="R30" s="22"/>
      <c r="S30" s="22"/>
      <c r="T30" s="126"/>
      <c r="X30" s="103">
        <v>45259</v>
      </c>
      <c r="Y30" s="22"/>
      <c r="Z30" s="22">
        <f>533.93</f>
        <v>533.92999999999995</v>
      </c>
      <c r="AA30" s="22"/>
      <c r="AB30" s="22">
        <v>485</v>
      </c>
      <c r="AC30" s="22"/>
      <c r="AD30" s="22"/>
      <c r="AE30" s="22">
        <v>688</v>
      </c>
      <c r="AF30" s="22"/>
      <c r="AG30" s="22"/>
      <c r="AH30" s="22"/>
      <c r="AI30" s="22"/>
      <c r="AJ30" s="22"/>
      <c r="AK30" s="22"/>
      <c r="AL30" s="22"/>
      <c r="AM30" s="22"/>
      <c r="AN30" s="22"/>
      <c r="AO30" s="22"/>
      <c r="AP30" s="22"/>
      <c r="AQ30" s="126"/>
    </row>
    <row r="31">
      <c r="A31" s="103">
        <v>45260</v>
      </c>
      <c r="B31" s="5"/>
      <c r="C31" s="5">
        <v>69</v>
      </c>
      <c r="D31" s="5"/>
      <c r="E31" s="5"/>
      <c r="F31" s="5"/>
      <c r="G31" s="5"/>
      <c r="H31" s="5"/>
      <c r="I31" s="5"/>
      <c r="J31" s="5"/>
      <c r="K31" s="5"/>
      <c r="L31" s="5"/>
      <c r="M31" s="5"/>
      <c r="N31" s="5"/>
      <c r="O31" s="5"/>
      <c r="P31" s="5"/>
      <c r="Q31" s="5"/>
      <c r="R31" s="5"/>
      <c r="S31" s="5"/>
      <c r="T31" s="126"/>
      <c r="X31" s="103">
        <v>45260</v>
      </c>
      <c r="Y31" s="5"/>
      <c r="Z31" s="5"/>
      <c r="AA31" s="5"/>
      <c r="AB31" s="5">
        <v>560</v>
      </c>
      <c r="AC31" s="5"/>
      <c r="AD31" s="5"/>
      <c r="AE31" s="5">
        <v>1700</v>
      </c>
      <c r="AF31" s="5">
        <v>450</v>
      </c>
      <c r="AG31" s="5"/>
      <c r="AH31" s="5"/>
      <c r="AI31" s="5"/>
      <c r="AJ31" s="5"/>
      <c r="AK31" s="5">
        <v>400</v>
      </c>
      <c r="AL31" s="5"/>
      <c r="AM31" s="5">
        <v>86</v>
      </c>
      <c r="AN31" s="5"/>
      <c r="AO31" s="5"/>
      <c r="AP31" s="5"/>
      <c r="AQ31" s="126"/>
    </row>
    <row r="32">
      <c r="A32" s="103"/>
      <c r="B32" s="22"/>
      <c r="C32" s="22"/>
      <c r="D32" s="22"/>
      <c r="E32" s="22"/>
      <c r="F32" s="22"/>
      <c r="G32" s="22"/>
      <c r="H32" s="22"/>
      <c r="I32" s="22"/>
      <c r="J32" s="22"/>
      <c r="K32" s="22"/>
      <c r="L32" s="22"/>
      <c r="M32" s="22"/>
      <c r="N32" s="22"/>
      <c r="O32" s="22"/>
      <c r="P32" s="22"/>
      <c r="Q32" s="22"/>
      <c r="R32" s="22"/>
      <c r="S32" s="22"/>
      <c r="T32" s="126"/>
      <c r="X32" s="103"/>
      <c r="Y32" s="22"/>
      <c r="Z32" s="22"/>
      <c r="AA32" s="22"/>
      <c r="AB32" s="22"/>
      <c r="AC32" s="22"/>
      <c r="AD32" s="22"/>
      <c r="AE32" s="22"/>
      <c r="AF32" s="22"/>
      <c r="AG32" s="22"/>
      <c r="AH32" s="22"/>
      <c r="AI32" s="22"/>
      <c r="AJ32" s="22"/>
      <c r="AK32" s="22"/>
      <c r="AL32" s="22"/>
      <c r="AM32" s="22"/>
      <c r="AN32" s="22"/>
      <c r="AO32" s="22"/>
      <c r="AP32" s="22"/>
      <c r="AQ32" s="126"/>
    </row>
    <row r="33">
      <c r="A33" s="113" t="s">
        <v>87</v>
      </c>
      <c r="B33" s="113">
        <f>SUM(B2:B32)</f>
        <v>1472.6347031963471</v>
      </c>
      <c r="C33" s="113">
        <f>SUM(C2:C32)</f>
        <v>5574.6754794520557</v>
      </c>
      <c r="D33" s="113">
        <f>SUM(D2:D32)</f>
        <v>1934.4748858447488</v>
      </c>
      <c r="E33" s="113">
        <f>SUM(E2:E32)</f>
        <v>3064.5525114155253</v>
      </c>
      <c r="F33" s="113">
        <f>SUM(F2:F32)</f>
        <v>0</v>
      </c>
      <c r="G33" s="113">
        <f>SUM(G2:G32)</f>
        <v>327.5</v>
      </c>
      <c r="H33" s="113">
        <f>SUM(H2:H32)</f>
        <v>0</v>
      </c>
      <c r="I33" s="113">
        <f>SUM(I2:I32)</f>
        <v>0</v>
      </c>
      <c r="J33" s="113">
        <f>SUM(J2:J32)</f>
        <v>4704.9899999999998</v>
      </c>
      <c r="K33" s="113">
        <f>SUM(K2:K32)</f>
        <v>197</v>
      </c>
      <c r="L33" s="113">
        <f>SUM(L2:L32)</f>
        <v>1141.552511415525</v>
      </c>
      <c r="M33" s="113">
        <f>SUM(M2:M32)</f>
        <v>6459.9200000000001</v>
      </c>
      <c r="N33" s="113">
        <f>SUM(N2:N32)</f>
        <v>543</v>
      </c>
      <c r="O33" s="113">
        <f>SUM(O2:O32)</f>
        <v>0</v>
      </c>
      <c r="P33" s="113">
        <f>SUM(P2:P32)</f>
        <v>0</v>
      </c>
      <c r="Q33" s="113">
        <f>SUM(Q2:Q32)</f>
        <v>0</v>
      </c>
      <c r="R33" s="113">
        <f>SUM(R2:R32)</f>
        <v>0</v>
      </c>
      <c r="S33" s="113">
        <f>SUM(B33:R33)+SUM(S2:S32)</f>
        <v>25420.300091324199</v>
      </c>
      <c r="T33" s="107" t="s">
        <v>90</v>
      </c>
      <c r="X33" s="113" t="s">
        <v>87</v>
      </c>
      <c r="Y33" s="113">
        <f>SUM(Y2:Y32)</f>
        <v>1649</v>
      </c>
      <c r="Z33" s="113">
        <f>SUM(Z2:Z32)</f>
        <v>6680.5699999999997</v>
      </c>
      <c r="AA33" s="113">
        <f>SUM(AA2:AA32)</f>
        <v>0</v>
      </c>
      <c r="AB33" s="113">
        <f>SUM(AB2:AB32)</f>
        <v>2602</v>
      </c>
      <c r="AC33" s="113">
        <f>SUM(AC2:AC32)</f>
        <v>500</v>
      </c>
      <c r="AD33" s="113">
        <f>SUM(AD2:AD32)</f>
        <v>99</v>
      </c>
      <c r="AE33" s="113">
        <f>SUM(AE2:AE32)</f>
        <v>4688</v>
      </c>
      <c r="AF33" s="113">
        <f>SUM(AF2:AF32)</f>
        <v>450</v>
      </c>
      <c r="AG33" s="113">
        <f>SUM(AG2:AG32)</f>
        <v>1847</v>
      </c>
      <c r="AH33" s="113">
        <f>SUM(AH2:AH32)</f>
        <v>747</v>
      </c>
      <c r="AI33" s="113">
        <f>SUM(AI2:AI32)</f>
        <v>0</v>
      </c>
      <c r="AJ33" s="113">
        <f>SUM(AJ2:AJ32)</f>
        <v>405</v>
      </c>
      <c r="AK33" s="113">
        <f>SUM(AK2:AK32)</f>
        <v>400</v>
      </c>
      <c r="AL33" s="113">
        <f>SUM(AL2:AL32)</f>
        <v>0</v>
      </c>
      <c r="AM33" s="113">
        <f>SUM(AM2:AM32)</f>
        <v>14808</v>
      </c>
      <c r="AN33" s="113">
        <f>SUM(AN2:AN32)</f>
        <v>0</v>
      </c>
      <c r="AO33" s="113">
        <f>SUM(AO2:AO32)</f>
        <v>0</v>
      </c>
      <c r="AP33" s="113">
        <f>SUM(Y33:AO33)+SUM(AP2:AP32)</f>
        <v>34875.57</v>
      </c>
      <c r="AQ33" s="107" t="s">
        <v>90</v>
      </c>
    </row>
    <row r="34">
      <c r="A34" s="108" t="s">
        <v>89</v>
      </c>
      <c r="B34" s="110"/>
      <c r="C34" s="110"/>
      <c r="D34" s="110"/>
      <c r="E34" s="110"/>
      <c r="F34" s="110"/>
      <c r="G34" s="110"/>
      <c r="H34" s="110"/>
      <c r="I34" s="110"/>
      <c r="J34" s="110"/>
      <c r="K34" s="110"/>
      <c r="L34" s="110"/>
      <c r="M34" s="110"/>
      <c r="N34" s="110"/>
      <c r="O34" s="110"/>
      <c r="P34" s="110"/>
      <c r="Q34" s="110"/>
      <c r="R34" s="110"/>
      <c r="S34" s="120"/>
      <c r="T34" s="107"/>
      <c r="X34" s="108" t="s">
        <v>89</v>
      </c>
      <c r="Y34" s="110"/>
      <c r="Z34" s="110"/>
      <c r="AA34" s="110"/>
      <c r="AB34" s="110"/>
      <c r="AC34" s="110"/>
      <c r="AD34" s="110"/>
      <c r="AE34" s="110"/>
      <c r="AF34" s="110"/>
      <c r="AG34" s="110"/>
      <c r="AH34" s="110"/>
      <c r="AI34" s="110"/>
      <c r="AJ34" s="110"/>
      <c r="AK34" s="110"/>
      <c r="AL34" s="110"/>
      <c r="AM34" s="110"/>
      <c r="AN34" s="110"/>
      <c r="AO34" s="110"/>
      <c r="AP34" s="120"/>
      <c r="AQ34" s="107"/>
    </row>
    <row r="35">
      <c r="A35" s="121" t="s">
        <v>0</v>
      </c>
      <c r="B35" s="121" t="s">
        <v>50</v>
      </c>
      <c r="C35" s="121" t="s">
        <v>13</v>
      </c>
      <c r="D35" s="121" t="s">
        <v>11</v>
      </c>
      <c r="E35" s="121" t="s">
        <v>51</v>
      </c>
      <c r="F35" s="121" t="s">
        <v>52</v>
      </c>
      <c r="G35" s="121"/>
      <c r="H35" s="121" t="s">
        <v>54</v>
      </c>
      <c r="I35" s="121" t="s">
        <v>55</v>
      </c>
      <c r="J35" s="121" t="s">
        <v>61</v>
      </c>
      <c r="K35" s="121" t="s">
        <v>74</v>
      </c>
      <c r="L35" s="122"/>
      <c r="M35" s="122"/>
      <c r="N35" s="122"/>
      <c r="O35" s="122"/>
      <c r="P35" s="122"/>
      <c r="Q35" s="122"/>
      <c r="R35" s="122"/>
      <c r="S35" s="122"/>
      <c r="T35" s="126"/>
      <c r="X35" s="121" t="s">
        <v>0</v>
      </c>
      <c r="Y35" s="121" t="s">
        <v>50</v>
      </c>
      <c r="Z35" s="121" t="s">
        <v>13</v>
      </c>
      <c r="AA35" s="121" t="s">
        <v>11</v>
      </c>
      <c r="AB35" s="121" t="s">
        <v>51</v>
      </c>
      <c r="AC35" s="121" t="s">
        <v>52</v>
      </c>
      <c r="AD35" s="121"/>
      <c r="AE35" s="121" t="s">
        <v>54</v>
      </c>
      <c r="AF35" s="121" t="s">
        <v>55</v>
      </c>
      <c r="AG35" s="121" t="s">
        <v>61</v>
      </c>
      <c r="AH35" s="121" t="s">
        <v>74</v>
      </c>
      <c r="AI35" s="122"/>
      <c r="AJ35" s="122"/>
      <c r="AK35" s="122"/>
      <c r="AL35" s="122"/>
      <c r="AM35" s="122"/>
      <c r="AN35" s="122"/>
      <c r="AO35" s="122"/>
      <c r="AP35" s="122"/>
      <c r="AQ35" s="126"/>
    </row>
    <row r="36">
      <c r="A36" s="103">
        <v>45231</v>
      </c>
      <c r="B36" s="14"/>
      <c r="C36" s="14"/>
      <c r="D36" s="14"/>
      <c r="E36" s="14"/>
      <c r="F36" s="14"/>
      <c r="G36" s="14"/>
      <c r="H36" s="14"/>
      <c r="I36" s="14"/>
      <c r="J36" s="22"/>
      <c r="K36" s="22"/>
      <c r="L36" s="22"/>
      <c r="M36" s="22"/>
      <c r="N36" s="22"/>
      <c r="O36" s="22"/>
      <c r="P36" s="22"/>
      <c r="Q36" s="22"/>
      <c r="R36" s="22"/>
      <c r="S36" s="22"/>
      <c r="T36" s="126"/>
      <c r="X36" s="103">
        <v>45231</v>
      </c>
      <c r="Y36" s="14"/>
      <c r="Z36" s="14"/>
      <c r="AA36" s="14"/>
      <c r="AB36" s="14"/>
      <c r="AC36" s="14"/>
      <c r="AD36" s="14"/>
      <c r="AE36" s="14"/>
      <c r="AF36" s="14"/>
      <c r="AG36" s="22"/>
      <c r="AH36" s="22"/>
      <c r="AI36" s="22"/>
      <c r="AJ36" s="22"/>
      <c r="AK36" s="22"/>
      <c r="AL36" s="22"/>
      <c r="AM36" s="22"/>
      <c r="AN36" s="22"/>
      <c r="AO36" s="22"/>
      <c r="AP36" s="22"/>
      <c r="AQ36" s="126"/>
    </row>
    <row r="37">
      <c r="A37" s="103">
        <v>45232</v>
      </c>
      <c r="B37" s="5"/>
      <c r="C37" s="5"/>
      <c r="D37" s="5"/>
      <c r="E37" s="5"/>
      <c r="F37" s="5"/>
      <c r="G37" s="5"/>
      <c r="H37" s="5"/>
      <c r="I37" s="5"/>
      <c r="J37" s="5"/>
      <c r="K37" s="5"/>
      <c r="L37" s="5"/>
      <c r="M37" s="5"/>
      <c r="N37" s="5"/>
      <c r="O37" s="5"/>
      <c r="P37" s="5"/>
      <c r="Q37" s="5"/>
      <c r="R37" s="5"/>
      <c r="S37" s="5"/>
      <c r="T37" s="126"/>
      <c r="X37" s="103">
        <v>45232</v>
      </c>
      <c r="Y37" s="5"/>
      <c r="Z37" s="5"/>
      <c r="AA37" s="5"/>
      <c r="AB37" s="5"/>
      <c r="AC37" s="5"/>
      <c r="AD37" s="5"/>
      <c r="AE37" s="5"/>
      <c r="AF37" s="5"/>
      <c r="AG37" s="5"/>
      <c r="AH37" s="5"/>
      <c r="AI37" s="5"/>
      <c r="AJ37" s="5"/>
      <c r="AK37" s="5"/>
      <c r="AL37" s="5"/>
      <c r="AM37" s="5"/>
      <c r="AN37" s="5"/>
      <c r="AO37" s="5"/>
      <c r="AP37" s="5"/>
      <c r="AQ37" s="126"/>
    </row>
    <row r="38">
      <c r="A38" s="103">
        <v>45233</v>
      </c>
      <c r="B38" s="14">
        <f>250000/'Сводная таблица'!B84</f>
        <v>57077.625570776254</v>
      </c>
      <c r="C38" s="14"/>
      <c r="D38" s="14"/>
      <c r="E38" s="14"/>
      <c r="F38" s="14"/>
      <c r="G38" s="14"/>
      <c r="H38" s="14"/>
      <c r="I38" s="14"/>
      <c r="J38" s="22"/>
      <c r="K38" s="22"/>
      <c r="L38" s="22"/>
      <c r="M38" s="22"/>
      <c r="N38" s="22"/>
      <c r="O38" s="22"/>
      <c r="P38" s="22"/>
      <c r="Q38" s="22"/>
      <c r="R38" s="22"/>
      <c r="S38" s="22"/>
      <c r="T38" s="126"/>
      <c r="X38" s="103">
        <v>45233</v>
      </c>
      <c r="Y38" s="14"/>
      <c r="Z38" s="14"/>
      <c r="AA38" s="14"/>
      <c r="AB38" s="14"/>
      <c r="AC38" s="14"/>
      <c r="AD38" s="14"/>
      <c r="AE38" s="14"/>
      <c r="AF38" s="14"/>
      <c r="AG38" s="22"/>
      <c r="AH38" s="22"/>
      <c r="AI38" s="22"/>
      <c r="AJ38" s="22"/>
      <c r="AK38" s="22"/>
      <c r="AL38" s="22"/>
      <c r="AM38" s="22"/>
      <c r="AN38" s="22"/>
      <c r="AO38" s="22"/>
      <c r="AP38" s="22"/>
      <c r="AQ38" s="126"/>
    </row>
    <row r="39">
      <c r="A39" s="103">
        <v>45234</v>
      </c>
      <c r="B39" s="5">
        <f>340909/'Сводная таблица'!B84</f>
        <v>77833.105022831049</v>
      </c>
      <c r="C39" s="5"/>
      <c r="D39" s="5"/>
      <c r="E39" s="71"/>
      <c r="F39" s="5"/>
      <c r="G39" s="5"/>
      <c r="H39" s="5"/>
      <c r="I39" s="5">
        <f>(3.66+518+129)</f>
        <v>650.65999999999997</v>
      </c>
      <c r="J39" s="5"/>
      <c r="K39" s="5"/>
      <c r="L39" s="5"/>
      <c r="M39" s="5"/>
      <c r="N39" s="5"/>
      <c r="O39" s="5"/>
      <c r="P39" s="5"/>
      <c r="Q39" s="5"/>
      <c r="R39" s="5"/>
      <c r="S39" s="5"/>
      <c r="T39" s="126"/>
      <c r="X39" s="103">
        <v>45234</v>
      </c>
      <c r="Y39" s="5"/>
      <c r="Z39" s="5"/>
      <c r="AA39" s="5"/>
      <c r="AB39" s="71"/>
      <c r="AC39" s="5"/>
      <c r="AD39" s="5"/>
      <c r="AE39" s="5"/>
      <c r="AF39" s="5"/>
      <c r="AG39" s="5"/>
      <c r="AH39" s="5"/>
      <c r="AI39" s="5"/>
      <c r="AJ39" s="5"/>
      <c r="AK39" s="5"/>
      <c r="AL39" s="5"/>
      <c r="AM39" s="5"/>
      <c r="AN39" s="5"/>
      <c r="AO39" s="5"/>
      <c r="AP39" s="5"/>
      <c r="AQ39" s="126"/>
    </row>
    <row r="40">
      <c r="A40" s="103">
        <v>45235</v>
      </c>
      <c r="B40" s="14"/>
      <c r="C40" s="14"/>
      <c r="D40" s="14"/>
      <c r="E40" s="14"/>
      <c r="F40" s="14"/>
      <c r="G40" s="14"/>
      <c r="H40" s="14"/>
      <c r="I40" s="14"/>
      <c r="J40" s="14"/>
      <c r="K40" s="14"/>
      <c r="L40" s="14"/>
      <c r="M40" s="14"/>
      <c r="N40" s="14"/>
      <c r="O40" s="14"/>
      <c r="P40" s="14"/>
      <c r="Q40" s="14"/>
      <c r="R40" s="14"/>
      <c r="S40" s="14"/>
      <c r="T40" s="126"/>
      <c r="X40" s="103">
        <v>45235</v>
      </c>
      <c r="Y40" s="14"/>
      <c r="Z40" s="14"/>
      <c r="AA40" s="14"/>
      <c r="AB40" s="14"/>
      <c r="AC40" s="14"/>
      <c r="AD40" s="14"/>
      <c r="AE40" s="14">
        <f>500+1000</f>
        <v>1500</v>
      </c>
      <c r="AF40" s="14"/>
      <c r="AG40" s="14"/>
      <c r="AH40" s="14"/>
      <c r="AI40" s="14"/>
      <c r="AJ40" s="14"/>
      <c r="AK40" s="14"/>
      <c r="AL40" s="14"/>
      <c r="AM40" s="14"/>
      <c r="AN40" s="14"/>
      <c r="AO40" s="14"/>
      <c r="AP40" s="14"/>
      <c r="AQ40" s="126"/>
    </row>
    <row r="41">
      <c r="A41" s="103">
        <v>45236</v>
      </c>
      <c r="B41" s="5"/>
      <c r="C41" s="5"/>
      <c r="D41" s="5"/>
      <c r="E41" s="5"/>
      <c r="F41" s="5"/>
      <c r="G41" s="5"/>
      <c r="H41" s="5"/>
      <c r="I41" s="5"/>
      <c r="J41" s="5"/>
      <c r="K41" s="5"/>
      <c r="L41" s="5"/>
      <c r="M41" s="5"/>
      <c r="N41" s="5"/>
      <c r="O41" s="5"/>
      <c r="P41" s="5"/>
      <c r="Q41" s="5"/>
      <c r="R41" s="5"/>
      <c r="S41" s="5"/>
      <c r="T41" s="126"/>
      <c r="X41" s="103">
        <v>45236</v>
      </c>
      <c r="Y41" s="5"/>
      <c r="Z41" s="5"/>
      <c r="AA41" s="5"/>
      <c r="AB41" s="5"/>
      <c r="AC41" s="5"/>
      <c r="AD41" s="5"/>
      <c r="AE41" s="5"/>
      <c r="AF41" s="5"/>
      <c r="AG41" s="5"/>
      <c r="AH41" s="5"/>
      <c r="AI41" s="5"/>
      <c r="AJ41" s="5"/>
      <c r="AK41" s="5"/>
      <c r="AL41" s="5"/>
      <c r="AM41" s="5"/>
      <c r="AN41" s="5"/>
      <c r="AO41" s="5"/>
      <c r="AP41" s="5"/>
      <c r="AQ41" s="126"/>
    </row>
    <row r="42">
      <c r="A42" s="103">
        <v>45237</v>
      </c>
      <c r="B42" s="14"/>
      <c r="C42" s="14"/>
      <c r="D42" s="14"/>
      <c r="E42" s="14"/>
      <c r="F42" s="14"/>
      <c r="G42" s="14"/>
      <c r="H42" s="14"/>
      <c r="I42" s="14"/>
      <c r="J42" s="14"/>
      <c r="K42" s="14"/>
      <c r="L42" s="14"/>
      <c r="M42" s="14"/>
      <c r="N42" s="14"/>
      <c r="O42" s="14"/>
      <c r="P42" s="14"/>
      <c r="Q42" s="14"/>
      <c r="R42" s="14"/>
      <c r="S42" s="14"/>
      <c r="T42" s="126"/>
      <c r="X42" s="103">
        <v>45237</v>
      </c>
      <c r="Y42" s="14"/>
      <c r="Z42" s="14"/>
      <c r="AA42" s="14"/>
      <c r="AB42" s="14"/>
      <c r="AC42" s="14"/>
      <c r="AD42" s="14"/>
      <c r="AE42" s="14">
        <v>500</v>
      </c>
      <c r="AF42" s="14"/>
      <c r="AG42" s="14"/>
      <c r="AH42" s="14"/>
      <c r="AI42" s="14"/>
      <c r="AJ42" s="14"/>
      <c r="AK42" s="14"/>
      <c r="AL42" s="14"/>
      <c r="AM42" s="14"/>
      <c r="AN42" s="14"/>
      <c r="AO42" s="14"/>
      <c r="AP42" s="14"/>
      <c r="AQ42" s="126"/>
    </row>
    <row r="43">
      <c r="A43" s="103">
        <v>45238</v>
      </c>
      <c r="B43" s="5"/>
      <c r="C43" s="5"/>
      <c r="D43" s="5"/>
      <c r="E43" s="5"/>
      <c r="F43" s="5"/>
      <c r="G43" s="5"/>
      <c r="H43" s="5"/>
      <c r="I43" s="5"/>
      <c r="J43" s="5"/>
      <c r="K43" s="5"/>
      <c r="L43" s="5"/>
      <c r="M43" s="5"/>
      <c r="N43" s="5"/>
      <c r="O43" s="5"/>
      <c r="P43" s="5"/>
      <c r="Q43" s="5"/>
      <c r="R43" s="5"/>
      <c r="S43" s="5"/>
      <c r="T43" s="126"/>
      <c r="X43" s="103">
        <v>45238</v>
      </c>
      <c r="Y43" s="5"/>
      <c r="Z43" s="5"/>
      <c r="AA43" s="5"/>
      <c r="AB43" s="5"/>
      <c r="AC43" s="5"/>
      <c r="AD43" s="5"/>
      <c r="AE43" s="5"/>
      <c r="AF43" s="5"/>
      <c r="AG43" s="5"/>
      <c r="AH43" s="5"/>
      <c r="AI43" s="5"/>
      <c r="AJ43" s="5"/>
      <c r="AK43" s="5"/>
      <c r="AL43" s="5"/>
      <c r="AM43" s="5"/>
      <c r="AN43" s="5"/>
      <c r="AO43" s="5"/>
      <c r="AP43" s="5"/>
      <c r="AQ43" s="126"/>
    </row>
    <row r="44">
      <c r="A44" s="103">
        <v>45239</v>
      </c>
      <c r="B44" s="79"/>
      <c r="C44" s="14"/>
      <c r="D44" s="14"/>
      <c r="E44" s="14"/>
      <c r="F44" s="14"/>
      <c r="G44" s="14"/>
      <c r="H44" s="14"/>
      <c r="I44" s="14"/>
      <c r="J44" s="14"/>
      <c r="K44" s="14"/>
      <c r="L44" s="14"/>
      <c r="M44" s="14"/>
      <c r="N44" s="14"/>
      <c r="O44" s="14"/>
      <c r="P44" s="14"/>
      <c r="Q44" s="14"/>
      <c r="R44" s="14"/>
      <c r="S44" s="14"/>
      <c r="T44" s="126"/>
      <c r="X44" s="103">
        <v>45239</v>
      </c>
      <c r="Y44" s="79"/>
      <c r="Z44" s="14"/>
      <c r="AA44" s="14"/>
      <c r="AB44" s="14"/>
      <c r="AC44" s="14"/>
      <c r="AD44" s="14"/>
      <c r="AE44" s="14"/>
      <c r="AF44" s="14"/>
      <c r="AG44" s="14"/>
      <c r="AH44" s="14"/>
      <c r="AI44" s="14"/>
      <c r="AJ44" s="14"/>
      <c r="AK44" s="14"/>
      <c r="AL44" s="14"/>
      <c r="AM44" s="14"/>
      <c r="AN44" s="14"/>
      <c r="AO44" s="14"/>
      <c r="AP44" s="14"/>
      <c r="AQ44" s="126"/>
    </row>
    <row r="45">
      <c r="A45" s="103">
        <v>45240</v>
      </c>
      <c r="B45" s="5"/>
      <c r="C45" s="5"/>
      <c r="D45" s="5"/>
      <c r="E45" s="5"/>
      <c r="F45" s="5"/>
      <c r="G45" s="5"/>
      <c r="H45" s="5"/>
      <c r="I45" s="5"/>
      <c r="J45" s="5"/>
      <c r="K45" s="5"/>
      <c r="L45" s="5"/>
      <c r="M45" s="5"/>
      <c r="N45" s="5"/>
      <c r="O45" s="5"/>
      <c r="P45" s="5"/>
      <c r="Q45" s="5"/>
      <c r="R45" s="5"/>
      <c r="S45" s="5"/>
      <c r="T45" s="126"/>
      <c r="X45" s="103">
        <v>45240</v>
      </c>
      <c r="Y45" s="5"/>
      <c r="Z45" s="5"/>
      <c r="AA45" s="5"/>
      <c r="AB45" s="5"/>
      <c r="AC45" s="5"/>
      <c r="AD45" s="5"/>
      <c r="AE45" s="5"/>
      <c r="AF45" s="5"/>
      <c r="AG45" s="5"/>
      <c r="AH45" s="5"/>
      <c r="AI45" s="5"/>
      <c r="AJ45" s="5"/>
      <c r="AK45" s="5"/>
      <c r="AL45" s="5"/>
      <c r="AM45" s="5"/>
      <c r="AN45" s="5"/>
      <c r="AO45" s="5"/>
      <c r="AP45" s="5"/>
      <c r="AQ45" s="126"/>
    </row>
    <row r="46">
      <c r="A46" s="103">
        <v>45241</v>
      </c>
      <c r="B46" s="14"/>
      <c r="C46" s="14"/>
      <c r="D46" s="14"/>
      <c r="E46" s="14"/>
      <c r="F46" s="14"/>
      <c r="G46" s="14"/>
      <c r="H46" s="14"/>
      <c r="I46" s="14"/>
      <c r="J46" s="14"/>
      <c r="K46" s="14"/>
      <c r="L46" s="14"/>
      <c r="M46" s="14"/>
      <c r="N46" s="14"/>
      <c r="O46" s="14"/>
      <c r="P46" s="14"/>
      <c r="Q46" s="14"/>
      <c r="R46" s="14"/>
      <c r="S46" s="14"/>
      <c r="T46" s="126"/>
      <c r="X46" s="103">
        <v>45241</v>
      </c>
      <c r="Y46" s="14"/>
      <c r="Z46" s="14"/>
      <c r="AA46" s="14"/>
      <c r="AB46" s="14"/>
      <c r="AC46" s="14"/>
      <c r="AD46" s="14"/>
      <c r="AE46" s="14"/>
      <c r="AF46" s="14"/>
      <c r="AG46" s="14"/>
      <c r="AH46" s="14"/>
      <c r="AI46" s="14"/>
      <c r="AJ46" s="14"/>
      <c r="AK46" s="14"/>
      <c r="AL46" s="14"/>
      <c r="AM46" s="14"/>
      <c r="AN46" s="14"/>
      <c r="AO46" s="14"/>
      <c r="AP46" s="14"/>
      <c r="AQ46" s="126"/>
    </row>
    <row r="47">
      <c r="A47" s="103">
        <v>45242</v>
      </c>
      <c r="B47" s="5"/>
      <c r="C47" s="5"/>
      <c r="D47" s="5"/>
      <c r="E47" s="5"/>
      <c r="F47" s="5"/>
      <c r="G47" s="5"/>
      <c r="H47" s="5"/>
      <c r="I47" s="5"/>
      <c r="J47" s="5"/>
      <c r="K47" s="5"/>
      <c r="L47" s="5"/>
      <c r="M47" s="5"/>
      <c r="N47" s="5"/>
      <c r="O47" s="5"/>
      <c r="P47" s="5"/>
      <c r="Q47" s="5"/>
      <c r="R47" s="5"/>
      <c r="S47" s="5"/>
      <c r="T47" s="126"/>
      <c r="X47" s="103">
        <v>45242</v>
      </c>
      <c r="Y47" s="5"/>
      <c r="Z47" s="5"/>
      <c r="AA47" s="5"/>
      <c r="AB47" s="5"/>
      <c r="AC47" s="5"/>
      <c r="AD47" s="5"/>
      <c r="AE47" s="5">
        <v>1000</v>
      </c>
      <c r="AF47" s="5"/>
      <c r="AG47" s="5"/>
      <c r="AH47" s="5"/>
      <c r="AI47" s="5"/>
      <c r="AJ47" s="5"/>
      <c r="AK47" s="5"/>
      <c r="AL47" s="5"/>
      <c r="AM47" s="5"/>
      <c r="AN47" s="5"/>
      <c r="AO47" s="5"/>
      <c r="AP47" s="5"/>
      <c r="AQ47" s="126"/>
    </row>
    <row r="48">
      <c r="A48" s="103">
        <v>45243</v>
      </c>
      <c r="B48" s="14"/>
      <c r="C48" s="14"/>
      <c r="D48" s="14"/>
      <c r="E48" s="14"/>
      <c r="F48" s="14"/>
      <c r="G48" s="14"/>
      <c r="H48" s="14"/>
      <c r="I48" s="14"/>
      <c r="J48" s="14"/>
      <c r="K48" s="14"/>
      <c r="L48" s="14"/>
      <c r="M48" s="14"/>
      <c r="N48" s="14"/>
      <c r="O48" s="14"/>
      <c r="P48" s="14"/>
      <c r="Q48" s="14"/>
      <c r="R48" s="14"/>
      <c r="S48" s="14"/>
      <c r="T48" s="126"/>
      <c r="X48" s="103">
        <v>45243</v>
      </c>
      <c r="Y48" s="14"/>
      <c r="Z48" s="14"/>
      <c r="AA48" s="14"/>
      <c r="AB48" s="14"/>
      <c r="AC48" s="14"/>
      <c r="AD48" s="14"/>
      <c r="AE48" s="14"/>
      <c r="AF48" s="14"/>
      <c r="AG48" s="14"/>
      <c r="AH48" s="14"/>
      <c r="AI48" s="14"/>
      <c r="AJ48" s="14"/>
      <c r="AK48" s="14"/>
      <c r="AL48" s="14"/>
      <c r="AM48" s="14"/>
      <c r="AN48" s="14"/>
      <c r="AO48" s="14"/>
      <c r="AP48" s="14"/>
      <c r="AQ48" s="126"/>
    </row>
    <row r="49">
      <c r="A49" s="103">
        <v>45244</v>
      </c>
      <c r="B49" s="5"/>
      <c r="C49" s="5"/>
      <c r="D49" s="5"/>
      <c r="E49" s="5"/>
      <c r="F49" s="5"/>
      <c r="G49" s="5"/>
      <c r="H49" s="5"/>
      <c r="I49" s="5"/>
      <c r="J49" s="5"/>
      <c r="K49" s="5"/>
      <c r="L49" s="5"/>
      <c r="M49" s="5"/>
      <c r="N49" s="5"/>
      <c r="O49" s="5"/>
      <c r="P49" s="5"/>
      <c r="Q49" s="5"/>
      <c r="R49" s="5"/>
      <c r="S49" s="5"/>
      <c r="T49" s="126"/>
      <c r="X49" s="103">
        <v>45244</v>
      </c>
      <c r="Y49" s="5">
        <v>30405</v>
      </c>
      <c r="Z49" s="5"/>
      <c r="AA49" s="5"/>
      <c r="AB49" s="5"/>
      <c r="AC49" s="5"/>
      <c r="AD49" s="5"/>
      <c r="AE49" s="5"/>
      <c r="AF49" s="5"/>
      <c r="AG49" s="5"/>
      <c r="AH49" s="5"/>
      <c r="AI49" s="5"/>
      <c r="AJ49" s="5"/>
      <c r="AK49" s="5"/>
      <c r="AL49" s="5"/>
      <c r="AM49" s="5"/>
      <c r="AN49" s="5"/>
      <c r="AO49" s="5"/>
      <c r="AP49" s="5"/>
      <c r="AQ49" s="126"/>
    </row>
    <row r="50">
      <c r="A50" s="103">
        <v>45245</v>
      </c>
      <c r="B50" s="14"/>
      <c r="C50" s="14"/>
      <c r="D50" s="14"/>
      <c r="E50" s="14"/>
      <c r="F50" s="14"/>
      <c r="G50" s="14"/>
      <c r="H50" s="14"/>
      <c r="I50" s="14"/>
      <c r="J50" s="14"/>
      <c r="K50" s="14"/>
      <c r="L50" s="14"/>
      <c r="M50" s="14"/>
      <c r="N50" s="14"/>
      <c r="O50" s="14"/>
      <c r="P50" s="14"/>
      <c r="Q50" s="14"/>
      <c r="R50" s="14"/>
      <c r="S50" s="14"/>
      <c r="T50" s="126"/>
      <c r="X50" s="103">
        <v>45245</v>
      </c>
      <c r="Y50" s="14"/>
      <c r="Z50" s="14"/>
      <c r="AA50" s="14"/>
      <c r="AB50" s="14"/>
      <c r="AC50" s="14"/>
      <c r="AD50" s="14"/>
      <c r="AE50" s="14"/>
      <c r="AF50" s="14">
        <v>16</v>
      </c>
      <c r="AG50" s="14"/>
      <c r="AH50" s="14"/>
      <c r="AI50" s="14"/>
      <c r="AJ50" s="14"/>
      <c r="AK50" s="14"/>
      <c r="AL50" s="14"/>
      <c r="AM50" s="14"/>
      <c r="AN50" s="14"/>
      <c r="AO50" s="14"/>
      <c r="AP50" s="14"/>
      <c r="AQ50" s="126"/>
    </row>
    <row r="51">
      <c r="A51" s="103">
        <v>45246</v>
      </c>
      <c r="B51" s="5"/>
      <c r="C51" s="5"/>
      <c r="D51" s="5"/>
      <c r="E51" s="5"/>
      <c r="F51" s="5"/>
      <c r="G51" s="5"/>
      <c r="H51" s="5"/>
      <c r="I51" s="5"/>
      <c r="J51" s="5"/>
      <c r="K51" s="5"/>
      <c r="L51" s="5"/>
      <c r="M51" s="5"/>
      <c r="N51" s="5"/>
      <c r="O51" s="5"/>
      <c r="P51" s="5"/>
      <c r="Q51" s="5"/>
      <c r="R51" s="5"/>
      <c r="S51" s="5"/>
      <c r="T51" s="126"/>
      <c r="X51" s="103">
        <v>45246</v>
      </c>
      <c r="Y51" s="5"/>
      <c r="Z51" s="5"/>
      <c r="AA51" s="5"/>
      <c r="AB51" s="5"/>
      <c r="AC51" s="5"/>
      <c r="AD51" s="5"/>
      <c r="AE51" s="5"/>
      <c r="AF51" s="5"/>
      <c r="AG51" s="5"/>
      <c r="AH51" s="5"/>
      <c r="AI51" s="5"/>
      <c r="AJ51" s="5"/>
      <c r="AK51" s="5"/>
      <c r="AL51" s="5"/>
      <c r="AM51" s="5"/>
      <c r="AN51" s="5"/>
      <c r="AO51" s="5"/>
      <c r="AP51" s="5"/>
      <c r="AQ51" s="126"/>
    </row>
    <row r="52">
      <c r="A52" s="103">
        <v>45247</v>
      </c>
      <c r="B52" s="14"/>
      <c r="C52" s="14"/>
      <c r="D52" s="14"/>
      <c r="E52" s="14"/>
      <c r="F52" s="14"/>
      <c r="G52" s="14"/>
      <c r="H52" s="14"/>
      <c r="I52" s="14">
        <v>98</v>
      </c>
      <c r="J52" s="14"/>
      <c r="K52" s="14"/>
      <c r="L52" s="14"/>
      <c r="M52" s="14"/>
      <c r="N52" s="14"/>
      <c r="O52" s="14"/>
      <c r="P52" s="14"/>
      <c r="Q52" s="14"/>
      <c r="R52" s="14"/>
      <c r="S52" s="14"/>
      <c r="T52" s="126"/>
      <c r="X52" s="103">
        <v>45247</v>
      </c>
      <c r="Y52" s="14"/>
      <c r="Z52" s="14"/>
      <c r="AA52" s="14"/>
      <c r="AB52" s="14"/>
      <c r="AC52" s="14"/>
      <c r="AD52" s="14"/>
      <c r="AE52" s="14"/>
      <c r="AF52" s="14"/>
      <c r="AG52" s="14"/>
      <c r="AH52" s="14"/>
      <c r="AI52" s="14"/>
      <c r="AJ52" s="14"/>
      <c r="AK52" s="14"/>
      <c r="AL52" s="14"/>
      <c r="AM52" s="14"/>
      <c r="AN52" s="14"/>
      <c r="AO52" s="14"/>
      <c r="AP52" s="14"/>
      <c r="AQ52" s="126"/>
    </row>
    <row r="53">
      <c r="A53" s="103">
        <v>45248</v>
      </c>
      <c r="B53" s="5"/>
      <c r="C53" s="5"/>
      <c r="D53" s="5"/>
      <c r="E53" s="5"/>
      <c r="F53" s="5"/>
      <c r="G53" s="5"/>
      <c r="H53" s="5"/>
      <c r="I53" s="5"/>
      <c r="J53" s="5"/>
      <c r="K53" s="5"/>
      <c r="L53" s="5"/>
      <c r="M53" s="5"/>
      <c r="N53" s="5"/>
      <c r="O53" s="5"/>
      <c r="P53" s="5"/>
      <c r="Q53" s="5"/>
      <c r="R53" s="5"/>
      <c r="S53" s="5"/>
      <c r="T53" s="126"/>
      <c r="X53" s="103">
        <v>45248</v>
      </c>
      <c r="Y53" s="5"/>
      <c r="Z53" s="5"/>
      <c r="AA53" s="5"/>
      <c r="AB53" s="5"/>
      <c r="AC53" s="5"/>
      <c r="AD53" s="5"/>
      <c r="AE53" s="5"/>
      <c r="AF53" s="5"/>
      <c r="AG53" s="5"/>
      <c r="AH53" s="5"/>
      <c r="AI53" s="5"/>
      <c r="AJ53" s="5"/>
      <c r="AK53" s="5"/>
      <c r="AL53" s="5"/>
      <c r="AM53" s="5"/>
      <c r="AN53" s="5"/>
      <c r="AO53" s="5"/>
      <c r="AP53" s="5"/>
      <c r="AQ53" s="126"/>
    </row>
    <row r="54">
      <c r="A54" s="103">
        <v>45249</v>
      </c>
      <c r="B54" s="14"/>
      <c r="C54" s="14"/>
      <c r="D54" s="14"/>
      <c r="E54" s="14"/>
      <c r="F54" s="14"/>
      <c r="G54" s="14"/>
      <c r="H54" s="14"/>
      <c r="I54" s="14"/>
      <c r="J54" s="14"/>
      <c r="K54" s="14"/>
      <c r="L54" s="14"/>
      <c r="M54" s="14"/>
      <c r="N54" s="14"/>
      <c r="O54" s="14"/>
      <c r="P54" s="14"/>
      <c r="Q54" s="14"/>
      <c r="R54" s="14"/>
      <c r="S54" s="14"/>
      <c r="T54" s="126"/>
      <c r="X54" s="103">
        <v>45249</v>
      </c>
      <c r="Y54" s="14"/>
      <c r="Z54" s="14"/>
      <c r="AA54" s="14"/>
      <c r="AB54" s="14"/>
      <c r="AC54" s="14"/>
      <c r="AD54" s="14"/>
      <c r="AE54" s="14"/>
      <c r="AF54" s="14"/>
      <c r="AG54" s="14"/>
      <c r="AH54" s="14"/>
      <c r="AI54" s="14"/>
      <c r="AJ54" s="14"/>
      <c r="AK54" s="14"/>
      <c r="AL54" s="14"/>
      <c r="AM54" s="14"/>
      <c r="AN54" s="14"/>
      <c r="AO54" s="14"/>
      <c r="AP54" s="14"/>
      <c r="AQ54" s="126"/>
    </row>
    <row r="55">
      <c r="A55" s="103">
        <v>45250</v>
      </c>
      <c r="B55" s="5"/>
      <c r="C55" s="5"/>
      <c r="D55" s="5"/>
      <c r="E55" s="5"/>
      <c r="F55" s="5"/>
      <c r="G55" s="5"/>
      <c r="H55" s="5"/>
      <c r="I55" s="5"/>
      <c r="J55" s="5"/>
      <c r="K55" s="5"/>
      <c r="L55" s="5"/>
      <c r="M55" s="5"/>
      <c r="N55" s="5"/>
      <c r="O55" s="5"/>
      <c r="P55" s="5"/>
      <c r="Q55" s="5"/>
      <c r="R55" s="5"/>
      <c r="S55" s="5"/>
      <c r="T55" s="126"/>
      <c r="X55" s="103">
        <v>45250</v>
      </c>
      <c r="Y55" s="5"/>
      <c r="Z55" s="5"/>
      <c r="AA55" s="5"/>
      <c r="AB55" s="5"/>
      <c r="AC55" s="5"/>
      <c r="AD55" s="5"/>
      <c r="AE55" s="5"/>
      <c r="AF55" s="5"/>
      <c r="AG55" s="5"/>
      <c r="AH55" s="5"/>
      <c r="AI55" s="5"/>
      <c r="AJ55" s="5"/>
      <c r="AK55" s="5"/>
      <c r="AL55" s="5"/>
      <c r="AM55" s="5"/>
      <c r="AN55" s="5"/>
      <c r="AO55" s="5"/>
      <c r="AP55" s="5"/>
      <c r="AQ55" s="126"/>
    </row>
    <row r="56">
      <c r="A56" s="103">
        <v>45251</v>
      </c>
      <c r="B56" s="14"/>
      <c r="C56" s="14"/>
      <c r="D56" s="14"/>
      <c r="E56" s="14"/>
      <c r="F56" s="14"/>
      <c r="G56" s="14"/>
      <c r="H56" s="14"/>
      <c r="I56" s="14"/>
      <c r="J56" s="14"/>
      <c r="K56" s="14"/>
      <c r="L56" s="14"/>
      <c r="M56" s="14"/>
      <c r="N56" s="14"/>
      <c r="O56" s="14"/>
      <c r="P56" s="14"/>
      <c r="Q56" s="14"/>
      <c r="R56" s="14"/>
      <c r="S56" s="14"/>
      <c r="T56" s="126"/>
      <c r="X56" s="103">
        <v>45251</v>
      </c>
      <c r="Y56" s="14"/>
      <c r="Z56" s="14"/>
      <c r="AA56" s="14"/>
      <c r="AB56" s="14"/>
      <c r="AC56" s="14"/>
      <c r="AD56" s="14"/>
      <c r="AE56" s="14"/>
      <c r="AF56" s="14"/>
      <c r="AG56" s="14"/>
      <c r="AH56" s="14"/>
      <c r="AI56" s="14"/>
      <c r="AJ56" s="14"/>
      <c r="AK56" s="14"/>
      <c r="AL56" s="14"/>
      <c r="AM56" s="14"/>
      <c r="AN56" s="14"/>
      <c r="AO56" s="14"/>
      <c r="AP56" s="14"/>
      <c r="AQ56" s="126"/>
    </row>
    <row r="57">
      <c r="A57" s="103">
        <v>45252</v>
      </c>
      <c r="B57" s="5"/>
      <c r="C57" s="5"/>
      <c r="D57" s="5"/>
      <c r="E57" s="5"/>
      <c r="F57" s="5"/>
      <c r="G57" s="5"/>
      <c r="H57" s="5"/>
      <c r="I57" s="5"/>
      <c r="J57" s="5"/>
      <c r="K57" s="5"/>
      <c r="L57" s="5"/>
      <c r="M57" s="5"/>
      <c r="N57" s="5"/>
      <c r="O57" s="5"/>
      <c r="P57" s="5"/>
      <c r="Q57" s="5"/>
      <c r="R57" s="5"/>
      <c r="S57" s="5"/>
      <c r="T57" s="126"/>
      <c r="X57" s="103">
        <v>45252</v>
      </c>
      <c r="Y57" s="5"/>
      <c r="Z57" s="5"/>
      <c r="AA57" s="5"/>
      <c r="AB57" s="5"/>
      <c r="AC57" s="5"/>
      <c r="AD57" s="5"/>
      <c r="AE57" s="5"/>
      <c r="AF57" s="5"/>
      <c r="AG57" s="5"/>
      <c r="AH57" s="5"/>
      <c r="AI57" s="5"/>
      <c r="AJ57" s="5"/>
      <c r="AK57" s="5"/>
      <c r="AL57" s="5"/>
      <c r="AM57" s="5"/>
      <c r="AN57" s="5"/>
      <c r="AO57" s="5"/>
      <c r="AP57" s="5"/>
      <c r="AQ57" s="126"/>
    </row>
    <row r="58">
      <c r="A58" s="103">
        <v>45253</v>
      </c>
      <c r="B58" s="14"/>
      <c r="C58" s="14"/>
      <c r="D58" s="14"/>
      <c r="E58" s="14"/>
      <c r="F58" s="14"/>
      <c r="G58" s="14"/>
      <c r="H58" s="14"/>
      <c r="I58" s="14"/>
      <c r="J58" s="14"/>
      <c r="K58" s="14"/>
      <c r="L58" s="14"/>
      <c r="M58" s="14"/>
      <c r="N58" s="14"/>
      <c r="O58" s="14"/>
      <c r="P58" s="14"/>
      <c r="Q58" s="14"/>
      <c r="R58" s="14"/>
      <c r="S58" s="14"/>
      <c r="T58" s="126"/>
      <c r="X58" s="103">
        <v>45253</v>
      </c>
      <c r="Y58" s="14"/>
      <c r="Z58" s="14"/>
      <c r="AA58" s="14"/>
      <c r="AB58" s="14"/>
      <c r="AC58" s="14"/>
      <c r="AD58" s="14"/>
      <c r="AE58" s="14"/>
      <c r="AF58" s="14"/>
      <c r="AG58" s="14"/>
      <c r="AH58" s="14"/>
      <c r="AI58" s="14"/>
      <c r="AJ58" s="14"/>
      <c r="AK58" s="14"/>
      <c r="AL58" s="14"/>
      <c r="AM58" s="14"/>
      <c r="AN58" s="14"/>
      <c r="AO58" s="14"/>
      <c r="AP58" s="14"/>
      <c r="AQ58" s="126"/>
    </row>
    <row r="59">
      <c r="A59" s="103">
        <v>45254</v>
      </c>
      <c r="B59" s="5"/>
      <c r="C59" s="5"/>
      <c r="D59" s="5"/>
      <c r="E59" s="5"/>
      <c r="F59" s="5"/>
      <c r="G59" s="5"/>
      <c r="H59" s="5"/>
      <c r="I59" s="5"/>
      <c r="J59" s="5"/>
      <c r="K59" s="5"/>
      <c r="L59" s="5"/>
      <c r="M59" s="5"/>
      <c r="N59" s="5"/>
      <c r="O59" s="5"/>
      <c r="P59" s="5"/>
      <c r="Q59" s="5"/>
      <c r="R59" s="5"/>
      <c r="S59" s="5"/>
      <c r="T59" s="126"/>
      <c r="X59" s="103">
        <v>45254</v>
      </c>
      <c r="Y59" s="5"/>
      <c r="Z59" s="5"/>
      <c r="AA59" s="5"/>
      <c r="AB59" s="5"/>
      <c r="AC59" s="5"/>
      <c r="AD59" s="5"/>
      <c r="AE59" s="5"/>
      <c r="AF59" s="5"/>
      <c r="AG59" s="5"/>
      <c r="AH59" s="5"/>
      <c r="AI59" s="5"/>
      <c r="AJ59" s="5"/>
      <c r="AK59" s="5"/>
      <c r="AL59" s="5"/>
      <c r="AM59" s="5"/>
      <c r="AN59" s="5"/>
      <c r="AO59" s="5"/>
      <c r="AP59" s="5"/>
      <c r="AQ59" s="126"/>
    </row>
    <row r="60">
      <c r="A60" s="103">
        <v>45255</v>
      </c>
      <c r="B60" s="14"/>
      <c r="C60" s="14"/>
      <c r="D60" s="14"/>
      <c r="E60" s="14"/>
      <c r="F60" s="14"/>
      <c r="G60" s="14"/>
      <c r="H60" s="14"/>
      <c r="I60" s="14"/>
      <c r="J60" s="14"/>
      <c r="K60" s="14"/>
      <c r="L60" s="14"/>
      <c r="M60" s="14"/>
      <c r="N60" s="14"/>
      <c r="O60" s="14"/>
      <c r="P60" s="14"/>
      <c r="Q60" s="14"/>
      <c r="R60" s="14"/>
      <c r="S60" s="14"/>
      <c r="T60" s="126"/>
      <c r="X60" s="103">
        <v>45255</v>
      </c>
      <c r="Y60" s="14"/>
      <c r="Z60" s="14"/>
      <c r="AA60" s="14"/>
      <c r="AB60" s="14"/>
      <c r="AC60" s="14"/>
      <c r="AD60" s="14"/>
      <c r="AE60" s="14">
        <f>500+600</f>
        <v>1100</v>
      </c>
      <c r="AF60" s="14"/>
      <c r="AG60" s="14"/>
      <c r="AH60" s="14"/>
      <c r="AI60" s="14"/>
      <c r="AJ60" s="14"/>
      <c r="AK60" s="14"/>
      <c r="AL60" s="14"/>
      <c r="AM60" s="14"/>
      <c r="AN60" s="14"/>
      <c r="AO60" s="14"/>
      <c r="AP60" s="14"/>
      <c r="AQ60" s="126"/>
    </row>
    <row r="61">
      <c r="A61" s="103">
        <v>45256</v>
      </c>
      <c r="B61" s="5"/>
      <c r="C61" s="5"/>
      <c r="D61" s="5"/>
      <c r="E61" s="5"/>
      <c r="F61" s="5"/>
      <c r="G61" s="5"/>
      <c r="H61" s="5"/>
      <c r="I61" s="5"/>
      <c r="J61" s="5"/>
      <c r="K61" s="5"/>
      <c r="L61" s="5"/>
      <c r="M61" s="5"/>
      <c r="N61" s="5"/>
      <c r="O61" s="5"/>
      <c r="P61" s="5"/>
      <c r="Q61" s="5"/>
      <c r="R61" s="5"/>
      <c r="S61" s="5"/>
      <c r="T61" s="126"/>
      <c r="X61" s="103">
        <v>45256</v>
      </c>
      <c r="Y61" s="5"/>
      <c r="Z61" s="5"/>
      <c r="AA61" s="5"/>
      <c r="AB61" s="5"/>
      <c r="AC61" s="5"/>
      <c r="AD61" s="5"/>
      <c r="AE61" s="5">
        <v>1200</v>
      </c>
      <c r="AF61" s="5"/>
      <c r="AG61" s="5"/>
      <c r="AH61" s="5"/>
      <c r="AI61" s="5"/>
      <c r="AJ61" s="5"/>
      <c r="AK61" s="5"/>
      <c r="AL61" s="5"/>
      <c r="AM61" s="5"/>
      <c r="AN61" s="5"/>
      <c r="AO61" s="5"/>
      <c r="AP61" s="5"/>
      <c r="AQ61" s="126"/>
    </row>
    <row r="62">
      <c r="A62" s="103">
        <v>45257</v>
      </c>
      <c r="B62" s="14"/>
      <c r="C62" s="14"/>
      <c r="D62" s="14"/>
      <c r="E62" s="14"/>
      <c r="F62" s="14"/>
      <c r="G62" s="14"/>
      <c r="H62" s="14"/>
      <c r="I62" s="14"/>
      <c r="J62" s="14"/>
      <c r="K62" s="14"/>
      <c r="L62" s="14"/>
      <c r="M62" s="14"/>
      <c r="N62" s="14"/>
      <c r="O62" s="14"/>
      <c r="P62" s="14"/>
      <c r="Q62" s="14"/>
      <c r="R62" s="14"/>
      <c r="S62" s="14"/>
      <c r="T62" s="126"/>
      <c r="X62" s="103">
        <v>45257</v>
      </c>
      <c r="Y62" s="14"/>
      <c r="Z62" s="14"/>
      <c r="AA62" s="14"/>
      <c r="AB62" s="14"/>
      <c r="AC62" s="14"/>
      <c r="AD62" s="14"/>
      <c r="AE62" s="14"/>
      <c r="AF62" s="14"/>
      <c r="AG62" s="14"/>
      <c r="AH62" s="14"/>
      <c r="AI62" s="14"/>
      <c r="AJ62" s="14"/>
      <c r="AK62" s="14"/>
      <c r="AL62" s="14"/>
      <c r="AM62" s="14"/>
      <c r="AN62" s="14"/>
      <c r="AO62" s="14"/>
      <c r="AP62" s="14"/>
      <c r="AQ62" s="126"/>
    </row>
    <row r="63">
      <c r="A63" s="103">
        <v>45258</v>
      </c>
      <c r="B63" s="5"/>
      <c r="C63" s="5"/>
      <c r="D63" s="5"/>
      <c r="E63" s="5"/>
      <c r="F63" s="5"/>
      <c r="G63" s="5"/>
      <c r="H63" s="5"/>
      <c r="I63" s="5"/>
      <c r="J63" s="5"/>
      <c r="K63" s="5"/>
      <c r="L63" s="5"/>
      <c r="M63" s="5"/>
      <c r="N63" s="5"/>
      <c r="O63" s="5"/>
      <c r="P63" s="5"/>
      <c r="Q63" s="5"/>
      <c r="R63" s="48"/>
      <c r="S63" s="5"/>
      <c r="T63" s="126"/>
      <c r="X63" s="103">
        <v>45258</v>
      </c>
      <c r="Y63" s="5"/>
      <c r="Z63" s="5"/>
      <c r="AA63" s="5"/>
      <c r="AB63" s="5"/>
      <c r="AC63" s="5"/>
      <c r="AD63" s="5"/>
      <c r="AE63" s="5"/>
      <c r="AF63" s="5"/>
      <c r="AG63" s="5"/>
      <c r="AH63" s="5"/>
      <c r="AI63" s="5"/>
      <c r="AJ63" s="5"/>
      <c r="AK63" s="5"/>
      <c r="AL63" s="5"/>
      <c r="AM63" s="5"/>
      <c r="AN63" s="5"/>
      <c r="AO63" s="48"/>
      <c r="AP63" s="5"/>
      <c r="AQ63" s="126"/>
    </row>
    <row r="64">
      <c r="A64" s="103">
        <v>45259</v>
      </c>
      <c r="B64" s="22"/>
      <c r="C64" s="22"/>
      <c r="D64" s="22"/>
      <c r="E64" s="22"/>
      <c r="F64" s="22"/>
      <c r="G64" s="22"/>
      <c r="H64" s="22"/>
      <c r="I64" s="22"/>
      <c r="J64" s="14"/>
      <c r="K64" s="14"/>
      <c r="L64" s="14"/>
      <c r="M64" s="14"/>
      <c r="N64" s="14"/>
      <c r="O64" s="14"/>
      <c r="P64" s="14"/>
      <c r="Q64" s="14"/>
      <c r="R64" s="80"/>
      <c r="S64" s="14"/>
      <c r="T64" s="126"/>
      <c r="X64" s="103">
        <v>45259</v>
      </c>
      <c r="Y64" s="22">
        <v>47433</v>
      </c>
      <c r="Z64" s="22"/>
      <c r="AA64" s="22"/>
      <c r="AB64" s="22"/>
      <c r="AC64" s="22"/>
      <c r="AD64" s="22"/>
      <c r="AE64" s="22"/>
      <c r="AF64" s="22"/>
      <c r="AG64" s="14"/>
      <c r="AH64" s="14"/>
      <c r="AI64" s="14"/>
      <c r="AJ64" s="14"/>
      <c r="AK64" s="14"/>
      <c r="AL64" s="14"/>
      <c r="AM64" s="14"/>
      <c r="AN64" s="14"/>
      <c r="AO64" s="80"/>
      <c r="AP64" s="14"/>
      <c r="AQ64" s="126"/>
    </row>
    <row r="65">
      <c r="A65" s="103">
        <v>45260</v>
      </c>
      <c r="B65" s="5"/>
      <c r="C65" s="5"/>
      <c r="D65" s="5"/>
      <c r="E65" s="5">
        <f>1066.73+1866.79</f>
        <v>2933.52</v>
      </c>
      <c r="F65" s="5"/>
      <c r="G65" s="5"/>
      <c r="H65" s="5"/>
      <c r="I65" s="5"/>
      <c r="J65" s="5"/>
      <c r="K65" s="5"/>
      <c r="L65" s="5"/>
      <c r="M65" s="5"/>
      <c r="N65" s="5"/>
      <c r="O65" s="5"/>
      <c r="P65" s="5"/>
      <c r="Q65" s="5"/>
      <c r="R65" s="48"/>
      <c r="S65" s="5"/>
      <c r="T65" s="126"/>
      <c r="X65" s="103">
        <v>45260</v>
      </c>
      <c r="Y65" s="5"/>
      <c r="Z65" s="5"/>
      <c r="AA65" s="5"/>
      <c r="AB65" s="5"/>
      <c r="AC65" s="5"/>
      <c r="AD65" s="5"/>
      <c r="AE65" s="5"/>
      <c r="AF65" s="5"/>
      <c r="AG65" s="5"/>
      <c r="AH65" s="5"/>
      <c r="AI65" s="5"/>
      <c r="AJ65" s="5"/>
      <c r="AK65" s="5"/>
      <c r="AL65" s="5"/>
      <c r="AM65" s="5"/>
      <c r="AN65" s="5"/>
      <c r="AO65" s="48"/>
      <c r="AP65" s="5"/>
      <c r="AQ65" s="126"/>
    </row>
    <row r="66">
      <c r="A66" s="103"/>
      <c r="B66" s="22"/>
      <c r="C66" s="22"/>
      <c r="D66" s="22"/>
      <c r="E66" s="22"/>
      <c r="F66" s="22"/>
      <c r="G66" s="22"/>
      <c r="H66" s="22"/>
      <c r="I66" s="22"/>
      <c r="J66" s="14"/>
      <c r="K66" s="14"/>
      <c r="L66" s="14"/>
      <c r="M66" s="14"/>
      <c r="N66" s="14"/>
      <c r="O66" s="14"/>
      <c r="P66" s="14"/>
      <c r="Q66" s="14"/>
      <c r="R66" s="80"/>
      <c r="S66" s="14"/>
      <c r="T66" s="126"/>
      <c r="X66" s="103"/>
      <c r="Y66" s="22"/>
      <c r="Z66" s="22"/>
      <c r="AA66" s="22"/>
      <c r="AB66" s="22"/>
      <c r="AC66" s="22"/>
      <c r="AD66" s="22"/>
      <c r="AE66" s="22"/>
      <c r="AF66" s="22"/>
      <c r="AG66" s="14"/>
      <c r="AH66" s="14"/>
      <c r="AI66" s="14"/>
      <c r="AJ66" s="14"/>
      <c r="AK66" s="14"/>
      <c r="AL66" s="14"/>
      <c r="AM66" s="14"/>
      <c r="AN66" s="14"/>
      <c r="AO66" s="80"/>
      <c r="AP66" s="14"/>
      <c r="AQ66" s="126"/>
    </row>
    <row r="67">
      <c r="A67" s="113" t="s">
        <v>87</v>
      </c>
      <c r="B67" s="113">
        <f>SUM(B36:B66)</f>
        <v>134910.7305936073</v>
      </c>
      <c r="C67" s="113">
        <f>SUM(C36:C66)</f>
        <v>0</v>
      </c>
      <c r="D67" s="113">
        <f>SUM(D36:D66)</f>
        <v>0</v>
      </c>
      <c r="E67" s="113">
        <f>SUM(E36:E66)</f>
        <v>2933.52</v>
      </c>
      <c r="F67" s="113">
        <f>SUM(F36:F66)</f>
        <v>0</v>
      </c>
      <c r="G67" s="113">
        <f>SUM(G36:G66)</f>
        <v>0</v>
      </c>
      <c r="H67" s="113">
        <f>SUM(H36:H66)</f>
        <v>0</v>
      </c>
      <c r="I67" s="113">
        <f>SUM(I36:I66)</f>
        <v>748.65999999999997</v>
      </c>
      <c r="J67" s="113">
        <f>SUM(J36:J66)</f>
        <v>0</v>
      </c>
      <c r="K67" s="113">
        <f>SUM(K36:K66)</f>
        <v>0</v>
      </c>
      <c r="L67" s="113">
        <f>SUM(L36:L66)</f>
        <v>0</v>
      </c>
      <c r="M67" s="113">
        <f>SUM(M36:M66)</f>
        <v>0</v>
      </c>
      <c r="N67" s="113">
        <f>SUM(N36:N66)</f>
        <v>0</v>
      </c>
      <c r="O67" s="113">
        <f>SUM(O36:O66)</f>
        <v>0</v>
      </c>
      <c r="P67" s="113">
        <f>SUM(P36:P66)</f>
        <v>0</v>
      </c>
      <c r="Q67" s="113">
        <f>SUM(Q36:Q66)</f>
        <v>0</v>
      </c>
      <c r="R67" s="113">
        <f>SUM(R36:R66)</f>
        <v>0</v>
      </c>
      <c r="S67" s="113">
        <f>SUM(B67:R67)</f>
        <v>138592.91059360729</v>
      </c>
      <c r="T67" s="107" t="s">
        <v>90</v>
      </c>
      <c r="X67" s="113" t="s">
        <v>87</v>
      </c>
      <c r="Y67" s="113">
        <f>SUM(Y36:Y66)</f>
        <v>77838</v>
      </c>
      <c r="Z67" s="113">
        <f>SUM(Z36:Z66)</f>
        <v>0</v>
      </c>
      <c r="AA67" s="113">
        <f>SUM(AA36:AA66)</f>
        <v>0</v>
      </c>
      <c r="AB67" s="113">
        <f>SUM(AB36:AB66)</f>
        <v>0</v>
      </c>
      <c r="AC67" s="113">
        <f>SUM(AC36:AC66)</f>
        <v>0</v>
      </c>
      <c r="AD67" s="113">
        <f>SUM(AD36:AD66)</f>
        <v>0</v>
      </c>
      <c r="AE67" s="113">
        <f>SUM(AE36:AE66)</f>
        <v>5300</v>
      </c>
      <c r="AF67" s="113">
        <f>SUM(AF36:AF66)</f>
        <v>16</v>
      </c>
      <c r="AG67" s="113">
        <f>SUM(AG36:AG66)</f>
        <v>0</v>
      </c>
      <c r="AH67" s="113">
        <f>SUM(AH36:AH66)</f>
        <v>0</v>
      </c>
      <c r="AI67" s="113">
        <f>SUM(AI36:AI66)</f>
        <v>0</v>
      </c>
      <c r="AJ67" s="113">
        <f>SUM(AJ36:AJ66)</f>
        <v>0</v>
      </c>
      <c r="AK67" s="113">
        <f>SUM(AK36:AK66)</f>
        <v>0</v>
      </c>
      <c r="AL67" s="113">
        <f>SUM(AL36:AL66)</f>
        <v>0</v>
      </c>
      <c r="AM67" s="113">
        <f>SUM(AM36:AM66)</f>
        <v>0</v>
      </c>
      <c r="AN67" s="113">
        <f>SUM(AN36:AN66)</f>
        <v>0</v>
      </c>
      <c r="AO67" s="113">
        <f>SUM(AO36:AO66)</f>
        <v>0</v>
      </c>
      <c r="AP67" s="113">
        <f>SUM(Y67:AO67)</f>
        <v>83154</v>
      </c>
      <c r="AQ67" s="107" t="s">
        <v>90</v>
      </c>
    </row>
    <row r="68">
      <c r="A68" s="108" t="s">
        <v>89</v>
      </c>
      <c r="B68" s="110"/>
      <c r="C68" s="110"/>
      <c r="D68" s="110"/>
      <c r="E68" s="110"/>
      <c r="F68" s="110"/>
      <c r="G68" s="110"/>
      <c r="H68" s="110"/>
      <c r="I68" s="110"/>
      <c r="J68" s="110"/>
      <c r="K68" s="110"/>
      <c r="L68" s="110"/>
      <c r="M68" s="110"/>
      <c r="N68" s="110"/>
      <c r="O68" s="110"/>
      <c r="P68" s="110"/>
      <c r="Q68" s="110"/>
      <c r="R68" s="110"/>
      <c r="S68" s="110"/>
      <c r="T68" s="107"/>
      <c r="X68" s="108" t="s">
        <v>89</v>
      </c>
      <c r="Y68" s="110"/>
      <c r="Z68" s="110"/>
      <c r="AA68" s="110"/>
      <c r="AB68" s="110"/>
      <c r="AC68" s="110"/>
      <c r="AD68" s="110"/>
      <c r="AE68" s="110"/>
      <c r="AF68" s="110"/>
      <c r="AG68" s="110"/>
      <c r="AH68" s="110"/>
      <c r="AI68" s="110"/>
      <c r="AJ68" s="110"/>
      <c r="AK68" s="110"/>
      <c r="AL68" s="110"/>
      <c r="AM68" s="110"/>
      <c r="AN68" s="110"/>
      <c r="AO68" s="110"/>
      <c r="AP68" s="110"/>
      <c r="AQ68" s="107"/>
    </row>
    <row r="69">
      <c r="A69" s="123" t="s">
        <v>67</v>
      </c>
      <c r="B69" s="123"/>
      <c r="C69" s="123"/>
      <c r="D69" s="123"/>
      <c r="E69" s="123"/>
      <c r="F69" s="123"/>
      <c r="G69" s="123"/>
      <c r="H69" s="123"/>
      <c r="I69" s="123"/>
      <c r="J69" s="123"/>
      <c r="K69" s="123"/>
      <c r="L69" s="123"/>
      <c r="M69" s="123"/>
      <c r="N69" s="123"/>
      <c r="O69" s="123"/>
      <c r="P69" s="123"/>
      <c r="Q69" s="123"/>
      <c r="R69" s="123"/>
      <c r="S69" s="123"/>
      <c r="T69" s="126"/>
      <c r="X69" s="123" t="s">
        <v>67</v>
      </c>
      <c r="Y69" s="123"/>
      <c r="Z69" s="123"/>
      <c r="AA69" s="123"/>
      <c r="AB69" s="123"/>
      <c r="AC69" s="123"/>
      <c r="AD69" s="123"/>
      <c r="AE69" s="123"/>
      <c r="AF69" s="123"/>
      <c r="AG69" s="123"/>
      <c r="AH69" s="123"/>
      <c r="AI69" s="123"/>
      <c r="AJ69" s="123"/>
      <c r="AK69" s="123"/>
      <c r="AL69" s="123"/>
      <c r="AM69" s="123"/>
      <c r="AN69" s="123"/>
      <c r="AO69" s="123"/>
      <c r="AP69" s="123"/>
      <c r="AQ69" s="126"/>
    </row>
    <row r="70">
      <c r="A70" s="5" t="s">
        <v>68</v>
      </c>
      <c r="B70" s="118">
        <f>21000-344+2039+(23000-23000)-344-344+8164.1-4600-3300+(3000-3000)+80000+2000+(5500-5500)+(5650-5100)+1000+300+300+11814.99+10000+10000+2000+18000+1500+8000+5000</f>
        <v>172736.09000000003</v>
      </c>
      <c r="C70" s="5"/>
      <c r="D70" s="5"/>
      <c r="E70" s="5"/>
      <c r="F70" s="5"/>
      <c r="G70" s="5"/>
      <c r="H70" s="5"/>
      <c r="I70" s="5"/>
      <c r="J70" s="5"/>
      <c r="K70" s="5"/>
      <c r="L70" s="5"/>
      <c r="M70" s="5"/>
      <c r="N70" s="5"/>
      <c r="O70" s="5"/>
      <c r="P70" s="5"/>
      <c r="Q70" s="5"/>
      <c r="R70" s="5"/>
      <c r="S70" s="5"/>
      <c r="T70" s="126"/>
      <c r="X70" s="5" t="s">
        <v>68</v>
      </c>
      <c r="Y70" s="118"/>
      <c r="Z70" s="5"/>
      <c r="AA70" s="5"/>
      <c r="AB70" s="5"/>
      <c r="AC70" s="5"/>
      <c r="AD70" s="5"/>
      <c r="AE70" s="5"/>
      <c r="AF70" s="5"/>
      <c r="AG70" s="5"/>
      <c r="AH70" s="5"/>
      <c r="AI70" s="5"/>
      <c r="AJ70" s="5"/>
      <c r="AK70" s="5"/>
      <c r="AL70" s="5"/>
      <c r="AM70" s="5"/>
      <c r="AN70" s="5"/>
      <c r="AO70" s="5"/>
      <c r="AP70" s="5"/>
      <c r="AQ70" s="126"/>
    </row>
    <row r="71">
      <c r="A71" s="5" t="s">
        <v>76</v>
      </c>
      <c r="B71" s="5">
        <f>3000+1000+1200+1300+1500</f>
        <v>8000</v>
      </c>
      <c r="C71" s="5"/>
      <c r="D71" s="5"/>
      <c r="E71" s="5"/>
      <c r="F71" s="5"/>
      <c r="G71" s="5"/>
      <c r="H71" s="5"/>
      <c r="I71" s="5"/>
      <c r="J71" s="5"/>
      <c r="K71" s="5"/>
      <c r="L71" s="5"/>
      <c r="M71" s="5"/>
      <c r="N71" s="5"/>
      <c r="O71" s="5"/>
      <c r="P71" s="5"/>
      <c r="Q71" s="5"/>
      <c r="R71" s="5"/>
      <c r="S71" s="5"/>
      <c r="T71" s="126"/>
      <c r="X71" s="5" t="s">
        <v>76</v>
      </c>
      <c r="Y71" s="5"/>
      <c r="Z71" s="5"/>
      <c r="AA71" s="5"/>
      <c r="AB71" s="5"/>
      <c r="AC71" s="5"/>
      <c r="AD71" s="5"/>
      <c r="AE71" s="5"/>
      <c r="AF71" s="5"/>
      <c r="AG71" s="5"/>
      <c r="AH71" s="5"/>
      <c r="AI71" s="5"/>
      <c r="AJ71" s="5"/>
      <c r="AK71" s="5"/>
      <c r="AL71" s="5"/>
      <c r="AM71" s="5"/>
      <c r="AN71" s="5"/>
      <c r="AO71" s="5"/>
      <c r="AP71" s="5"/>
      <c r="AQ71" s="12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5" percent="1" timePeriod="today" id="{006700E4-00E0-47A0-A5E2-002A00820071}">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5" percent="1" timePeriod="today" id="{006A0071-00A6-4B8A-8F46-00D900D300B8}">
            <x14:dxf>
              <font>
                <color rgb="FF9C0006"/>
              </font>
              <fill>
                <patternFill patternType="solid">
                  <fgColor rgb="FFFFC7CE"/>
                  <bgColor rgb="FFFFC7CE"/>
                </patternFill>
              </fill>
            </x14:dxf>
          </x14:cfRule>
          <xm:sqref>X2 X3 X4 X5 X6 X7 X8 X9 X10 X11 X12 X13 X14 X15 X16 X17 X18 X19 X20 X21 X22 X23 X24 X25 X26 X27 X28 X29 X30 X31 X32</xm:sqref>
        </x14:conditionalFormatting>
        <x14:conditionalFormatting xmlns:xm="http://schemas.microsoft.com/office/excel/2006/main">
          <x14:cfRule type="timePeriod" priority="4" percent="1" timePeriod="today" id="{00330030-0057-495D-A026-0028003E0018}">
            <x14:dxf>
              <font>
                <color rgb="FF006100"/>
              </font>
              <fill>
                <patternFill patternType="solid">
                  <fgColor rgb="FFC6EFCE"/>
                  <bgColor rgb="FFC6EFCE"/>
                </patternFill>
              </fill>
            </x14:dxf>
          </x14:cfRule>
          <xm:sqref>A36 A37 A38 A39 A40 A41 A42 A43 A44 A45 A46 A47 A48 A49 A50 A51 A52 A53 A54 A55 A56 A57 A58 A59 A60 A61 A62 A63 A64 A65 A66</xm:sqref>
        </x14:conditionalFormatting>
        <x14:conditionalFormatting xmlns:xm="http://schemas.microsoft.com/office/excel/2006/main">
          <x14:cfRule type="timePeriod" priority="4" percent="1" timePeriod="today" id="{00E10012-00F2-4F70-9077-00E100200088}">
            <x14:dxf>
              <font>
                <color rgb="FF006100"/>
              </font>
              <fill>
                <patternFill patternType="solid">
                  <fgColor rgb="FFC6EFCE"/>
                  <bgColor rgb="FFC6EFCE"/>
                </patternFill>
              </fill>
            </x14:dxf>
          </x14:cfRule>
          <xm:sqref>X36 X37 X38 X39 X40 X41 X42 X43 X44 X45 X46 X47 X48 X49 X50 X51 X52 X53 X54 X55 X56 X57 X58 X59 X60 X61 X62 X63 X64 X65 X66</xm:sqref>
        </x14:conditionalFormatting>
        <x14:conditionalFormatting xmlns:xm="http://schemas.microsoft.com/office/excel/2006/main">
          <x14:cfRule type="timePeriod" priority="3" percent="1" timePeriod="today" id="{00D4007B-009E-411C-A44A-00BA003C0074}">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3" percent="1" timePeriod="today" id="{00130066-00B8-43FB-86DE-004700540072}">
            <x14:dxf>
              <font>
                <color rgb="FF006100"/>
              </font>
              <fill>
                <patternFill patternType="solid">
                  <fgColor rgb="FFC6EFCE"/>
                  <bgColor rgb="FFC6EFCE"/>
                </patternFill>
              </fill>
            </x14:dxf>
          </x14:cfRule>
          <xm:sqref>X2 X3 X4 X5 X6 X7 X8 X9 X10 X11 X12 X13 X14 X15 X16 X17 X18 X19 X20 X21 X22 X23 X24 X25 X26 X27 X28 X29 X30 X31 X32</xm:sqref>
        </x14:conditionalFormatting>
        <x14:conditionalFormatting xmlns:xm="http://schemas.microsoft.com/office/excel/2006/main">
          <x14:cfRule type="timePeriod" priority="2" percent="1" timePeriod="today" id="{006E0087-0095-46E6-AF98-0065008F00F7}">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 xmlns:xm="http://schemas.microsoft.com/office/excel/2006/main">
          <x14:cfRule type="timePeriod" priority="2" percent="1" timePeriod="today" id="{00CF0007-0051-475A-B756-003F006800B5}">
            <x14:dxf>
              <font>
                <color rgb="FF006100"/>
              </font>
              <fill>
                <patternFill patternType="solid">
                  <fgColor rgb="FFC6EFCE"/>
                  <bgColor rgb="FFC6EFCE"/>
                </patternFill>
              </fill>
            </x14:dxf>
          </x14:cfRule>
          <xm:sqref>X2:AP2 Y3:AP32 X3 X4 X5 X6 X7 X8 X9 X10 X11 X12 X13 X14 X15 X16 X17 X18 X19 X20 X21 X22 X23 X24 X25 X26 X27 X28 X29 X30 X31 X32</xm:sqref>
        </x14:conditionalFormatting>
        <x14:conditionalFormatting xmlns:xm="http://schemas.microsoft.com/office/excel/2006/main">
          <x14:cfRule type="timePeriod" priority="1" percent="1" timePeriod="today" id="{00D2007F-005F-4A60-BC8D-00E300C2008E}">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7600C1-0035-407F-A759-00CF00C600B3}">
            <x14:dxf>
              <font>
                <color rgb="FF006100"/>
              </font>
              <fill>
                <patternFill patternType="solid">
                  <fgColor rgb="FFC6EFCE"/>
                  <bgColor rgb="FFC6EFCE"/>
                </patternFill>
              </fill>
            </x14:dxf>
          </x14:cfRule>
          <xm:sqref>X2 X3 X4 X5 X6 X7 X8 X9 X10 X11 X12 X13 X14 X15 X16 X17 X18 X19 X20 X21 X22 X23 X24 X25 X26 X27 X28 X29 X30 X31 X32</xm:sqref>
        </x14:conditionalFormatting>
      </x14:conditionalFormattings>
    </ext>
  </extLst>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9.8515625"/>
    <col customWidth="1" min="24" max="24" width="11.7109375"/>
  </cols>
  <sheetData>
    <row r="1" ht="42.75">
      <c r="A1" s="100" t="s">
        <v>0</v>
      </c>
      <c r="B1" s="100" t="s">
        <v>70</v>
      </c>
      <c r="C1" s="101" t="s">
        <v>81</v>
      </c>
      <c r="D1" s="100" t="s">
        <v>72</v>
      </c>
      <c r="E1" s="100" t="s">
        <v>3</v>
      </c>
      <c r="F1" s="100" t="s">
        <v>4</v>
      </c>
      <c r="G1" s="100" t="s">
        <v>79</v>
      </c>
      <c r="H1" s="100" t="s">
        <v>6</v>
      </c>
      <c r="I1" s="100" t="s">
        <v>7</v>
      </c>
      <c r="J1" s="101" t="s">
        <v>82</v>
      </c>
      <c r="K1" s="100" t="s">
        <v>9</v>
      </c>
      <c r="L1" s="100" t="s">
        <v>10</v>
      </c>
      <c r="M1" s="100" t="s">
        <v>11</v>
      </c>
      <c r="N1" s="100" t="s">
        <v>12</v>
      </c>
      <c r="O1" s="100" t="s">
        <v>13</v>
      </c>
      <c r="P1" s="100" t="s">
        <v>83</v>
      </c>
      <c r="Q1" s="101" t="s">
        <v>84</v>
      </c>
      <c r="R1" s="101" t="s">
        <v>85</v>
      </c>
      <c r="S1" s="100"/>
      <c r="T1" s="126"/>
      <c r="U1" s="126"/>
      <c r="V1" s="126"/>
      <c r="W1" s="127"/>
      <c r="X1" s="100" t="s">
        <v>0</v>
      </c>
      <c r="Y1" s="100" t="s">
        <v>70</v>
      </c>
      <c r="Z1" s="101" t="s">
        <v>81</v>
      </c>
      <c r="AA1" s="100" t="s">
        <v>72</v>
      </c>
      <c r="AB1" s="100" t="s">
        <v>3</v>
      </c>
      <c r="AC1" s="100" t="s">
        <v>4</v>
      </c>
      <c r="AD1" s="100" t="s">
        <v>79</v>
      </c>
      <c r="AE1" s="100" t="s">
        <v>63</v>
      </c>
      <c r="AF1" s="100" t="s">
        <v>7</v>
      </c>
      <c r="AG1" s="101" t="s">
        <v>82</v>
      </c>
      <c r="AH1" s="100" t="s">
        <v>9</v>
      </c>
      <c r="AI1" s="100" t="s">
        <v>10</v>
      </c>
      <c r="AJ1" s="100" t="s">
        <v>11</v>
      </c>
      <c r="AK1" s="100" t="s">
        <v>12</v>
      </c>
      <c r="AL1" s="100" t="s">
        <v>13</v>
      </c>
      <c r="AM1" s="100" t="s">
        <v>80</v>
      </c>
      <c r="AN1" s="101" t="s">
        <v>84</v>
      </c>
      <c r="AO1" s="101" t="s">
        <v>85</v>
      </c>
      <c r="AP1" s="100"/>
    </row>
    <row r="2">
      <c r="A2" s="103">
        <v>45261</v>
      </c>
      <c r="B2" s="14"/>
      <c r="C2" s="14"/>
      <c r="D2" s="14"/>
      <c r="E2" s="14"/>
      <c r="F2" s="14"/>
      <c r="G2" s="14"/>
      <c r="H2" s="14"/>
      <c r="I2" s="14"/>
      <c r="J2" s="14"/>
      <c r="K2" s="14"/>
      <c r="L2" s="14"/>
      <c r="M2" s="14"/>
      <c r="N2" s="14"/>
      <c r="O2" s="14"/>
      <c r="P2" s="14"/>
      <c r="Q2" s="14"/>
      <c r="R2" s="14"/>
      <c r="S2" s="14"/>
      <c r="T2" s="126"/>
      <c r="U2" s="126"/>
      <c r="V2" s="126"/>
      <c r="W2" s="127"/>
      <c r="X2" s="103">
        <v>45261</v>
      </c>
      <c r="Y2" s="14"/>
      <c r="Z2" s="14"/>
      <c r="AA2" s="14"/>
      <c r="AB2" s="14"/>
      <c r="AC2" s="14"/>
      <c r="AD2" s="14"/>
      <c r="AE2" s="14"/>
      <c r="AF2" s="14"/>
      <c r="AG2" s="14"/>
      <c r="AH2" s="14"/>
      <c r="AI2" s="14"/>
      <c r="AJ2" s="14"/>
      <c r="AK2" s="14"/>
      <c r="AL2" s="14"/>
      <c r="AM2" s="14">
        <v>6000</v>
      </c>
      <c r="AN2" s="14"/>
      <c r="AO2" s="14"/>
      <c r="AP2" s="14"/>
    </row>
    <row r="3">
      <c r="A3" s="103">
        <v>45262</v>
      </c>
      <c r="B3" s="5"/>
      <c r="C3" s="5"/>
      <c r="D3" s="5"/>
      <c r="E3" s="5"/>
      <c r="F3" s="5"/>
      <c r="G3" s="5"/>
      <c r="H3" s="5"/>
      <c r="I3" s="5"/>
      <c r="J3" s="5"/>
      <c r="K3" s="5"/>
      <c r="L3" s="5"/>
      <c r="M3" s="5"/>
      <c r="N3" s="5">
        <v>625</v>
      </c>
      <c r="O3" s="5"/>
      <c r="P3" s="5"/>
      <c r="Q3" s="5"/>
      <c r="R3" s="5"/>
      <c r="S3" s="5"/>
      <c r="T3" s="126"/>
      <c r="U3" s="126"/>
      <c r="V3" s="126"/>
      <c r="W3" s="127"/>
      <c r="X3" s="103">
        <v>45262</v>
      </c>
      <c r="Y3" s="5"/>
      <c r="Z3" s="5"/>
      <c r="AA3" s="5"/>
      <c r="AB3" s="5">
        <f>750</f>
        <v>750</v>
      </c>
      <c r="AC3" s="5"/>
      <c r="AD3" s="5"/>
      <c r="AE3" s="5"/>
      <c r="AF3" s="5"/>
      <c r="AG3" s="5"/>
      <c r="AH3" s="5"/>
      <c r="AI3" s="5"/>
      <c r="AJ3" s="5"/>
      <c r="AK3" s="5"/>
      <c r="AL3" s="5"/>
      <c r="AM3" s="5"/>
      <c r="AN3" s="5"/>
      <c r="AO3" s="5"/>
      <c r="AP3" s="5"/>
    </row>
    <row r="4">
      <c r="A4" s="103">
        <v>45263</v>
      </c>
      <c r="B4" s="14"/>
      <c r="C4" s="14">
        <f>419.96+1566.38</f>
        <v>1986.3400000000001</v>
      </c>
      <c r="D4" s="14"/>
      <c r="E4" s="14"/>
      <c r="F4" s="14"/>
      <c r="G4" s="14"/>
      <c r="H4" s="14"/>
      <c r="I4" s="14"/>
      <c r="J4" s="14">
        <v>607.5</v>
      </c>
      <c r="K4" s="14"/>
      <c r="L4" s="14"/>
      <c r="M4" s="14"/>
      <c r="N4" s="14"/>
      <c r="O4" s="14"/>
      <c r="P4" s="14"/>
      <c r="Q4" s="14"/>
      <c r="R4" s="14"/>
      <c r="S4" s="14"/>
      <c r="T4" s="126"/>
      <c r="U4" s="126"/>
      <c r="V4" s="126"/>
      <c r="W4" s="127"/>
      <c r="X4" s="103">
        <v>45263</v>
      </c>
      <c r="Y4" s="14"/>
      <c r="Z4" s="14"/>
      <c r="AA4" s="14"/>
      <c r="AB4" s="14"/>
      <c r="AC4" s="14"/>
      <c r="AD4" s="14"/>
      <c r="AE4" s="14"/>
      <c r="AF4" s="14"/>
      <c r="AG4" s="14">
        <f>423+425</f>
        <v>848</v>
      </c>
      <c r="AH4" s="14"/>
      <c r="AI4" s="14"/>
      <c r="AJ4" s="14"/>
      <c r="AK4" s="14"/>
      <c r="AL4" s="14"/>
      <c r="AM4" s="14">
        <v>2000</v>
      </c>
      <c r="AN4" s="14"/>
      <c r="AO4" s="14"/>
      <c r="AP4" s="14"/>
    </row>
    <row r="5">
      <c r="A5" s="103">
        <v>45264</v>
      </c>
      <c r="B5" s="5">
        <v>25</v>
      </c>
      <c r="C5" s="5"/>
      <c r="D5" s="5"/>
      <c r="E5" s="5">
        <v>104</v>
      </c>
      <c r="F5" s="5"/>
      <c r="G5" s="5">
        <v>15.84</v>
      </c>
      <c r="H5" s="5"/>
      <c r="I5" s="5"/>
      <c r="J5" s="5"/>
      <c r="K5" s="5">
        <v>117</v>
      </c>
      <c r="L5" s="5"/>
      <c r="M5" s="5"/>
      <c r="N5" s="5"/>
      <c r="O5" s="5"/>
      <c r="P5" s="5"/>
      <c r="Q5" s="5"/>
      <c r="R5" s="5"/>
      <c r="S5" s="5"/>
      <c r="T5" s="126"/>
      <c r="U5" s="126"/>
      <c r="V5" s="126"/>
      <c r="W5" s="127"/>
      <c r="X5" s="103">
        <v>45264</v>
      </c>
      <c r="Y5" s="5"/>
      <c r="Z5" s="5"/>
      <c r="AA5" s="5"/>
      <c r="AB5" s="5"/>
      <c r="AC5" s="5"/>
      <c r="AD5" s="5"/>
      <c r="AE5" s="5"/>
      <c r="AF5" s="5"/>
      <c r="AG5" s="5">
        <v>891</v>
      </c>
      <c r="AH5" s="5"/>
      <c r="AI5" s="5"/>
      <c r="AJ5" s="5"/>
      <c r="AK5" s="5"/>
      <c r="AL5" s="5"/>
      <c r="AM5" s="5"/>
      <c r="AN5" s="5"/>
      <c r="AO5" s="5"/>
      <c r="AP5" s="5"/>
    </row>
    <row r="6">
      <c r="A6" s="103">
        <v>45265</v>
      </c>
      <c r="B6" s="14"/>
      <c r="C6" s="14"/>
      <c r="D6" s="14"/>
      <c r="E6" s="14"/>
      <c r="F6" s="14"/>
      <c r="G6" s="14">
        <v>40000</v>
      </c>
      <c r="H6" s="14"/>
      <c r="I6" s="14"/>
      <c r="J6" s="14"/>
      <c r="K6" s="14"/>
      <c r="L6" s="14"/>
      <c r="M6" s="14"/>
      <c r="N6" s="14"/>
      <c r="O6" s="14"/>
      <c r="P6" s="14"/>
      <c r="Q6" s="14"/>
      <c r="R6" s="14"/>
      <c r="S6" s="14"/>
      <c r="T6" s="126"/>
      <c r="U6" s="126"/>
      <c r="V6" s="126"/>
      <c r="W6" s="127"/>
      <c r="X6" s="103">
        <v>45265</v>
      </c>
      <c r="Y6" s="14"/>
      <c r="Z6" s="14"/>
      <c r="AA6" s="14"/>
      <c r="AB6" s="14"/>
      <c r="AC6" s="14"/>
      <c r="AD6" s="14"/>
      <c r="AE6" s="14"/>
      <c r="AF6" s="14"/>
      <c r="AG6" s="14"/>
      <c r="AH6" s="14"/>
      <c r="AI6" s="14"/>
      <c r="AJ6" s="14"/>
      <c r="AK6" s="14"/>
      <c r="AL6" s="14"/>
      <c r="AM6" s="14">
        <v>1412</v>
      </c>
      <c r="AN6" s="14"/>
      <c r="AO6" s="14"/>
      <c r="AP6" s="14"/>
    </row>
    <row r="7">
      <c r="A7" s="103">
        <v>45266</v>
      </c>
      <c r="B7" s="5"/>
      <c r="C7" s="5"/>
      <c r="D7" s="5"/>
      <c r="E7" s="5"/>
      <c r="F7" s="5"/>
      <c r="G7" s="5"/>
      <c r="H7" s="5"/>
      <c r="I7" s="5"/>
      <c r="J7" s="5"/>
      <c r="K7" s="5"/>
      <c r="L7" s="5"/>
      <c r="M7" s="5"/>
      <c r="N7" s="5"/>
      <c r="O7" s="5"/>
      <c r="P7" s="5"/>
      <c r="Q7" s="5"/>
      <c r="R7" s="5"/>
      <c r="S7" s="5"/>
      <c r="T7" s="126"/>
      <c r="U7" s="126"/>
      <c r="V7" s="126"/>
      <c r="W7" s="127"/>
      <c r="X7" s="103">
        <v>45266</v>
      </c>
      <c r="Y7" s="5">
        <v>1000</v>
      </c>
      <c r="Z7" s="5">
        <f>459.84+254.64</f>
        <v>714.48000000000002</v>
      </c>
      <c r="AA7" s="5"/>
      <c r="AB7" s="5"/>
      <c r="AC7" s="5"/>
      <c r="AD7" s="5"/>
      <c r="AE7" s="5">
        <v>285</v>
      </c>
      <c r="AF7" s="5"/>
      <c r="AG7" s="5"/>
      <c r="AH7" s="5">
        <v>705</v>
      </c>
      <c r="AI7" s="5"/>
      <c r="AJ7" s="5"/>
      <c r="AK7" s="5"/>
      <c r="AL7" s="5"/>
      <c r="AM7" s="5"/>
      <c r="AN7" s="5"/>
      <c r="AO7" s="5"/>
      <c r="AP7" s="5"/>
    </row>
    <row r="8">
      <c r="A8" s="103">
        <v>45267</v>
      </c>
      <c r="B8" s="14"/>
      <c r="C8" s="14"/>
      <c r="D8" s="14"/>
      <c r="E8" s="14"/>
      <c r="F8" s="14"/>
      <c r="G8" s="14"/>
      <c r="H8" s="14"/>
      <c r="I8" s="14"/>
      <c r="J8" s="14"/>
      <c r="K8" s="14"/>
      <c r="L8" s="14"/>
      <c r="M8" s="14"/>
      <c r="N8" s="14"/>
      <c r="O8" s="14"/>
      <c r="P8" s="14"/>
      <c r="Q8" s="14"/>
      <c r="R8" s="14"/>
      <c r="S8" s="14"/>
      <c r="T8" s="126"/>
      <c r="U8" s="126"/>
      <c r="V8" s="126"/>
      <c r="W8" s="127"/>
      <c r="X8" s="103">
        <v>45267</v>
      </c>
      <c r="Y8" s="14"/>
      <c r="Z8" s="14"/>
      <c r="AA8" s="14"/>
      <c r="AB8" s="14"/>
      <c r="AC8" s="14"/>
      <c r="AD8" s="14"/>
      <c r="AE8" s="14"/>
      <c r="AF8" s="14"/>
      <c r="AG8" s="14"/>
      <c r="AH8" s="14"/>
      <c r="AI8" s="14"/>
      <c r="AJ8" s="14"/>
      <c r="AK8" s="14"/>
      <c r="AL8" s="14"/>
      <c r="AM8" s="14"/>
      <c r="AN8" s="14"/>
      <c r="AO8" s="14"/>
      <c r="AP8" s="14"/>
    </row>
    <row r="9">
      <c r="A9" s="103">
        <v>45268</v>
      </c>
      <c r="B9" s="5"/>
      <c r="C9" s="5"/>
      <c r="D9" s="5"/>
      <c r="E9" s="5"/>
      <c r="F9" s="5"/>
      <c r="G9" s="5"/>
      <c r="H9" s="5"/>
      <c r="I9" s="5"/>
      <c r="J9" s="5"/>
      <c r="K9" s="5"/>
      <c r="L9" s="5"/>
      <c r="M9" s="5"/>
      <c r="N9" s="5"/>
      <c r="O9" s="5"/>
      <c r="P9" s="5"/>
      <c r="Q9" s="5"/>
      <c r="R9" s="5"/>
      <c r="S9" s="5"/>
      <c r="T9" s="126"/>
      <c r="U9" s="126"/>
      <c r="V9" s="126"/>
      <c r="W9" s="127"/>
      <c r="X9" s="103">
        <v>45268</v>
      </c>
      <c r="Y9" s="5"/>
      <c r="Z9" s="5">
        <v>176.97999999999999</v>
      </c>
      <c r="AA9" s="5"/>
      <c r="AB9" s="5"/>
      <c r="AC9" s="5"/>
      <c r="AD9" s="5"/>
      <c r="AE9" s="5"/>
      <c r="AF9" s="5"/>
      <c r="AG9" s="5"/>
      <c r="AH9" s="5"/>
      <c r="AI9" s="5"/>
      <c r="AJ9" s="5"/>
      <c r="AK9" s="5"/>
      <c r="AL9" s="5"/>
      <c r="AM9" s="5"/>
      <c r="AN9" s="5"/>
      <c r="AO9" s="5"/>
      <c r="AP9" s="5"/>
    </row>
    <row r="10">
      <c r="A10" s="103">
        <v>45269</v>
      </c>
      <c r="B10" s="14"/>
      <c r="C10" s="14">
        <v>583</v>
      </c>
      <c r="D10" s="14"/>
      <c r="E10" s="14"/>
      <c r="F10" s="14"/>
      <c r="G10" s="14"/>
      <c r="H10" s="14"/>
      <c r="I10" s="14"/>
      <c r="J10" s="14">
        <f>212.9+441.6</f>
        <v>654.5</v>
      </c>
      <c r="K10" s="14"/>
      <c r="L10" s="14"/>
      <c r="M10" s="14"/>
      <c r="N10" s="14"/>
      <c r="O10" s="14"/>
      <c r="P10" s="14"/>
      <c r="Q10" s="14"/>
      <c r="R10" s="14"/>
      <c r="S10" s="14"/>
      <c r="T10" s="126"/>
      <c r="U10" s="126"/>
      <c r="V10" s="126"/>
      <c r="W10" s="127"/>
      <c r="X10" s="103">
        <v>45269</v>
      </c>
      <c r="Y10" s="14"/>
      <c r="Z10" s="14"/>
      <c r="AA10" s="14"/>
      <c r="AB10" s="14"/>
      <c r="AC10" s="14"/>
      <c r="AD10" s="14"/>
      <c r="AE10" s="14"/>
      <c r="AF10" s="14"/>
      <c r="AG10" s="14"/>
      <c r="AH10" s="14"/>
      <c r="AI10" s="14"/>
      <c r="AJ10" s="14"/>
      <c r="AK10" s="14"/>
      <c r="AL10" s="14"/>
      <c r="AM10" s="14">
        <v>1360</v>
      </c>
      <c r="AN10" s="14"/>
      <c r="AO10" s="14"/>
      <c r="AP10" s="14"/>
    </row>
    <row r="11">
      <c r="A11" s="103">
        <v>45270</v>
      </c>
      <c r="B11" s="5"/>
      <c r="C11" s="5">
        <v>590.53999999999996</v>
      </c>
      <c r="D11" s="5"/>
      <c r="E11" s="5"/>
      <c r="F11" s="5"/>
      <c r="G11" s="5"/>
      <c r="H11" s="5"/>
      <c r="I11" s="5"/>
      <c r="J11" s="5"/>
      <c r="K11" s="5"/>
      <c r="L11" s="5"/>
      <c r="M11" s="5"/>
      <c r="N11" s="5"/>
      <c r="O11" s="5"/>
      <c r="P11" s="5"/>
      <c r="Q11" s="5"/>
      <c r="R11" s="5"/>
      <c r="S11" s="5"/>
      <c r="T11" s="126"/>
      <c r="U11" s="126"/>
      <c r="V11" s="126"/>
      <c r="W11" s="127"/>
      <c r="X11" s="103">
        <v>45270</v>
      </c>
      <c r="Y11" s="5"/>
      <c r="Z11" s="5"/>
      <c r="AA11" s="5"/>
      <c r="AB11" s="5"/>
      <c r="AC11" s="5"/>
      <c r="AD11" s="5"/>
      <c r="AE11" s="5"/>
      <c r="AF11" s="5"/>
      <c r="AG11" s="5"/>
      <c r="AH11" s="5"/>
      <c r="AI11" s="5"/>
      <c r="AJ11" s="5"/>
      <c r="AK11" s="5"/>
      <c r="AL11" s="5"/>
      <c r="AM11" s="5"/>
      <c r="AN11" s="5"/>
      <c r="AO11" s="5"/>
      <c r="AP11" s="5"/>
    </row>
    <row r="12">
      <c r="A12" s="103">
        <v>45271</v>
      </c>
      <c r="B12" s="14"/>
      <c r="C12" s="14"/>
      <c r="D12" s="14"/>
      <c r="E12" s="14"/>
      <c r="F12" s="14"/>
      <c r="G12" s="14"/>
      <c r="H12" s="14"/>
      <c r="I12" s="14"/>
      <c r="J12" s="14"/>
      <c r="K12" s="14"/>
      <c r="L12" s="14"/>
      <c r="M12" s="14">
        <v>200</v>
      </c>
      <c r="N12" s="14"/>
      <c r="O12" s="14"/>
      <c r="P12" s="14"/>
      <c r="Q12" s="14"/>
      <c r="R12" s="14"/>
      <c r="S12" s="14"/>
      <c r="T12" s="126"/>
      <c r="U12" s="126"/>
      <c r="V12" s="126"/>
      <c r="W12" s="127"/>
      <c r="X12" s="103">
        <v>45271</v>
      </c>
      <c r="Y12" s="14"/>
      <c r="Z12" s="14">
        <v>375</v>
      </c>
      <c r="AA12" s="14"/>
      <c r="AB12" s="14"/>
      <c r="AC12" s="14"/>
      <c r="AD12" s="14"/>
      <c r="AE12" s="14"/>
      <c r="AF12" s="14"/>
      <c r="AG12" s="14"/>
      <c r="AH12" s="14"/>
      <c r="AI12" s="14"/>
      <c r="AJ12" s="14"/>
      <c r="AK12" s="14"/>
      <c r="AL12" s="14"/>
      <c r="AM12" s="14"/>
      <c r="AN12" s="14"/>
      <c r="AO12" s="14"/>
      <c r="AP12" s="14"/>
    </row>
    <row r="13">
      <c r="A13" s="103">
        <v>45272</v>
      </c>
      <c r="B13" s="5">
        <f>50</f>
        <v>50</v>
      </c>
      <c r="C13" s="5"/>
      <c r="D13" s="5"/>
      <c r="E13" s="5"/>
      <c r="F13" s="5"/>
      <c r="G13" s="5"/>
      <c r="H13" s="5"/>
      <c r="I13" s="5"/>
      <c r="J13" s="5"/>
      <c r="K13" s="5"/>
      <c r="L13" s="5"/>
      <c r="M13" s="5"/>
      <c r="N13" s="5"/>
      <c r="O13" s="5"/>
      <c r="P13" s="5"/>
      <c r="Q13" s="5"/>
      <c r="R13" s="5"/>
      <c r="S13" s="5"/>
      <c r="T13" s="126"/>
      <c r="U13" s="126"/>
      <c r="V13" s="126"/>
      <c r="W13" s="127"/>
      <c r="X13" s="103">
        <v>45272</v>
      </c>
      <c r="Y13" s="5"/>
      <c r="Z13" s="5"/>
      <c r="AA13" s="5"/>
      <c r="AB13" s="5"/>
      <c r="AC13" s="5"/>
      <c r="AD13" s="5"/>
      <c r="AE13" s="5"/>
      <c r="AF13" s="5"/>
      <c r="AG13" s="5"/>
      <c r="AH13" s="5"/>
      <c r="AI13" s="5"/>
      <c r="AJ13" s="5"/>
      <c r="AK13" s="5"/>
      <c r="AL13" s="5"/>
      <c r="AM13" s="5"/>
      <c r="AN13" s="5"/>
      <c r="AO13" s="5"/>
      <c r="AP13" s="5"/>
    </row>
    <row r="14">
      <c r="A14" s="103">
        <v>45273</v>
      </c>
      <c r="B14" s="14"/>
      <c r="C14" s="14">
        <v>110.95</v>
      </c>
      <c r="D14" s="14"/>
      <c r="E14" s="14"/>
      <c r="F14" s="14"/>
      <c r="G14" s="14"/>
      <c r="H14" s="14"/>
      <c r="I14" s="14"/>
      <c r="J14" s="14"/>
      <c r="K14" s="14"/>
      <c r="L14" s="14"/>
      <c r="M14" s="14"/>
      <c r="N14" s="14"/>
      <c r="O14" s="14"/>
      <c r="P14" s="14"/>
      <c r="Q14" s="14"/>
      <c r="R14" s="14"/>
      <c r="S14" s="14"/>
      <c r="T14" s="126"/>
      <c r="U14" s="126"/>
      <c r="V14" s="126"/>
      <c r="W14" s="127"/>
      <c r="X14" s="103">
        <v>45273</v>
      </c>
      <c r="Y14" s="14"/>
      <c r="Z14" s="14"/>
      <c r="AA14" s="14"/>
      <c r="AB14" s="14"/>
      <c r="AC14" s="14"/>
      <c r="AD14" s="14"/>
      <c r="AE14" s="14"/>
      <c r="AF14" s="14"/>
      <c r="AG14" s="14"/>
      <c r="AH14" s="14"/>
      <c r="AI14" s="14"/>
      <c r="AJ14" s="14"/>
      <c r="AK14" s="14"/>
      <c r="AL14" s="14"/>
      <c r="AM14" s="14"/>
      <c r="AN14" s="14"/>
      <c r="AO14" s="14"/>
      <c r="AP14" s="14"/>
    </row>
    <row r="15">
      <c r="A15" s="103">
        <v>45274</v>
      </c>
      <c r="B15" s="5"/>
      <c r="C15" s="5"/>
      <c r="D15" s="5"/>
      <c r="E15" s="5"/>
      <c r="F15" s="5"/>
      <c r="G15" s="5"/>
      <c r="H15" s="5"/>
      <c r="I15" s="5"/>
      <c r="J15" s="5"/>
      <c r="K15" s="5"/>
      <c r="L15" s="5"/>
      <c r="M15" s="5"/>
      <c r="N15" s="5"/>
      <c r="O15" s="5"/>
      <c r="P15" s="5"/>
      <c r="Q15" s="5"/>
      <c r="R15" s="5"/>
      <c r="S15" s="5"/>
      <c r="T15" s="126"/>
      <c r="U15" s="126"/>
      <c r="V15" s="126"/>
      <c r="W15" s="127"/>
      <c r="X15" s="103">
        <v>45274</v>
      </c>
      <c r="Y15" s="5"/>
      <c r="Z15" s="5"/>
      <c r="AA15" s="5"/>
      <c r="AB15" s="5"/>
      <c r="AC15" s="5"/>
      <c r="AD15" s="5"/>
      <c r="AE15" s="5"/>
      <c r="AF15" s="5"/>
      <c r="AG15" s="5"/>
      <c r="AH15" s="5"/>
      <c r="AI15" s="5"/>
      <c r="AJ15" s="5"/>
      <c r="AK15" s="5"/>
      <c r="AL15" s="5"/>
      <c r="AM15" s="5"/>
      <c r="AN15" s="5"/>
      <c r="AO15" s="5"/>
      <c r="AP15" s="5"/>
    </row>
    <row r="16">
      <c r="A16" s="103">
        <v>45275</v>
      </c>
      <c r="B16" s="14"/>
      <c r="C16" s="97">
        <v>1659</v>
      </c>
      <c r="D16" s="14"/>
      <c r="E16" s="14"/>
      <c r="F16" s="14"/>
      <c r="G16" s="14"/>
      <c r="H16" s="14"/>
      <c r="I16" s="14"/>
      <c r="J16" s="14">
        <v>125</v>
      </c>
      <c r="K16" s="14"/>
      <c r="L16" s="14"/>
      <c r="M16" s="14"/>
      <c r="N16" s="14"/>
      <c r="O16" s="14"/>
      <c r="P16" s="14"/>
      <c r="Q16" s="14"/>
      <c r="R16" s="14"/>
      <c r="S16" s="14"/>
      <c r="T16" s="126"/>
      <c r="U16" s="126"/>
      <c r="V16" s="126"/>
      <c r="W16" s="127"/>
      <c r="X16" s="103">
        <v>45275</v>
      </c>
      <c r="Y16" s="14"/>
      <c r="Z16" s="97"/>
      <c r="AA16" s="14"/>
      <c r="AB16" s="14"/>
      <c r="AC16" s="14"/>
      <c r="AD16" s="14"/>
      <c r="AE16" s="14"/>
      <c r="AF16" s="14"/>
      <c r="AG16" s="14"/>
      <c r="AH16" s="14"/>
      <c r="AI16" s="14"/>
      <c r="AJ16" s="14"/>
      <c r="AK16" s="14"/>
      <c r="AL16" s="14"/>
      <c r="AM16" s="14"/>
      <c r="AN16" s="14"/>
      <c r="AO16" s="14"/>
      <c r="AP16" s="14"/>
    </row>
    <row r="17">
      <c r="A17" s="103">
        <v>45276</v>
      </c>
      <c r="B17" s="5"/>
      <c r="C17" s="6">
        <v>370.58999999999997</v>
      </c>
      <c r="D17" s="5"/>
      <c r="E17" s="5">
        <v>920</v>
      </c>
      <c r="F17" s="5"/>
      <c r="G17" s="5"/>
      <c r="H17" s="5"/>
      <c r="I17" s="5"/>
      <c r="J17" s="5"/>
      <c r="K17" s="5"/>
      <c r="L17" s="5"/>
      <c r="M17" s="5"/>
      <c r="N17" s="5"/>
      <c r="O17" s="5"/>
      <c r="P17" s="5"/>
      <c r="Q17" s="5"/>
      <c r="R17" s="5"/>
      <c r="S17" s="5"/>
      <c r="T17" s="126"/>
      <c r="U17" s="126"/>
      <c r="V17" s="126"/>
      <c r="W17" s="127"/>
      <c r="X17" s="103">
        <v>45276</v>
      </c>
      <c r="Y17" s="5"/>
      <c r="Z17" s="6"/>
      <c r="AA17" s="5"/>
      <c r="AB17" s="5"/>
      <c r="AC17" s="5"/>
      <c r="AD17" s="5"/>
      <c r="AE17" s="5"/>
      <c r="AF17" s="5"/>
      <c r="AG17" s="5"/>
      <c r="AH17" s="5"/>
      <c r="AI17" s="5"/>
      <c r="AJ17" s="5"/>
      <c r="AK17" s="5"/>
      <c r="AL17" s="5"/>
      <c r="AM17" s="5"/>
      <c r="AN17" s="5"/>
      <c r="AO17" s="5"/>
      <c r="AP17" s="5"/>
    </row>
    <row r="18">
      <c r="A18" s="103">
        <v>45277</v>
      </c>
      <c r="B18" s="14"/>
      <c r="C18" s="14"/>
      <c r="D18" s="14"/>
      <c r="E18" s="14"/>
      <c r="F18" s="14"/>
      <c r="G18" s="14"/>
      <c r="H18" s="14"/>
      <c r="I18" s="14"/>
      <c r="J18" s="14">
        <v>59</v>
      </c>
      <c r="K18" s="14"/>
      <c r="L18" s="14"/>
      <c r="M18" s="14"/>
      <c r="N18" s="14"/>
      <c r="O18" s="14"/>
      <c r="P18" s="14"/>
      <c r="Q18" s="14"/>
      <c r="R18" s="14"/>
      <c r="S18" s="14"/>
      <c r="T18" s="126"/>
      <c r="U18" s="126"/>
      <c r="V18" s="126"/>
      <c r="W18" s="127"/>
      <c r="X18" s="103">
        <v>45277</v>
      </c>
      <c r="Y18" s="14"/>
      <c r="Z18" s="14"/>
      <c r="AA18" s="14"/>
      <c r="AB18" s="14"/>
      <c r="AC18" s="14"/>
      <c r="AD18" s="14"/>
      <c r="AE18" s="14"/>
      <c r="AF18" s="14"/>
      <c r="AG18" s="14"/>
      <c r="AH18" s="14"/>
      <c r="AI18" s="14"/>
      <c r="AJ18" s="14"/>
      <c r="AK18" s="14"/>
      <c r="AL18" s="14"/>
      <c r="AM18" s="14"/>
      <c r="AN18" s="14"/>
      <c r="AO18" s="14"/>
      <c r="AP18" s="14"/>
    </row>
    <row r="19">
      <c r="A19" s="103">
        <v>45278</v>
      </c>
      <c r="B19" s="5"/>
      <c r="C19" s="5">
        <v>1184.6600000000001</v>
      </c>
      <c r="D19" s="5"/>
      <c r="E19" s="5"/>
      <c r="F19" s="5"/>
      <c r="G19" s="5"/>
      <c r="H19" s="5"/>
      <c r="I19" s="5"/>
      <c r="J19" s="5"/>
      <c r="K19" s="5"/>
      <c r="L19" s="5"/>
      <c r="M19" s="5"/>
      <c r="N19" s="5"/>
      <c r="O19" s="5"/>
      <c r="P19" s="5"/>
      <c r="Q19" s="5"/>
      <c r="R19" s="6"/>
      <c r="S19" s="5"/>
      <c r="T19" s="126"/>
      <c r="U19" s="126"/>
      <c r="V19" s="126"/>
      <c r="W19" s="127"/>
      <c r="X19" s="103">
        <v>45278</v>
      </c>
      <c r="Y19" s="5"/>
      <c r="Z19" s="5"/>
      <c r="AA19" s="5"/>
      <c r="AB19" s="5"/>
      <c r="AC19" s="5"/>
      <c r="AD19" s="5"/>
      <c r="AE19" s="5"/>
      <c r="AF19" s="5"/>
      <c r="AG19" s="5"/>
      <c r="AH19" s="5"/>
      <c r="AI19" s="5"/>
      <c r="AJ19" s="5"/>
      <c r="AK19" s="5"/>
      <c r="AL19" s="5"/>
      <c r="AM19" s="5"/>
      <c r="AN19" s="5"/>
      <c r="AO19" s="6"/>
      <c r="AP19" s="5"/>
    </row>
    <row r="20">
      <c r="A20" s="103">
        <v>45279</v>
      </c>
      <c r="B20" s="14"/>
      <c r="C20" s="14"/>
      <c r="D20" s="14"/>
      <c r="E20" s="14"/>
      <c r="F20" s="14"/>
      <c r="G20" s="14"/>
      <c r="H20" s="14"/>
      <c r="I20" s="14"/>
      <c r="J20" s="14"/>
      <c r="K20" s="14"/>
      <c r="L20" s="14"/>
      <c r="M20" s="14"/>
      <c r="N20" s="14"/>
      <c r="O20" s="14"/>
      <c r="P20" s="34"/>
      <c r="Q20" s="14"/>
      <c r="R20" s="14"/>
      <c r="S20" s="14"/>
      <c r="T20" s="126"/>
      <c r="U20" s="126"/>
      <c r="V20" s="126"/>
      <c r="W20" s="127"/>
      <c r="X20" s="103">
        <v>45279</v>
      </c>
      <c r="Y20" s="14"/>
      <c r="Z20" s="14"/>
      <c r="AA20" s="14"/>
      <c r="AB20" s="14"/>
      <c r="AC20" s="14"/>
      <c r="AD20" s="14"/>
      <c r="AE20" s="14"/>
      <c r="AF20" s="14"/>
      <c r="AG20" s="14"/>
      <c r="AH20" s="14"/>
      <c r="AI20" s="14"/>
      <c r="AJ20" s="14"/>
      <c r="AK20" s="14"/>
      <c r="AL20" s="14"/>
      <c r="AM20" s="34"/>
      <c r="AN20" s="14"/>
      <c r="AO20" s="14"/>
      <c r="AP20" s="14"/>
    </row>
    <row r="21">
      <c r="A21" s="103">
        <v>45280</v>
      </c>
      <c r="B21" s="69"/>
      <c r="C21" s="6">
        <v>500.82999999999998</v>
      </c>
      <c r="D21" s="5"/>
      <c r="E21" s="5">
        <v>808</v>
      </c>
      <c r="F21" s="5"/>
      <c r="G21" s="5"/>
      <c r="H21" s="5"/>
      <c r="I21" s="5"/>
      <c r="J21" s="5">
        <v>743</v>
      </c>
      <c r="K21" s="5"/>
      <c r="L21" s="5"/>
      <c r="M21" s="5"/>
      <c r="N21" s="5"/>
      <c r="O21" s="5"/>
      <c r="P21" s="5"/>
      <c r="Q21" s="5"/>
      <c r="R21" s="5"/>
      <c r="S21" s="5"/>
      <c r="T21" s="126"/>
      <c r="U21" s="126"/>
      <c r="V21" s="126"/>
      <c r="W21" s="127"/>
      <c r="X21" s="103">
        <v>45280</v>
      </c>
      <c r="Y21" s="69"/>
      <c r="Z21" s="6"/>
      <c r="AA21" s="5"/>
      <c r="AB21" s="5"/>
      <c r="AC21" s="5"/>
      <c r="AD21" s="5"/>
      <c r="AE21" s="5"/>
      <c r="AF21" s="5"/>
      <c r="AG21" s="5"/>
      <c r="AH21" s="5"/>
      <c r="AI21" s="5"/>
      <c r="AJ21" s="5"/>
      <c r="AK21" s="5"/>
      <c r="AL21" s="5"/>
      <c r="AM21" s="5"/>
      <c r="AN21" s="5"/>
      <c r="AO21" s="5"/>
      <c r="AP21" s="5"/>
    </row>
    <row r="22">
      <c r="A22" s="103">
        <v>45281</v>
      </c>
      <c r="B22" s="22"/>
      <c r="C22" s="14"/>
      <c r="D22" s="14"/>
      <c r="E22" s="14"/>
      <c r="F22" s="14"/>
      <c r="G22" s="14"/>
      <c r="H22" s="14"/>
      <c r="I22" s="14"/>
      <c r="J22" s="14"/>
      <c r="K22" s="14"/>
      <c r="L22" s="14"/>
      <c r="M22" s="14"/>
      <c r="N22" s="14"/>
      <c r="O22" s="14"/>
      <c r="P22" s="14"/>
      <c r="Q22" s="14"/>
      <c r="R22" s="14"/>
      <c r="S22" s="14"/>
      <c r="T22" s="126"/>
      <c r="U22" s="126"/>
      <c r="V22" s="126"/>
      <c r="W22" s="127"/>
      <c r="X22" s="103">
        <v>45281</v>
      </c>
      <c r="Y22" s="22"/>
      <c r="Z22" s="14"/>
      <c r="AA22" s="14"/>
      <c r="AB22" s="14"/>
      <c r="AC22" s="14"/>
      <c r="AD22" s="14"/>
      <c r="AE22" s="14"/>
      <c r="AF22" s="14"/>
      <c r="AG22" s="14"/>
      <c r="AH22" s="14"/>
      <c r="AI22" s="14"/>
      <c r="AJ22" s="14"/>
      <c r="AK22" s="14"/>
      <c r="AL22" s="14"/>
      <c r="AM22" s="14"/>
      <c r="AN22" s="14"/>
      <c r="AO22" s="14"/>
      <c r="AP22" s="14"/>
    </row>
    <row r="23">
      <c r="A23" s="103">
        <v>45282</v>
      </c>
      <c r="B23" s="5"/>
      <c r="C23" s="5"/>
      <c r="D23" s="5"/>
      <c r="E23" s="5"/>
      <c r="F23" s="5"/>
      <c r="G23" s="5"/>
      <c r="H23" s="5"/>
      <c r="I23" s="5"/>
      <c r="J23" s="5"/>
      <c r="K23" s="5"/>
      <c r="L23" s="5"/>
      <c r="M23" s="5"/>
      <c r="N23" s="5"/>
      <c r="O23" s="5"/>
      <c r="P23" s="5"/>
      <c r="Q23" s="5"/>
      <c r="R23" s="5"/>
      <c r="S23" s="5"/>
      <c r="T23" s="126"/>
      <c r="U23" s="126"/>
      <c r="V23" s="126"/>
      <c r="W23" s="127"/>
      <c r="X23" s="103">
        <v>45282</v>
      </c>
      <c r="Y23" s="5"/>
      <c r="Z23" s="5"/>
      <c r="AA23" s="5"/>
      <c r="AB23" s="5"/>
      <c r="AC23" s="5"/>
      <c r="AD23" s="5"/>
      <c r="AE23" s="5"/>
      <c r="AF23" s="5"/>
      <c r="AG23" s="5"/>
      <c r="AH23" s="5"/>
      <c r="AI23" s="5"/>
      <c r="AJ23" s="5"/>
      <c r="AK23" s="5"/>
      <c r="AL23" s="5"/>
      <c r="AM23" s="5"/>
      <c r="AN23" s="5"/>
      <c r="AO23" s="5"/>
      <c r="AP23" s="5"/>
    </row>
    <row r="24">
      <c r="A24" s="103">
        <v>45283</v>
      </c>
      <c r="B24" s="14"/>
      <c r="C24" s="14"/>
      <c r="D24" s="14"/>
      <c r="E24" s="14"/>
      <c r="F24" s="14"/>
      <c r="G24" s="14"/>
      <c r="H24" s="14"/>
      <c r="I24" s="14"/>
      <c r="J24" s="14"/>
      <c r="K24" s="14"/>
      <c r="L24" s="14"/>
      <c r="M24" s="14"/>
      <c r="N24" s="14"/>
      <c r="O24" s="14"/>
      <c r="P24" s="14"/>
      <c r="Q24" s="14"/>
      <c r="R24" s="14"/>
      <c r="S24" s="14"/>
      <c r="T24" s="126"/>
      <c r="U24" s="126"/>
      <c r="V24" s="126"/>
      <c r="W24" s="127"/>
      <c r="X24" s="103">
        <v>45283</v>
      </c>
      <c r="Y24" s="14"/>
      <c r="Z24" s="14"/>
      <c r="AA24" s="14"/>
      <c r="AB24" s="14"/>
      <c r="AC24" s="14"/>
      <c r="AD24" s="14"/>
      <c r="AE24" s="14"/>
      <c r="AF24" s="14"/>
      <c r="AG24" s="14"/>
      <c r="AH24" s="14"/>
      <c r="AI24" s="14"/>
      <c r="AJ24" s="14"/>
      <c r="AK24" s="14"/>
      <c r="AL24" s="14"/>
      <c r="AM24" s="14"/>
      <c r="AN24" s="14"/>
      <c r="AO24" s="14"/>
      <c r="AP24" s="14"/>
    </row>
    <row r="25">
      <c r="A25" s="103">
        <v>45284</v>
      </c>
      <c r="B25" s="28"/>
      <c r="C25" s="5"/>
      <c r="D25" s="5"/>
      <c r="E25" s="5"/>
      <c r="F25" s="5"/>
      <c r="G25" s="5"/>
      <c r="H25" s="5"/>
      <c r="I25" s="5"/>
      <c r="J25" s="5"/>
      <c r="K25" s="5"/>
      <c r="L25" s="5"/>
      <c r="M25" s="5"/>
      <c r="N25" s="5"/>
      <c r="O25" s="5"/>
      <c r="P25" s="5"/>
      <c r="Q25" s="5"/>
      <c r="R25" s="5"/>
      <c r="S25" s="5"/>
      <c r="T25" s="126"/>
      <c r="U25" s="126"/>
      <c r="V25" s="126"/>
      <c r="W25" s="127"/>
      <c r="X25" s="103">
        <v>45284</v>
      </c>
      <c r="Y25" s="28"/>
      <c r="Z25" s="5"/>
      <c r="AA25" s="5"/>
      <c r="AB25" s="5"/>
      <c r="AC25" s="5"/>
      <c r="AD25" s="5"/>
      <c r="AE25" s="5"/>
      <c r="AF25" s="5"/>
      <c r="AG25" s="5"/>
      <c r="AH25" s="5"/>
      <c r="AI25" s="5"/>
      <c r="AJ25" s="5"/>
      <c r="AK25" s="5"/>
      <c r="AL25" s="5"/>
      <c r="AM25" s="5"/>
      <c r="AN25" s="5"/>
      <c r="AO25" s="5"/>
      <c r="AP25" s="5"/>
    </row>
    <row r="26">
      <c r="A26" s="103">
        <v>45285</v>
      </c>
      <c r="B26" s="14"/>
      <c r="C26" s="14"/>
      <c r="D26" s="14"/>
      <c r="E26" s="14"/>
      <c r="F26" s="14"/>
      <c r="G26" s="14"/>
      <c r="H26" s="14"/>
      <c r="I26" s="14"/>
      <c r="J26" s="14"/>
      <c r="K26" s="14"/>
      <c r="L26" s="14"/>
      <c r="M26" s="14"/>
      <c r="N26" s="14"/>
      <c r="O26" s="14"/>
      <c r="P26" s="14"/>
      <c r="Q26" s="14"/>
      <c r="R26" s="14"/>
      <c r="S26" s="14"/>
      <c r="T26" s="126"/>
      <c r="U26" s="126"/>
      <c r="V26" s="126"/>
      <c r="W26" s="127"/>
      <c r="X26" s="103">
        <v>45285</v>
      </c>
      <c r="Y26" s="14"/>
      <c r="Z26" s="14"/>
      <c r="AA26" s="14"/>
      <c r="AB26" s="14"/>
      <c r="AC26" s="14"/>
      <c r="AD26" s="14"/>
      <c r="AE26" s="14"/>
      <c r="AF26" s="14"/>
      <c r="AG26" s="14"/>
      <c r="AH26" s="14"/>
      <c r="AI26" s="14"/>
      <c r="AJ26" s="14"/>
      <c r="AK26" s="14"/>
      <c r="AL26" s="14"/>
      <c r="AM26" s="14"/>
      <c r="AN26" s="14"/>
      <c r="AO26" s="14"/>
      <c r="AP26" s="14"/>
    </row>
    <row r="27">
      <c r="A27" s="103">
        <v>45286</v>
      </c>
      <c r="B27" s="5"/>
      <c r="C27" s="6"/>
      <c r="D27" s="5"/>
      <c r="E27" s="5"/>
      <c r="F27" s="5"/>
      <c r="G27" s="5"/>
      <c r="H27" s="5"/>
      <c r="I27" s="5"/>
      <c r="J27" s="5"/>
      <c r="K27" s="5"/>
      <c r="L27" s="5"/>
      <c r="M27" s="5"/>
      <c r="N27" s="5"/>
      <c r="O27" s="5"/>
      <c r="P27" s="5"/>
      <c r="Q27" s="5"/>
      <c r="R27" s="5"/>
      <c r="S27" s="5"/>
      <c r="T27" s="126"/>
      <c r="U27" s="126"/>
      <c r="V27" s="126"/>
      <c r="W27" s="127"/>
      <c r="X27" s="103">
        <v>45286</v>
      </c>
      <c r="Y27" s="5"/>
      <c r="Z27" s="6"/>
      <c r="AA27" s="5"/>
      <c r="AB27" s="5"/>
      <c r="AC27" s="5"/>
      <c r="AD27" s="5"/>
      <c r="AE27" s="5"/>
      <c r="AF27" s="5"/>
      <c r="AG27" s="5"/>
      <c r="AH27" s="5"/>
      <c r="AI27" s="5"/>
      <c r="AJ27" s="5"/>
      <c r="AK27" s="5"/>
      <c r="AL27" s="5"/>
      <c r="AM27" s="5"/>
      <c r="AN27" s="5"/>
      <c r="AO27" s="5"/>
      <c r="AP27" s="5"/>
    </row>
    <row r="28">
      <c r="A28" s="103">
        <v>45287</v>
      </c>
      <c r="B28" s="14"/>
      <c r="C28" s="14"/>
      <c r="D28" s="14"/>
      <c r="E28" s="14"/>
      <c r="F28" s="14"/>
      <c r="G28" s="14"/>
      <c r="H28" s="14"/>
      <c r="I28" s="14"/>
      <c r="J28" s="14"/>
      <c r="K28" s="14"/>
      <c r="L28" s="14"/>
      <c r="M28" s="14"/>
      <c r="N28" s="14"/>
      <c r="O28" s="14"/>
      <c r="P28" s="14"/>
      <c r="Q28" s="14"/>
      <c r="R28" s="14"/>
      <c r="S28" s="14"/>
      <c r="T28" s="126"/>
      <c r="U28" s="126"/>
      <c r="V28" s="126"/>
      <c r="W28" s="127"/>
      <c r="X28" s="103">
        <v>45287</v>
      </c>
      <c r="Y28" s="14"/>
      <c r="Z28" s="14"/>
      <c r="AA28" s="14"/>
      <c r="AB28" s="14"/>
      <c r="AC28" s="14"/>
      <c r="AD28" s="14"/>
      <c r="AE28" s="14"/>
      <c r="AF28" s="14"/>
      <c r="AG28" s="14"/>
      <c r="AH28" s="14"/>
      <c r="AI28" s="14"/>
      <c r="AJ28" s="14"/>
      <c r="AK28" s="14"/>
      <c r="AL28" s="14"/>
      <c r="AM28" s="14"/>
      <c r="AN28" s="14"/>
      <c r="AO28" s="14"/>
      <c r="AP28" s="14"/>
    </row>
    <row r="29">
      <c r="A29" s="103">
        <v>45288</v>
      </c>
      <c r="B29" s="5"/>
      <c r="C29" s="5"/>
      <c r="D29" s="5"/>
      <c r="E29" s="5"/>
      <c r="F29" s="5"/>
      <c r="G29" s="5"/>
      <c r="H29" s="5"/>
      <c r="I29" s="5"/>
      <c r="J29" s="5"/>
      <c r="K29" s="5"/>
      <c r="L29" s="5"/>
      <c r="M29" s="5"/>
      <c r="N29" s="5"/>
      <c r="O29" s="5"/>
      <c r="P29" s="5"/>
      <c r="Q29" s="5"/>
      <c r="R29" s="5"/>
      <c r="S29" s="5"/>
      <c r="T29" s="126"/>
      <c r="U29" s="126"/>
      <c r="V29" s="126"/>
      <c r="W29" s="127"/>
      <c r="X29" s="103">
        <v>45288</v>
      </c>
      <c r="Y29" s="5"/>
      <c r="Z29" s="5"/>
      <c r="AA29" s="5"/>
      <c r="AB29" s="5"/>
      <c r="AC29" s="5"/>
      <c r="AD29" s="5"/>
      <c r="AE29" s="5"/>
      <c r="AF29" s="5"/>
      <c r="AG29" s="5"/>
      <c r="AH29" s="5"/>
      <c r="AI29" s="5"/>
      <c r="AJ29" s="5"/>
      <c r="AK29" s="5"/>
      <c r="AL29" s="5"/>
      <c r="AM29" s="5"/>
      <c r="AN29" s="5"/>
      <c r="AO29" s="5"/>
      <c r="AP29" s="5"/>
    </row>
    <row r="30">
      <c r="A30" s="103">
        <v>45289</v>
      </c>
      <c r="B30" s="22"/>
      <c r="C30" s="22"/>
      <c r="D30" s="22"/>
      <c r="E30" s="22"/>
      <c r="F30" s="22"/>
      <c r="G30" s="22"/>
      <c r="H30" s="22"/>
      <c r="I30" s="22"/>
      <c r="J30" s="22"/>
      <c r="K30" s="22"/>
      <c r="L30" s="22"/>
      <c r="M30" s="22"/>
      <c r="N30" s="22"/>
      <c r="O30" s="22"/>
      <c r="P30" s="22"/>
      <c r="Q30" s="22"/>
      <c r="R30" s="22"/>
      <c r="S30" s="22"/>
      <c r="T30" s="126"/>
      <c r="U30" s="126"/>
      <c r="V30" s="126"/>
      <c r="W30" s="127"/>
      <c r="X30" s="103">
        <v>45289</v>
      </c>
      <c r="Y30" s="22"/>
      <c r="Z30" s="22"/>
      <c r="AA30" s="22"/>
      <c r="AB30" s="22"/>
      <c r="AC30" s="22"/>
      <c r="AD30" s="22"/>
      <c r="AE30" s="22"/>
      <c r="AF30" s="22"/>
      <c r="AG30" s="22"/>
      <c r="AH30" s="22"/>
      <c r="AI30" s="22"/>
      <c r="AJ30" s="22"/>
      <c r="AK30" s="22"/>
      <c r="AL30" s="22"/>
      <c r="AM30" s="22"/>
      <c r="AN30" s="22"/>
      <c r="AO30" s="22"/>
      <c r="AP30" s="22"/>
    </row>
    <row r="31">
      <c r="A31" s="103">
        <v>45290</v>
      </c>
      <c r="B31" s="5"/>
      <c r="C31" s="5"/>
      <c r="D31" s="5"/>
      <c r="E31" s="5"/>
      <c r="F31" s="5"/>
      <c r="G31" s="5"/>
      <c r="H31" s="5"/>
      <c r="I31" s="5"/>
      <c r="J31" s="5"/>
      <c r="K31" s="5"/>
      <c r="L31" s="5"/>
      <c r="M31" s="5"/>
      <c r="N31" s="5"/>
      <c r="O31" s="5"/>
      <c r="P31" s="5"/>
      <c r="Q31" s="5"/>
      <c r="R31" s="5"/>
      <c r="S31" s="5"/>
      <c r="T31" s="126"/>
      <c r="U31" s="126"/>
      <c r="V31" s="126"/>
      <c r="W31" s="127"/>
      <c r="X31" s="103">
        <v>45290</v>
      </c>
      <c r="Y31" s="5"/>
      <c r="Z31" s="5"/>
      <c r="AA31" s="5"/>
      <c r="AB31" s="5"/>
      <c r="AC31" s="5"/>
      <c r="AD31" s="5"/>
      <c r="AE31" s="5"/>
      <c r="AF31" s="5"/>
      <c r="AG31" s="5"/>
      <c r="AH31" s="5"/>
      <c r="AI31" s="5"/>
      <c r="AJ31" s="5"/>
      <c r="AK31" s="5"/>
      <c r="AL31" s="5"/>
      <c r="AM31" s="5"/>
      <c r="AN31" s="5"/>
      <c r="AO31" s="5"/>
      <c r="AP31" s="5"/>
    </row>
    <row r="32">
      <c r="A32" s="103">
        <v>45291</v>
      </c>
      <c r="B32" s="22"/>
      <c r="C32" s="22"/>
      <c r="D32" s="22"/>
      <c r="E32" s="22"/>
      <c r="F32" s="22"/>
      <c r="G32" s="22"/>
      <c r="H32" s="22"/>
      <c r="I32" s="22"/>
      <c r="J32" s="22"/>
      <c r="K32" s="22"/>
      <c r="L32" s="22"/>
      <c r="M32" s="22"/>
      <c r="N32" s="22"/>
      <c r="O32" s="22"/>
      <c r="P32" s="22"/>
      <c r="Q32" s="22"/>
      <c r="R32" s="22"/>
      <c r="S32" s="22"/>
      <c r="T32" s="126"/>
      <c r="U32" s="126"/>
      <c r="V32" s="126"/>
      <c r="W32" s="127"/>
      <c r="X32" s="103">
        <v>45291</v>
      </c>
      <c r="Y32" s="22"/>
      <c r="Z32" s="22"/>
      <c r="AA32" s="22"/>
      <c r="AB32" s="22"/>
      <c r="AC32" s="22"/>
      <c r="AD32" s="22"/>
      <c r="AE32" s="22"/>
      <c r="AF32" s="22"/>
      <c r="AG32" s="22"/>
      <c r="AH32" s="22"/>
      <c r="AI32" s="22"/>
      <c r="AJ32" s="22"/>
      <c r="AK32" s="22"/>
      <c r="AL32" s="22"/>
      <c r="AM32" s="22"/>
      <c r="AN32" s="22"/>
      <c r="AO32" s="22"/>
      <c r="AP32" s="22"/>
    </row>
    <row r="33">
      <c r="A33" s="113" t="s">
        <v>87</v>
      </c>
      <c r="B33" s="113">
        <f>SUM(B2:B32)</f>
        <v>75</v>
      </c>
      <c r="C33" s="113">
        <f>SUM(C2:C32)</f>
        <v>6985.9099999999999</v>
      </c>
      <c r="D33" s="113">
        <f>SUM(D2:D32)</f>
        <v>0</v>
      </c>
      <c r="E33" s="113">
        <f>SUM(E2:E32)</f>
        <v>1832</v>
      </c>
      <c r="F33" s="113">
        <f>SUM(F2:F32)</f>
        <v>0</v>
      </c>
      <c r="G33" s="113">
        <f>SUM(G2:G32)</f>
        <v>40015.839999999997</v>
      </c>
      <c r="H33" s="113">
        <f>SUM(H2:H32)</f>
        <v>0</v>
      </c>
      <c r="I33" s="113">
        <f>SUM(I2:I32)</f>
        <v>0</v>
      </c>
      <c r="J33" s="113">
        <f>SUM(J2:J32)</f>
        <v>2189</v>
      </c>
      <c r="K33" s="113">
        <f>SUM(K2:K32)</f>
        <v>117</v>
      </c>
      <c r="L33" s="113">
        <f>SUM(L2:L32)</f>
        <v>0</v>
      </c>
      <c r="M33" s="113">
        <f>SUM(M2:M32)</f>
        <v>200</v>
      </c>
      <c r="N33" s="113">
        <f>SUM(N2:N32)</f>
        <v>625</v>
      </c>
      <c r="O33" s="113">
        <f>SUM(O2:O32)</f>
        <v>0</v>
      </c>
      <c r="P33" s="113">
        <f>SUM(P2:P32)</f>
        <v>0</v>
      </c>
      <c r="Q33" s="113">
        <f>SUM(Q2:Q32)</f>
        <v>0</v>
      </c>
      <c r="R33" s="113">
        <f>SUM(R2:R32)</f>
        <v>0</v>
      </c>
      <c r="S33" s="113">
        <f>SUM(B33:R33)+SUM(S2:S32)</f>
        <v>52039.75</v>
      </c>
      <c r="T33" s="107" t="s">
        <v>90</v>
      </c>
      <c r="U33" s="126"/>
      <c r="V33" s="126"/>
      <c r="W33" s="127"/>
      <c r="X33" s="113" t="s">
        <v>87</v>
      </c>
      <c r="Y33" s="113">
        <f>SUM(Y2:Y32)</f>
        <v>1000</v>
      </c>
      <c r="Z33" s="113">
        <f>SUM(Z2:Z32)</f>
        <v>1266.46</v>
      </c>
      <c r="AA33" s="113">
        <f>SUM(AA2:AA32)</f>
        <v>0</v>
      </c>
      <c r="AB33" s="113">
        <f>SUM(AB2:AB32)</f>
        <v>750</v>
      </c>
      <c r="AC33" s="113">
        <f>SUM(AC2:AC32)</f>
        <v>0</v>
      </c>
      <c r="AD33" s="113">
        <f>SUM(AD2:AD32)</f>
        <v>0</v>
      </c>
      <c r="AE33" s="113">
        <f>SUM(AE2:AE32)</f>
        <v>285</v>
      </c>
      <c r="AF33" s="113">
        <f>SUM(AF2:AF32)</f>
        <v>0</v>
      </c>
      <c r="AG33" s="113">
        <f>SUM(AG2:AG32)</f>
        <v>1739</v>
      </c>
      <c r="AH33" s="113">
        <f>SUM(AH2:AH32)</f>
        <v>705</v>
      </c>
      <c r="AI33" s="113">
        <f>SUM(AI2:AI32)</f>
        <v>0</v>
      </c>
      <c r="AJ33" s="113">
        <f>SUM(AJ2:AJ32)</f>
        <v>0</v>
      </c>
      <c r="AK33" s="113">
        <f>SUM(AK2:AK32)</f>
        <v>0</v>
      </c>
      <c r="AL33" s="113">
        <f>SUM(AL2:AL32)</f>
        <v>0</v>
      </c>
      <c r="AM33" s="113">
        <f>SUM(AM2:AM32)</f>
        <v>10772</v>
      </c>
      <c r="AN33" s="113">
        <f>SUM(AN2:AN32)</f>
        <v>0</v>
      </c>
      <c r="AO33" s="113">
        <f>SUM(AO2:AO32)</f>
        <v>0</v>
      </c>
      <c r="AP33" s="113">
        <f>SUM(Y33:AO33)+SUM(AP2:AP32)</f>
        <v>16517.459999999999</v>
      </c>
    </row>
    <row r="34">
      <c r="A34" s="108" t="s">
        <v>89</v>
      </c>
      <c r="B34" s="110"/>
      <c r="C34" s="110"/>
      <c r="D34" s="110"/>
      <c r="E34" s="110"/>
      <c r="F34" s="110"/>
      <c r="G34" s="110"/>
      <c r="H34" s="110"/>
      <c r="I34" s="110"/>
      <c r="J34" s="110"/>
      <c r="K34" s="110"/>
      <c r="L34" s="110"/>
      <c r="M34" s="110"/>
      <c r="N34" s="110"/>
      <c r="O34" s="110"/>
      <c r="P34" s="110"/>
      <c r="Q34" s="110"/>
      <c r="R34" s="110"/>
      <c r="S34" s="120"/>
      <c r="T34" s="107"/>
      <c r="U34" s="126"/>
      <c r="V34" s="126"/>
      <c r="W34" s="128"/>
      <c r="X34" s="108" t="s">
        <v>89</v>
      </c>
      <c r="Y34" s="110"/>
      <c r="Z34" s="110"/>
      <c r="AA34" s="110"/>
      <c r="AB34" s="110"/>
      <c r="AC34" s="110"/>
      <c r="AD34" s="110"/>
      <c r="AE34" s="110"/>
      <c r="AF34" s="110"/>
      <c r="AG34" s="110"/>
      <c r="AH34" s="110"/>
      <c r="AI34" s="110"/>
      <c r="AJ34" s="110"/>
      <c r="AK34" s="110"/>
      <c r="AL34" s="110"/>
      <c r="AM34" s="110"/>
      <c r="AN34" s="110"/>
      <c r="AO34" s="110"/>
      <c r="AP34" s="120"/>
    </row>
    <row r="35">
      <c r="A35" s="121" t="s">
        <v>0</v>
      </c>
      <c r="B35" s="121" t="s">
        <v>50</v>
      </c>
      <c r="C35" s="121" t="s">
        <v>13</v>
      </c>
      <c r="D35" s="121" t="s">
        <v>11</v>
      </c>
      <c r="E35" s="121" t="s">
        <v>51</v>
      </c>
      <c r="F35" s="121" t="s">
        <v>52</v>
      </c>
      <c r="G35" s="121"/>
      <c r="H35" s="121" t="s">
        <v>54</v>
      </c>
      <c r="I35" s="121" t="s">
        <v>55</v>
      </c>
      <c r="J35" s="121" t="s">
        <v>61</v>
      </c>
      <c r="K35" s="121" t="s">
        <v>74</v>
      </c>
      <c r="L35" s="122"/>
      <c r="M35" s="122"/>
      <c r="N35" s="122"/>
      <c r="O35" s="122"/>
      <c r="P35" s="122"/>
      <c r="Q35" s="122"/>
      <c r="R35" s="122"/>
      <c r="S35" s="122"/>
      <c r="T35" s="126"/>
      <c r="U35" s="126"/>
      <c r="V35" s="126"/>
      <c r="W35" s="127"/>
      <c r="X35" s="121" t="s">
        <v>0</v>
      </c>
      <c r="Y35" s="121" t="s">
        <v>50</v>
      </c>
      <c r="Z35" s="121" t="s">
        <v>13</v>
      </c>
      <c r="AA35" s="121" t="s">
        <v>11</v>
      </c>
      <c r="AB35" s="121" t="s">
        <v>51</v>
      </c>
      <c r="AC35" s="121" t="s">
        <v>52</v>
      </c>
      <c r="AD35" s="121"/>
      <c r="AE35" s="121" t="s">
        <v>54</v>
      </c>
      <c r="AF35" s="121" t="s">
        <v>55</v>
      </c>
      <c r="AG35" s="121" t="s">
        <v>61</v>
      </c>
      <c r="AH35" s="121" t="s">
        <v>74</v>
      </c>
      <c r="AI35" s="122"/>
      <c r="AJ35" s="122"/>
      <c r="AK35" s="122"/>
      <c r="AL35" s="122"/>
      <c r="AM35" s="122"/>
      <c r="AN35" s="122"/>
      <c r="AO35" s="122"/>
      <c r="AP35" s="122"/>
    </row>
    <row r="36">
      <c r="A36" s="103">
        <v>45261</v>
      </c>
      <c r="B36" s="14">
        <v>10979.049999999999</v>
      </c>
      <c r="C36" s="14"/>
      <c r="D36" s="14"/>
      <c r="E36" s="14"/>
      <c r="F36" s="14"/>
      <c r="G36" s="14"/>
      <c r="H36" s="14"/>
      <c r="I36" s="14"/>
      <c r="J36" s="22"/>
      <c r="K36" s="22"/>
      <c r="L36" s="22"/>
      <c r="M36" s="22"/>
      <c r="N36" s="22"/>
      <c r="O36" s="22"/>
      <c r="P36" s="22"/>
      <c r="Q36" s="22"/>
      <c r="R36" s="22"/>
      <c r="S36" s="22"/>
      <c r="T36" s="126"/>
      <c r="U36" s="126"/>
      <c r="V36" s="126"/>
      <c r="W36" s="127"/>
      <c r="X36" s="103">
        <v>45261</v>
      </c>
      <c r="Y36" s="14"/>
      <c r="Z36" s="14"/>
      <c r="AA36" s="14"/>
      <c r="AB36" s="14"/>
      <c r="AC36" s="14"/>
      <c r="AD36" s="14"/>
      <c r="AE36" s="14"/>
      <c r="AF36" s="14"/>
      <c r="AG36" s="22"/>
      <c r="AH36" s="22"/>
      <c r="AI36" s="22"/>
      <c r="AJ36" s="22"/>
      <c r="AK36" s="22"/>
      <c r="AL36" s="22"/>
      <c r="AM36" s="22"/>
      <c r="AN36" s="22"/>
      <c r="AO36" s="22"/>
      <c r="AP36" s="22"/>
    </row>
    <row r="37">
      <c r="A37" s="103">
        <v>45262</v>
      </c>
      <c r="B37" s="5"/>
      <c r="C37" s="5"/>
      <c r="D37" s="5"/>
      <c r="E37" s="5"/>
      <c r="F37" s="5"/>
      <c r="G37" s="5"/>
      <c r="H37" s="5"/>
      <c r="I37" s="5"/>
      <c r="J37" s="5"/>
      <c r="K37" s="5"/>
      <c r="L37" s="5"/>
      <c r="M37" s="5"/>
      <c r="N37" s="5"/>
      <c r="O37" s="5"/>
      <c r="P37" s="5"/>
      <c r="Q37" s="5"/>
      <c r="R37" s="5"/>
      <c r="S37" s="5"/>
      <c r="T37" s="126"/>
      <c r="U37" s="126"/>
      <c r="V37" s="126"/>
      <c r="W37" s="127"/>
      <c r="X37" s="103">
        <v>45262</v>
      </c>
      <c r="Y37" s="5"/>
      <c r="Z37" s="5"/>
      <c r="AA37" s="5"/>
      <c r="AB37" s="5"/>
      <c r="AC37" s="5"/>
      <c r="AD37" s="5"/>
      <c r="AE37" s="5"/>
      <c r="AF37" s="5"/>
      <c r="AG37" s="5"/>
      <c r="AH37" s="5"/>
      <c r="AI37" s="5"/>
      <c r="AJ37" s="5"/>
      <c r="AK37" s="5"/>
      <c r="AL37" s="5"/>
      <c r="AM37" s="5"/>
      <c r="AN37" s="5"/>
      <c r="AO37" s="5"/>
      <c r="AP37" s="5"/>
    </row>
    <row r="38">
      <c r="A38" s="103">
        <v>45263</v>
      </c>
      <c r="B38" s="14"/>
      <c r="C38" s="14"/>
      <c r="D38" s="14"/>
      <c r="E38" s="14"/>
      <c r="F38" s="14"/>
      <c r="G38" s="14"/>
      <c r="H38" s="14"/>
      <c r="I38" s="14"/>
      <c r="J38" s="22"/>
      <c r="K38" s="22"/>
      <c r="L38" s="22"/>
      <c r="M38" s="22"/>
      <c r="N38" s="22"/>
      <c r="O38" s="22"/>
      <c r="P38" s="22"/>
      <c r="Q38" s="22"/>
      <c r="R38" s="22"/>
      <c r="S38" s="22"/>
      <c r="T38" s="126"/>
      <c r="U38" s="126"/>
      <c r="V38" s="126"/>
      <c r="W38" s="127"/>
      <c r="X38" s="103">
        <v>45263</v>
      </c>
      <c r="Y38" s="14"/>
      <c r="Z38" s="14"/>
      <c r="AA38" s="14"/>
      <c r="AB38" s="14"/>
      <c r="AC38" s="14"/>
      <c r="AD38" s="14"/>
      <c r="AE38" s="14"/>
      <c r="AF38" s="14"/>
      <c r="AG38" s="22"/>
      <c r="AH38" s="22"/>
      <c r="AI38" s="22"/>
      <c r="AJ38" s="22"/>
      <c r="AK38" s="22"/>
      <c r="AL38" s="22"/>
      <c r="AM38" s="22"/>
      <c r="AN38" s="22"/>
      <c r="AO38" s="22"/>
      <c r="AP38" s="22"/>
    </row>
    <row r="39">
      <c r="A39" s="103">
        <v>45264</v>
      </c>
      <c r="B39" s="5"/>
      <c r="C39" s="5"/>
      <c r="D39" s="5"/>
      <c r="E39" s="71"/>
      <c r="F39" s="5"/>
      <c r="G39" s="5"/>
      <c r="H39" s="5"/>
      <c r="I39" s="5"/>
      <c r="J39" s="5"/>
      <c r="K39" s="5"/>
      <c r="L39" s="5"/>
      <c r="M39" s="5"/>
      <c r="N39" s="5"/>
      <c r="O39" s="5"/>
      <c r="P39" s="5"/>
      <c r="Q39" s="5"/>
      <c r="R39" s="5"/>
      <c r="S39" s="5"/>
      <c r="T39" s="126"/>
      <c r="U39" s="126"/>
      <c r="V39" s="126"/>
      <c r="W39" s="127"/>
      <c r="X39" s="103">
        <v>45264</v>
      </c>
      <c r="Y39" s="5"/>
      <c r="Z39" s="5"/>
      <c r="AA39" s="5"/>
      <c r="AB39" s="71"/>
      <c r="AC39" s="5"/>
      <c r="AD39" s="5"/>
      <c r="AE39" s="5"/>
      <c r="AF39" s="5"/>
      <c r="AG39" s="5"/>
      <c r="AH39" s="5"/>
      <c r="AI39" s="5"/>
      <c r="AJ39" s="5"/>
      <c r="AK39" s="5"/>
      <c r="AL39" s="5"/>
      <c r="AM39" s="5"/>
      <c r="AN39" s="5"/>
      <c r="AO39" s="5"/>
      <c r="AP39" s="5"/>
    </row>
    <row r="40">
      <c r="A40" s="103">
        <v>45265</v>
      </c>
      <c r="B40" s="14"/>
      <c r="C40" s="14"/>
      <c r="D40" s="14"/>
      <c r="E40" s="14"/>
      <c r="F40" s="14"/>
      <c r="G40" s="14"/>
      <c r="H40" s="14"/>
      <c r="I40" s="14"/>
      <c r="J40" s="14"/>
      <c r="K40" s="14"/>
      <c r="L40" s="14"/>
      <c r="M40" s="14"/>
      <c r="N40" s="14"/>
      <c r="O40" s="14"/>
      <c r="P40" s="14"/>
      <c r="Q40" s="14"/>
      <c r="R40" s="14"/>
      <c r="S40" s="14"/>
      <c r="T40" s="126"/>
      <c r="U40" s="126"/>
      <c r="V40" s="126"/>
      <c r="W40" s="127"/>
      <c r="X40" s="103">
        <v>45265</v>
      </c>
      <c r="Y40" s="14"/>
      <c r="Z40" s="14"/>
      <c r="AA40" s="14"/>
      <c r="AB40" s="14"/>
      <c r="AC40" s="14"/>
      <c r="AD40" s="14"/>
      <c r="AE40" s="14">
        <v>1000</v>
      </c>
      <c r="AF40" s="14"/>
      <c r="AG40" s="14"/>
      <c r="AH40" s="14"/>
      <c r="AI40" s="14"/>
      <c r="AJ40" s="14"/>
      <c r="AK40" s="14"/>
      <c r="AL40" s="14"/>
      <c r="AM40" s="14"/>
      <c r="AN40" s="14"/>
      <c r="AO40" s="14"/>
      <c r="AP40" s="14"/>
    </row>
    <row r="41">
      <c r="A41" s="103">
        <v>45266</v>
      </c>
      <c r="B41" s="5"/>
      <c r="C41" s="5"/>
      <c r="D41" s="5"/>
      <c r="E41" s="5">
        <v>0.32000000000000001</v>
      </c>
      <c r="F41" s="5"/>
      <c r="G41" s="5"/>
      <c r="H41" s="5"/>
      <c r="I41" s="5"/>
      <c r="J41" s="5"/>
      <c r="K41" s="5"/>
      <c r="L41" s="5"/>
      <c r="M41" s="5"/>
      <c r="N41" s="5"/>
      <c r="O41" s="5"/>
      <c r="P41" s="5"/>
      <c r="Q41" s="5"/>
      <c r="R41" s="5"/>
      <c r="S41" s="5"/>
      <c r="T41" s="126"/>
      <c r="U41" s="126"/>
      <c r="V41" s="126"/>
      <c r="W41" s="127"/>
      <c r="X41" s="103">
        <v>45266</v>
      </c>
      <c r="Y41" s="5"/>
      <c r="Z41" s="5"/>
      <c r="AA41" s="5"/>
      <c r="AB41" s="5"/>
      <c r="AC41" s="5"/>
      <c r="AD41" s="5"/>
      <c r="AE41" s="5"/>
      <c r="AF41" s="5"/>
      <c r="AG41" s="5"/>
      <c r="AH41" s="5"/>
      <c r="AI41" s="5"/>
      <c r="AJ41" s="5"/>
      <c r="AK41" s="5"/>
      <c r="AL41" s="5"/>
      <c r="AM41" s="5"/>
      <c r="AN41" s="5"/>
      <c r="AO41" s="5"/>
      <c r="AP41" s="5"/>
    </row>
    <row r="42">
      <c r="A42" s="103">
        <v>45267</v>
      </c>
      <c r="B42" s="14"/>
      <c r="C42" s="14"/>
      <c r="D42" s="14"/>
      <c r="E42" s="14"/>
      <c r="F42" s="14"/>
      <c r="G42" s="14"/>
      <c r="H42" s="14"/>
      <c r="I42" s="14"/>
      <c r="J42" s="14"/>
      <c r="K42" s="14"/>
      <c r="L42" s="14"/>
      <c r="M42" s="14"/>
      <c r="N42" s="14"/>
      <c r="O42" s="14"/>
      <c r="P42" s="14"/>
      <c r="Q42" s="14"/>
      <c r="R42" s="14"/>
      <c r="S42" s="14"/>
      <c r="T42" s="126"/>
      <c r="U42" s="126"/>
      <c r="V42" s="126"/>
      <c r="W42" s="127"/>
      <c r="X42" s="103">
        <v>45267</v>
      </c>
      <c r="Y42" s="14"/>
      <c r="Z42" s="14"/>
      <c r="AA42" s="14"/>
      <c r="AB42" s="14"/>
      <c r="AC42" s="14"/>
      <c r="AD42" s="14"/>
      <c r="AE42" s="14"/>
      <c r="AF42" s="14"/>
      <c r="AG42" s="14"/>
      <c r="AH42" s="14"/>
      <c r="AI42" s="14"/>
      <c r="AJ42" s="14"/>
      <c r="AK42" s="14"/>
      <c r="AL42" s="14"/>
      <c r="AM42" s="14"/>
      <c r="AN42" s="14"/>
      <c r="AO42" s="14"/>
      <c r="AP42" s="14"/>
    </row>
    <row r="43">
      <c r="A43" s="103">
        <v>45268</v>
      </c>
      <c r="B43" s="5"/>
      <c r="C43" s="5"/>
      <c r="D43" s="5"/>
      <c r="E43" s="5"/>
      <c r="F43" s="5"/>
      <c r="G43" s="5"/>
      <c r="H43" s="5"/>
      <c r="I43" s="5"/>
      <c r="J43" s="5"/>
      <c r="K43" s="5"/>
      <c r="L43" s="5"/>
      <c r="M43" s="5"/>
      <c r="N43" s="5"/>
      <c r="O43" s="5"/>
      <c r="P43" s="5"/>
      <c r="Q43" s="5"/>
      <c r="R43" s="5"/>
      <c r="S43" s="5"/>
      <c r="T43" s="126"/>
      <c r="U43" s="126"/>
      <c r="V43" s="126"/>
      <c r="W43" s="127"/>
      <c r="X43" s="103">
        <v>45268</v>
      </c>
      <c r="Y43" s="5"/>
      <c r="Z43" s="5"/>
      <c r="AA43" s="5"/>
      <c r="AB43" s="5"/>
      <c r="AC43" s="5"/>
      <c r="AD43" s="5"/>
      <c r="AE43" s="5">
        <v>1000</v>
      </c>
      <c r="AF43" s="5"/>
      <c r="AG43" s="5"/>
      <c r="AH43" s="5"/>
      <c r="AI43" s="5"/>
      <c r="AJ43" s="5"/>
      <c r="AK43" s="5"/>
      <c r="AL43" s="5"/>
      <c r="AM43" s="5"/>
      <c r="AN43" s="5"/>
      <c r="AO43" s="5"/>
      <c r="AP43" s="5"/>
    </row>
    <row r="44">
      <c r="A44" s="103">
        <v>45269</v>
      </c>
      <c r="B44" s="79"/>
      <c r="C44" s="14"/>
      <c r="D44" s="14"/>
      <c r="E44" s="14"/>
      <c r="F44" s="14"/>
      <c r="G44" s="14"/>
      <c r="H44" s="14"/>
      <c r="I44" s="14"/>
      <c r="J44" s="14"/>
      <c r="K44" s="14"/>
      <c r="L44" s="14"/>
      <c r="M44" s="14"/>
      <c r="N44" s="14"/>
      <c r="O44" s="14"/>
      <c r="P44" s="14"/>
      <c r="Q44" s="14"/>
      <c r="R44" s="14"/>
      <c r="S44" s="14"/>
      <c r="T44" s="126"/>
      <c r="U44" s="126"/>
      <c r="V44" s="126"/>
      <c r="W44" s="127"/>
      <c r="X44" s="103">
        <v>45269</v>
      </c>
      <c r="Y44" s="79"/>
      <c r="Z44" s="14"/>
      <c r="AA44" s="14"/>
      <c r="AB44" s="14"/>
      <c r="AC44" s="14"/>
      <c r="AD44" s="14"/>
      <c r="AE44" s="14"/>
      <c r="AF44" s="14"/>
      <c r="AG44" s="14"/>
      <c r="AH44" s="14"/>
      <c r="AI44" s="14"/>
      <c r="AJ44" s="14"/>
      <c r="AK44" s="14"/>
      <c r="AL44" s="14"/>
      <c r="AM44" s="14"/>
      <c r="AN44" s="14"/>
      <c r="AO44" s="14"/>
      <c r="AP44" s="14"/>
    </row>
    <row r="45">
      <c r="A45" s="103">
        <v>45270</v>
      </c>
      <c r="B45" s="5"/>
      <c r="C45" s="5"/>
      <c r="D45" s="5"/>
      <c r="E45" s="5"/>
      <c r="F45" s="5"/>
      <c r="G45" s="5"/>
      <c r="H45" s="5"/>
      <c r="I45" s="5"/>
      <c r="J45" s="5"/>
      <c r="K45" s="5"/>
      <c r="L45" s="5"/>
      <c r="M45" s="5"/>
      <c r="N45" s="5"/>
      <c r="O45" s="5"/>
      <c r="P45" s="5"/>
      <c r="Q45" s="5"/>
      <c r="R45" s="5"/>
      <c r="S45" s="5"/>
      <c r="T45" s="126"/>
      <c r="U45" s="126"/>
      <c r="V45" s="126"/>
      <c r="W45" s="127"/>
      <c r="X45" s="103">
        <v>45270</v>
      </c>
      <c r="Y45" s="5"/>
      <c r="Z45" s="5"/>
      <c r="AA45" s="5"/>
      <c r="AB45" s="5"/>
      <c r="AC45" s="5"/>
      <c r="AD45" s="5"/>
      <c r="AE45" s="5"/>
      <c r="AF45" s="5"/>
      <c r="AG45" s="5"/>
      <c r="AH45" s="5"/>
      <c r="AI45" s="5"/>
      <c r="AJ45" s="5"/>
      <c r="AK45" s="5"/>
      <c r="AL45" s="5"/>
      <c r="AM45" s="5"/>
      <c r="AN45" s="5"/>
      <c r="AO45" s="5"/>
      <c r="AP45" s="5"/>
    </row>
    <row r="46">
      <c r="A46" s="103">
        <v>45271</v>
      </c>
      <c r="B46" s="14"/>
      <c r="C46" s="14"/>
      <c r="D46" s="14"/>
      <c r="E46" s="14"/>
      <c r="F46" s="14"/>
      <c r="G46" s="14"/>
      <c r="H46" s="14"/>
      <c r="I46" s="14">
        <v>265</v>
      </c>
      <c r="J46" s="14"/>
      <c r="K46" s="14"/>
      <c r="L46" s="14"/>
      <c r="M46" s="14"/>
      <c r="N46" s="14"/>
      <c r="O46" s="14"/>
      <c r="P46" s="14"/>
      <c r="Q46" s="14"/>
      <c r="R46" s="14"/>
      <c r="S46" s="14"/>
      <c r="T46" s="126"/>
      <c r="U46" s="126"/>
      <c r="V46" s="126"/>
      <c r="W46" s="127"/>
      <c r="X46" s="103">
        <v>45271</v>
      </c>
      <c r="Y46" s="14"/>
      <c r="Z46" s="14"/>
      <c r="AA46" s="14"/>
      <c r="AB46" s="14"/>
      <c r="AC46" s="14"/>
      <c r="AD46" s="14"/>
      <c r="AE46" s="14"/>
      <c r="AF46" s="14"/>
      <c r="AG46" s="14"/>
      <c r="AH46" s="14"/>
      <c r="AI46" s="14"/>
      <c r="AJ46" s="14"/>
      <c r="AK46" s="14"/>
      <c r="AL46" s="14"/>
      <c r="AM46" s="14"/>
      <c r="AN46" s="14"/>
      <c r="AO46" s="14"/>
      <c r="AP46" s="14"/>
    </row>
    <row r="47">
      <c r="A47" s="103">
        <v>45272</v>
      </c>
      <c r="B47" s="5"/>
      <c r="C47" s="5"/>
      <c r="D47" s="5"/>
      <c r="E47" s="5"/>
      <c r="F47" s="5"/>
      <c r="G47" s="5"/>
      <c r="H47" s="5"/>
      <c r="I47" s="5"/>
      <c r="J47" s="5"/>
      <c r="K47" s="5"/>
      <c r="L47" s="5"/>
      <c r="M47" s="5"/>
      <c r="N47" s="5"/>
      <c r="O47" s="5"/>
      <c r="P47" s="5"/>
      <c r="Q47" s="5"/>
      <c r="R47" s="5"/>
      <c r="S47" s="5"/>
      <c r="T47" s="126"/>
      <c r="U47" s="126"/>
      <c r="V47" s="126"/>
      <c r="W47" s="127"/>
      <c r="X47" s="103">
        <v>45272</v>
      </c>
      <c r="Y47" s="5"/>
      <c r="Z47" s="5"/>
      <c r="AA47" s="5"/>
      <c r="AB47" s="5"/>
      <c r="AC47" s="5"/>
      <c r="AD47" s="5"/>
      <c r="AE47" s="5"/>
      <c r="AF47" s="5"/>
      <c r="AG47" s="5"/>
      <c r="AH47" s="5"/>
      <c r="AI47" s="5"/>
      <c r="AJ47" s="5"/>
      <c r="AK47" s="5"/>
      <c r="AL47" s="5"/>
      <c r="AM47" s="5"/>
      <c r="AN47" s="5"/>
      <c r="AO47" s="5"/>
      <c r="AP47" s="5"/>
    </row>
    <row r="48">
      <c r="A48" s="103">
        <v>45273</v>
      </c>
      <c r="B48" s="14"/>
      <c r="C48" s="14"/>
      <c r="D48" s="14"/>
      <c r="E48" s="14"/>
      <c r="F48" s="14"/>
      <c r="G48" s="14"/>
      <c r="H48" s="14"/>
      <c r="I48" s="14"/>
      <c r="J48" s="14"/>
      <c r="K48" s="14"/>
      <c r="L48" s="14"/>
      <c r="M48" s="14"/>
      <c r="N48" s="14"/>
      <c r="O48" s="14"/>
      <c r="P48" s="14"/>
      <c r="Q48" s="14"/>
      <c r="R48" s="14"/>
      <c r="S48" s="14"/>
      <c r="T48" s="126"/>
      <c r="U48" s="126"/>
      <c r="V48" s="126"/>
      <c r="W48" s="127"/>
      <c r="X48" s="103">
        <v>45273</v>
      </c>
      <c r="Y48" s="14"/>
      <c r="Z48" s="14"/>
      <c r="AA48" s="14"/>
      <c r="AB48" s="14"/>
      <c r="AC48" s="14"/>
      <c r="AD48" s="14"/>
      <c r="AE48" s="14"/>
      <c r="AF48" s="14"/>
      <c r="AG48" s="14"/>
      <c r="AH48" s="14"/>
      <c r="AI48" s="14"/>
      <c r="AJ48" s="14"/>
      <c r="AK48" s="14"/>
      <c r="AL48" s="14"/>
      <c r="AM48" s="14"/>
      <c r="AN48" s="14"/>
      <c r="AO48" s="14"/>
      <c r="AP48" s="14"/>
    </row>
    <row r="49">
      <c r="A49" s="103">
        <v>45274</v>
      </c>
      <c r="B49" s="5"/>
      <c r="C49" s="5"/>
      <c r="D49" s="5"/>
      <c r="E49" s="5"/>
      <c r="F49" s="5"/>
      <c r="G49" s="5"/>
      <c r="H49" s="5"/>
      <c r="I49" s="5"/>
      <c r="J49" s="5"/>
      <c r="K49" s="5"/>
      <c r="L49" s="5"/>
      <c r="M49" s="5"/>
      <c r="N49" s="5"/>
      <c r="O49" s="5"/>
      <c r="P49" s="5"/>
      <c r="Q49" s="5"/>
      <c r="R49" s="5"/>
      <c r="S49" s="5"/>
      <c r="T49" s="126"/>
      <c r="U49" s="126"/>
      <c r="V49" s="126"/>
      <c r="W49" s="127"/>
      <c r="X49" s="103">
        <v>45274</v>
      </c>
      <c r="Y49" s="5"/>
      <c r="Z49" s="5"/>
      <c r="AA49" s="5"/>
      <c r="AB49" s="5"/>
      <c r="AC49" s="5"/>
      <c r="AD49" s="5"/>
      <c r="AE49" s="5"/>
      <c r="AF49" s="5"/>
      <c r="AG49" s="5"/>
      <c r="AH49" s="5"/>
      <c r="AI49" s="5"/>
      <c r="AJ49" s="5"/>
      <c r="AK49" s="5"/>
      <c r="AL49" s="5"/>
      <c r="AM49" s="5"/>
      <c r="AN49" s="5"/>
      <c r="AO49" s="5"/>
      <c r="AP49" s="5"/>
    </row>
    <row r="50">
      <c r="A50" s="103">
        <v>45275</v>
      </c>
      <c r="B50" s="14"/>
      <c r="C50" s="14"/>
      <c r="D50" s="14"/>
      <c r="E50" s="14"/>
      <c r="F50" s="14"/>
      <c r="G50" s="14"/>
      <c r="H50" s="14"/>
      <c r="I50" s="14"/>
      <c r="J50" s="14"/>
      <c r="K50" s="14"/>
      <c r="L50" s="14"/>
      <c r="M50" s="14"/>
      <c r="N50" s="14"/>
      <c r="O50" s="14"/>
      <c r="P50" s="14"/>
      <c r="Q50" s="14"/>
      <c r="R50" s="14"/>
      <c r="S50" s="14"/>
      <c r="T50" s="126"/>
      <c r="U50" s="126"/>
      <c r="V50" s="126"/>
      <c r="W50" s="127"/>
      <c r="X50" s="103">
        <v>45275</v>
      </c>
      <c r="Y50" s="14"/>
      <c r="Z50" s="14"/>
      <c r="AA50" s="14"/>
      <c r="AB50" s="14"/>
      <c r="AC50" s="14"/>
      <c r="AD50" s="14"/>
      <c r="AE50" s="14"/>
      <c r="AF50" s="14"/>
      <c r="AG50" s="14"/>
      <c r="AH50" s="14"/>
      <c r="AI50" s="14"/>
      <c r="AJ50" s="14"/>
      <c r="AK50" s="14"/>
      <c r="AL50" s="14"/>
      <c r="AM50" s="14"/>
      <c r="AN50" s="14"/>
      <c r="AO50" s="14"/>
      <c r="AP50" s="14"/>
    </row>
    <row r="51">
      <c r="A51" s="103">
        <v>45276</v>
      </c>
      <c r="B51" s="5"/>
      <c r="C51" s="5"/>
      <c r="D51" s="5"/>
      <c r="E51" s="5"/>
      <c r="F51" s="5"/>
      <c r="G51" s="5"/>
      <c r="H51" s="5"/>
      <c r="I51" s="5"/>
      <c r="J51" s="5"/>
      <c r="K51" s="5"/>
      <c r="L51" s="5"/>
      <c r="M51" s="5"/>
      <c r="N51" s="5"/>
      <c r="O51" s="5"/>
      <c r="P51" s="5"/>
      <c r="Q51" s="5"/>
      <c r="R51" s="5"/>
      <c r="S51" s="5"/>
      <c r="T51" s="126"/>
      <c r="U51" s="126"/>
      <c r="V51" s="126"/>
      <c r="W51" s="127"/>
      <c r="X51" s="103">
        <v>45276</v>
      </c>
      <c r="Y51" s="5"/>
      <c r="Z51" s="5"/>
      <c r="AA51" s="5"/>
      <c r="AB51" s="5"/>
      <c r="AC51" s="5"/>
      <c r="AD51" s="5"/>
      <c r="AE51" s="5"/>
      <c r="AF51" s="5"/>
      <c r="AG51" s="5"/>
      <c r="AH51" s="5"/>
      <c r="AI51" s="5"/>
      <c r="AJ51" s="5"/>
      <c r="AK51" s="5"/>
      <c r="AL51" s="5"/>
      <c r="AM51" s="5"/>
      <c r="AN51" s="5"/>
      <c r="AO51" s="5"/>
      <c r="AP51" s="5"/>
    </row>
    <row r="52">
      <c r="A52" s="103">
        <v>45277</v>
      </c>
      <c r="B52" s="14"/>
      <c r="C52" s="14"/>
      <c r="D52" s="14"/>
      <c r="E52" s="14"/>
      <c r="F52" s="14"/>
      <c r="G52" s="14"/>
      <c r="H52" s="14"/>
      <c r="I52" s="14"/>
      <c r="J52" s="14"/>
      <c r="K52" s="14"/>
      <c r="L52" s="14"/>
      <c r="M52" s="14"/>
      <c r="N52" s="14"/>
      <c r="O52" s="14"/>
      <c r="P52" s="14"/>
      <c r="Q52" s="14"/>
      <c r="R52" s="14"/>
      <c r="S52" s="14"/>
      <c r="T52" s="126"/>
      <c r="U52" s="126"/>
      <c r="V52" s="126"/>
      <c r="W52" s="127"/>
      <c r="X52" s="103">
        <v>45277</v>
      </c>
      <c r="Y52" s="14"/>
      <c r="Z52" s="14"/>
      <c r="AA52" s="14"/>
      <c r="AB52" s="14"/>
      <c r="AC52" s="14"/>
      <c r="AD52" s="14"/>
      <c r="AE52" s="14"/>
      <c r="AF52" s="14"/>
      <c r="AG52" s="14"/>
      <c r="AH52" s="14"/>
      <c r="AI52" s="14"/>
      <c r="AJ52" s="14"/>
      <c r="AK52" s="14"/>
      <c r="AL52" s="14"/>
      <c r="AM52" s="14"/>
      <c r="AN52" s="14"/>
      <c r="AO52" s="14"/>
      <c r="AP52" s="14"/>
    </row>
    <row r="53">
      <c r="A53" s="103">
        <v>45278</v>
      </c>
      <c r="B53" s="5"/>
      <c r="C53" s="5"/>
      <c r="D53" s="5"/>
      <c r="E53" s="5"/>
      <c r="F53" s="5"/>
      <c r="G53" s="5"/>
      <c r="H53" s="5"/>
      <c r="I53" s="5"/>
      <c r="J53" s="5"/>
      <c r="K53" s="5"/>
      <c r="L53" s="5"/>
      <c r="M53" s="5"/>
      <c r="N53" s="5"/>
      <c r="O53" s="5"/>
      <c r="P53" s="5"/>
      <c r="Q53" s="5"/>
      <c r="R53" s="5"/>
      <c r="S53" s="5"/>
      <c r="T53" s="126"/>
      <c r="U53" s="126"/>
      <c r="V53" s="126"/>
      <c r="W53" s="127"/>
      <c r="X53" s="103">
        <v>45278</v>
      </c>
      <c r="Y53" s="5"/>
      <c r="Z53" s="5"/>
      <c r="AA53" s="5"/>
      <c r="AB53" s="5"/>
      <c r="AC53" s="5"/>
      <c r="AD53" s="5"/>
      <c r="AE53" s="5"/>
      <c r="AF53" s="5"/>
      <c r="AG53" s="5"/>
      <c r="AH53" s="5"/>
      <c r="AI53" s="5"/>
      <c r="AJ53" s="5"/>
      <c r="AK53" s="5"/>
      <c r="AL53" s="5"/>
      <c r="AM53" s="5"/>
      <c r="AN53" s="5"/>
      <c r="AO53" s="5"/>
      <c r="AP53" s="5"/>
    </row>
    <row r="54">
      <c r="A54" s="103">
        <v>45279</v>
      </c>
      <c r="B54" s="14">
        <v>24151.91</v>
      </c>
      <c r="C54" s="14"/>
      <c r="D54" s="14"/>
      <c r="E54" s="14"/>
      <c r="F54" s="14"/>
      <c r="G54" s="14"/>
      <c r="H54" s="14"/>
      <c r="I54" s="14"/>
      <c r="J54" s="14"/>
      <c r="K54" s="14"/>
      <c r="L54" s="14"/>
      <c r="M54" s="14"/>
      <c r="N54" s="14"/>
      <c r="O54" s="14"/>
      <c r="P54" s="14"/>
      <c r="Q54" s="14"/>
      <c r="R54" s="14"/>
      <c r="S54" s="14"/>
      <c r="T54" s="126"/>
      <c r="U54" s="126"/>
      <c r="V54" s="126"/>
      <c r="W54" s="127"/>
      <c r="X54" s="103">
        <v>45279</v>
      </c>
      <c r="Y54" s="14"/>
      <c r="Z54" s="14"/>
      <c r="AA54" s="14"/>
      <c r="AB54" s="14"/>
      <c r="AC54" s="14"/>
      <c r="AD54" s="14"/>
      <c r="AE54" s="14"/>
      <c r="AF54" s="14"/>
      <c r="AG54" s="14"/>
      <c r="AH54" s="14"/>
      <c r="AI54" s="14"/>
      <c r="AJ54" s="14"/>
      <c r="AK54" s="14"/>
      <c r="AL54" s="14"/>
      <c r="AM54" s="14"/>
      <c r="AN54" s="14"/>
      <c r="AO54" s="14"/>
      <c r="AP54" s="14"/>
    </row>
    <row r="55">
      <c r="A55" s="103">
        <v>45280</v>
      </c>
      <c r="B55" s="5"/>
      <c r="C55" s="5"/>
      <c r="D55" s="5"/>
      <c r="E55" s="5"/>
      <c r="F55" s="5"/>
      <c r="G55" s="5"/>
      <c r="H55" s="5"/>
      <c r="I55" s="5"/>
      <c r="J55" s="5"/>
      <c r="K55" s="5"/>
      <c r="L55" s="5"/>
      <c r="M55" s="5"/>
      <c r="N55" s="5"/>
      <c r="O55" s="5"/>
      <c r="P55" s="5"/>
      <c r="Q55" s="5"/>
      <c r="R55" s="5"/>
      <c r="S55" s="5"/>
      <c r="T55" s="126"/>
      <c r="U55" s="126"/>
      <c r="V55" s="126"/>
      <c r="W55" s="127"/>
      <c r="X55" s="103">
        <v>45280</v>
      </c>
      <c r="Y55" s="5"/>
      <c r="Z55" s="5"/>
      <c r="AA55" s="5"/>
      <c r="AB55" s="5"/>
      <c r="AC55" s="5"/>
      <c r="AD55" s="5"/>
      <c r="AE55" s="5"/>
      <c r="AF55" s="5"/>
      <c r="AG55" s="5"/>
      <c r="AH55" s="5"/>
      <c r="AI55" s="5"/>
      <c r="AJ55" s="5"/>
      <c r="AK55" s="5"/>
      <c r="AL55" s="5"/>
      <c r="AM55" s="5"/>
      <c r="AN55" s="5"/>
      <c r="AO55" s="5"/>
      <c r="AP55" s="5"/>
    </row>
    <row r="56">
      <c r="A56" s="103">
        <v>45281</v>
      </c>
      <c r="B56" s="14"/>
      <c r="C56" s="14"/>
      <c r="D56" s="14"/>
      <c r="E56" s="14"/>
      <c r="F56" s="14"/>
      <c r="G56" s="14"/>
      <c r="H56" s="14"/>
      <c r="I56" s="14"/>
      <c r="J56" s="14"/>
      <c r="K56" s="14"/>
      <c r="L56" s="14"/>
      <c r="M56" s="14"/>
      <c r="N56" s="14"/>
      <c r="O56" s="14"/>
      <c r="P56" s="14"/>
      <c r="Q56" s="14"/>
      <c r="R56" s="14"/>
      <c r="S56" s="14"/>
      <c r="T56" s="126"/>
      <c r="U56" s="126"/>
      <c r="V56" s="126"/>
      <c r="W56" s="127"/>
      <c r="X56" s="103">
        <v>45281</v>
      </c>
      <c r="Y56" s="14"/>
      <c r="Z56" s="14"/>
      <c r="AA56" s="14"/>
      <c r="AB56" s="14"/>
      <c r="AC56" s="14"/>
      <c r="AD56" s="14"/>
      <c r="AE56" s="14"/>
      <c r="AF56" s="14"/>
      <c r="AG56" s="14"/>
      <c r="AH56" s="14"/>
      <c r="AI56" s="14"/>
      <c r="AJ56" s="14"/>
      <c r="AK56" s="14"/>
      <c r="AL56" s="14"/>
      <c r="AM56" s="14"/>
      <c r="AN56" s="14"/>
      <c r="AO56" s="14"/>
      <c r="AP56" s="14"/>
    </row>
    <row r="57">
      <c r="A57" s="103">
        <v>45282</v>
      </c>
      <c r="B57" s="5"/>
      <c r="C57" s="5"/>
      <c r="D57" s="5"/>
      <c r="E57" s="5"/>
      <c r="F57" s="5"/>
      <c r="G57" s="5"/>
      <c r="H57" s="5"/>
      <c r="I57" s="5"/>
      <c r="J57" s="5"/>
      <c r="K57" s="5"/>
      <c r="L57" s="5"/>
      <c r="M57" s="5"/>
      <c r="N57" s="5"/>
      <c r="O57" s="5"/>
      <c r="P57" s="5"/>
      <c r="Q57" s="5"/>
      <c r="R57" s="5"/>
      <c r="S57" s="5"/>
      <c r="T57" s="126"/>
      <c r="U57" s="126"/>
      <c r="V57" s="126"/>
      <c r="W57" s="127"/>
      <c r="X57" s="103">
        <v>45282</v>
      </c>
      <c r="Y57" s="5"/>
      <c r="Z57" s="5"/>
      <c r="AA57" s="5"/>
      <c r="AB57" s="5"/>
      <c r="AC57" s="5"/>
      <c r="AD57" s="5"/>
      <c r="AE57" s="5"/>
      <c r="AF57" s="5"/>
      <c r="AG57" s="5"/>
      <c r="AH57" s="5"/>
      <c r="AI57" s="5"/>
      <c r="AJ57" s="5"/>
      <c r="AK57" s="5"/>
      <c r="AL57" s="5"/>
      <c r="AM57" s="5"/>
      <c r="AN57" s="5"/>
      <c r="AO57" s="5"/>
      <c r="AP57" s="5"/>
    </row>
    <row r="58">
      <c r="A58" s="103">
        <v>45283</v>
      </c>
      <c r="B58" s="14"/>
      <c r="C58" s="14"/>
      <c r="D58" s="14"/>
      <c r="E58" s="14"/>
      <c r="F58" s="14"/>
      <c r="G58" s="14"/>
      <c r="H58" s="14"/>
      <c r="I58" s="14"/>
      <c r="J58" s="14"/>
      <c r="K58" s="14"/>
      <c r="L58" s="14"/>
      <c r="M58" s="14"/>
      <c r="N58" s="14"/>
      <c r="O58" s="14"/>
      <c r="P58" s="14"/>
      <c r="Q58" s="14"/>
      <c r="R58" s="14"/>
      <c r="S58" s="14"/>
      <c r="T58" s="126"/>
      <c r="U58" s="126"/>
      <c r="V58" s="126"/>
      <c r="W58" s="127"/>
      <c r="X58" s="103">
        <v>45283</v>
      </c>
      <c r="Y58" s="14"/>
      <c r="Z58" s="14"/>
      <c r="AA58" s="14"/>
      <c r="AB58" s="14"/>
      <c r="AC58" s="14"/>
      <c r="AD58" s="14"/>
      <c r="AE58" s="14"/>
      <c r="AF58" s="14"/>
      <c r="AG58" s="14"/>
      <c r="AH58" s="14"/>
      <c r="AI58" s="14"/>
      <c r="AJ58" s="14"/>
      <c r="AK58" s="14"/>
      <c r="AL58" s="14"/>
      <c r="AM58" s="14"/>
      <c r="AN58" s="14"/>
      <c r="AO58" s="14"/>
      <c r="AP58" s="14"/>
    </row>
    <row r="59">
      <c r="A59" s="103">
        <v>45284</v>
      </c>
      <c r="B59" s="5"/>
      <c r="C59" s="5"/>
      <c r="D59" s="5"/>
      <c r="E59" s="5"/>
      <c r="F59" s="5"/>
      <c r="G59" s="5"/>
      <c r="H59" s="5"/>
      <c r="I59" s="5"/>
      <c r="J59" s="5"/>
      <c r="K59" s="5"/>
      <c r="L59" s="5"/>
      <c r="M59" s="5"/>
      <c r="N59" s="5"/>
      <c r="O59" s="5"/>
      <c r="P59" s="5"/>
      <c r="Q59" s="5"/>
      <c r="R59" s="5"/>
      <c r="S59" s="5"/>
      <c r="T59" s="126"/>
      <c r="U59" s="126"/>
      <c r="V59" s="126"/>
      <c r="W59" s="127"/>
      <c r="X59" s="103">
        <v>45284</v>
      </c>
      <c r="Y59" s="5"/>
      <c r="Z59" s="5"/>
      <c r="AA59" s="5"/>
      <c r="AB59" s="5"/>
      <c r="AC59" s="5"/>
      <c r="AD59" s="5"/>
      <c r="AE59" s="5"/>
      <c r="AF59" s="5"/>
      <c r="AG59" s="5"/>
      <c r="AH59" s="5"/>
      <c r="AI59" s="5"/>
      <c r="AJ59" s="5"/>
      <c r="AK59" s="5"/>
      <c r="AL59" s="5"/>
      <c r="AM59" s="5"/>
      <c r="AN59" s="5"/>
      <c r="AO59" s="5"/>
      <c r="AP59" s="5"/>
    </row>
    <row r="60">
      <c r="A60" s="103">
        <v>45285</v>
      </c>
      <c r="B60" s="14"/>
      <c r="C60" s="14"/>
      <c r="D60" s="14"/>
      <c r="E60" s="14"/>
      <c r="F60" s="14"/>
      <c r="G60" s="14"/>
      <c r="H60" s="14"/>
      <c r="I60" s="14"/>
      <c r="J60" s="14"/>
      <c r="K60" s="14"/>
      <c r="L60" s="14"/>
      <c r="M60" s="14"/>
      <c r="N60" s="14"/>
      <c r="O60" s="14"/>
      <c r="P60" s="14"/>
      <c r="Q60" s="14"/>
      <c r="R60" s="14"/>
      <c r="S60" s="14"/>
      <c r="T60" s="126"/>
      <c r="U60" s="126"/>
      <c r="V60" s="126"/>
      <c r="W60" s="127"/>
      <c r="X60" s="103">
        <v>45285</v>
      </c>
      <c r="Y60" s="14"/>
      <c r="Z60" s="14"/>
      <c r="AA60" s="14"/>
      <c r="AB60" s="14"/>
      <c r="AC60" s="14"/>
      <c r="AD60" s="14"/>
      <c r="AE60" s="14"/>
      <c r="AF60" s="14"/>
      <c r="AG60" s="14"/>
      <c r="AH60" s="14"/>
      <c r="AI60" s="14"/>
      <c r="AJ60" s="14"/>
      <c r="AK60" s="14"/>
      <c r="AL60" s="14"/>
      <c r="AM60" s="14"/>
      <c r="AN60" s="14"/>
      <c r="AO60" s="14"/>
      <c r="AP60" s="14"/>
    </row>
    <row r="61">
      <c r="A61" s="103">
        <v>45286</v>
      </c>
      <c r="B61" s="5"/>
      <c r="C61" s="5"/>
      <c r="D61" s="5"/>
      <c r="E61" s="5"/>
      <c r="F61" s="5"/>
      <c r="G61" s="5"/>
      <c r="H61" s="5"/>
      <c r="I61" s="5"/>
      <c r="J61" s="5"/>
      <c r="K61" s="5"/>
      <c r="L61" s="5"/>
      <c r="M61" s="5"/>
      <c r="N61" s="5"/>
      <c r="O61" s="5"/>
      <c r="P61" s="5"/>
      <c r="Q61" s="5"/>
      <c r="R61" s="5"/>
      <c r="S61" s="5"/>
      <c r="T61" s="126"/>
      <c r="U61" s="126"/>
      <c r="V61" s="126"/>
      <c r="W61" s="127"/>
      <c r="X61" s="103">
        <v>45286</v>
      </c>
      <c r="Y61" s="5"/>
      <c r="Z61" s="5"/>
      <c r="AA61" s="5"/>
      <c r="AB61" s="5"/>
      <c r="AC61" s="5"/>
      <c r="AD61" s="5"/>
      <c r="AE61" s="5"/>
      <c r="AF61" s="5"/>
      <c r="AG61" s="5"/>
      <c r="AH61" s="5"/>
      <c r="AI61" s="5"/>
      <c r="AJ61" s="5"/>
      <c r="AK61" s="5"/>
      <c r="AL61" s="5"/>
      <c r="AM61" s="5"/>
      <c r="AN61" s="5"/>
      <c r="AO61" s="5"/>
      <c r="AP61" s="5"/>
    </row>
    <row r="62">
      <c r="A62" s="103">
        <v>45287</v>
      </c>
      <c r="B62" s="14"/>
      <c r="C62" s="14"/>
      <c r="D62" s="14"/>
      <c r="E62" s="14"/>
      <c r="F62" s="14"/>
      <c r="G62" s="14"/>
      <c r="H62" s="14"/>
      <c r="I62" s="14"/>
      <c r="J62" s="14"/>
      <c r="K62" s="14"/>
      <c r="L62" s="14"/>
      <c r="M62" s="14"/>
      <c r="N62" s="14"/>
      <c r="O62" s="14"/>
      <c r="P62" s="14"/>
      <c r="Q62" s="14"/>
      <c r="R62" s="14"/>
      <c r="S62" s="14"/>
      <c r="T62" s="126"/>
      <c r="U62" s="126"/>
      <c r="V62" s="126"/>
      <c r="W62" s="127"/>
      <c r="X62" s="103">
        <v>45287</v>
      </c>
      <c r="Y62" s="14"/>
      <c r="Z62" s="14"/>
      <c r="AA62" s="14"/>
      <c r="AB62" s="14"/>
      <c r="AC62" s="14"/>
      <c r="AD62" s="14"/>
      <c r="AE62" s="14"/>
      <c r="AF62" s="14"/>
      <c r="AG62" s="14"/>
      <c r="AH62" s="14"/>
      <c r="AI62" s="14"/>
      <c r="AJ62" s="14"/>
      <c r="AK62" s="14"/>
      <c r="AL62" s="14"/>
      <c r="AM62" s="14"/>
      <c r="AN62" s="14"/>
      <c r="AO62" s="14"/>
      <c r="AP62" s="14"/>
    </row>
    <row r="63">
      <c r="A63" s="103">
        <v>45288</v>
      </c>
      <c r="B63" s="5"/>
      <c r="C63" s="5"/>
      <c r="D63" s="5"/>
      <c r="E63" s="5"/>
      <c r="F63" s="5"/>
      <c r="G63" s="5"/>
      <c r="H63" s="5"/>
      <c r="I63" s="5"/>
      <c r="J63" s="5"/>
      <c r="K63" s="5"/>
      <c r="L63" s="5"/>
      <c r="M63" s="5"/>
      <c r="N63" s="5"/>
      <c r="O63" s="5"/>
      <c r="P63" s="5"/>
      <c r="Q63" s="5"/>
      <c r="R63" s="48"/>
      <c r="S63" s="5"/>
      <c r="T63" s="126"/>
      <c r="U63" s="126"/>
      <c r="V63" s="126"/>
      <c r="W63" s="127"/>
      <c r="X63" s="103">
        <v>45288</v>
      </c>
      <c r="Y63" s="5"/>
      <c r="Z63" s="5"/>
      <c r="AA63" s="5"/>
      <c r="AB63" s="5"/>
      <c r="AC63" s="5"/>
      <c r="AD63" s="5"/>
      <c r="AE63" s="5"/>
      <c r="AF63" s="5"/>
      <c r="AG63" s="5"/>
      <c r="AH63" s="5"/>
      <c r="AI63" s="5"/>
      <c r="AJ63" s="5"/>
      <c r="AK63" s="5"/>
      <c r="AL63" s="5"/>
      <c r="AM63" s="5"/>
      <c r="AN63" s="5"/>
      <c r="AO63" s="48"/>
      <c r="AP63" s="5"/>
    </row>
    <row r="64">
      <c r="A64" s="103">
        <v>45289</v>
      </c>
      <c r="B64" s="22"/>
      <c r="C64" s="22"/>
      <c r="D64" s="22"/>
      <c r="E64" s="22"/>
      <c r="F64" s="22"/>
      <c r="G64" s="22"/>
      <c r="H64" s="22"/>
      <c r="I64" s="22"/>
      <c r="J64" s="14"/>
      <c r="K64" s="14"/>
      <c r="L64" s="14"/>
      <c r="M64" s="14"/>
      <c r="N64" s="14"/>
      <c r="O64" s="14"/>
      <c r="P64" s="14"/>
      <c r="Q64" s="14"/>
      <c r="R64" s="80"/>
      <c r="S64" s="14"/>
      <c r="T64" s="126"/>
      <c r="U64" s="126"/>
      <c r="V64" s="126"/>
      <c r="W64" s="127"/>
      <c r="X64" s="103">
        <v>45289</v>
      </c>
      <c r="Y64" s="22"/>
      <c r="Z64" s="22"/>
      <c r="AA64" s="22"/>
      <c r="AB64" s="22"/>
      <c r="AC64" s="22"/>
      <c r="AD64" s="22"/>
      <c r="AE64" s="22"/>
      <c r="AF64" s="22"/>
      <c r="AG64" s="14"/>
      <c r="AH64" s="14"/>
      <c r="AI64" s="14"/>
      <c r="AJ64" s="14"/>
      <c r="AK64" s="14"/>
      <c r="AL64" s="14"/>
      <c r="AM64" s="14"/>
      <c r="AN64" s="14"/>
      <c r="AO64" s="80"/>
      <c r="AP64" s="14"/>
    </row>
    <row r="65">
      <c r="A65" s="103">
        <v>45290</v>
      </c>
      <c r="B65" s="5"/>
      <c r="C65" s="5"/>
      <c r="D65" s="5"/>
      <c r="E65" s="5"/>
      <c r="F65" s="5"/>
      <c r="G65" s="5"/>
      <c r="H65" s="5"/>
      <c r="I65" s="5"/>
      <c r="J65" s="5"/>
      <c r="K65" s="5"/>
      <c r="L65" s="5"/>
      <c r="M65" s="5"/>
      <c r="N65" s="5"/>
      <c r="O65" s="5"/>
      <c r="P65" s="5"/>
      <c r="Q65" s="5"/>
      <c r="R65" s="48"/>
      <c r="S65" s="5"/>
      <c r="T65" s="126"/>
      <c r="U65" s="126"/>
      <c r="V65" s="126"/>
      <c r="W65" s="127"/>
      <c r="X65" s="103">
        <v>45290</v>
      </c>
      <c r="Y65" s="5"/>
      <c r="Z65" s="5"/>
      <c r="AA65" s="5"/>
      <c r="AB65" s="5"/>
      <c r="AC65" s="5"/>
      <c r="AD65" s="5"/>
      <c r="AE65" s="5"/>
      <c r="AF65" s="5"/>
      <c r="AG65" s="5"/>
      <c r="AH65" s="5"/>
      <c r="AI65" s="5"/>
      <c r="AJ65" s="5"/>
      <c r="AK65" s="5"/>
      <c r="AL65" s="5"/>
      <c r="AM65" s="5"/>
      <c r="AN65" s="5"/>
      <c r="AO65" s="48"/>
      <c r="AP65" s="5"/>
    </row>
    <row r="66">
      <c r="A66" s="103">
        <v>45291</v>
      </c>
      <c r="B66" s="22"/>
      <c r="C66" s="22"/>
      <c r="D66" s="22"/>
      <c r="E66" s="22"/>
      <c r="F66" s="22"/>
      <c r="G66" s="22"/>
      <c r="H66" s="22"/>
      <c r="I66" s="22"/>
      <c r="J66" s="14"/>
      <c r="K66" s="14"/>
      <c r="L66" s="14"/>
      <c r="M66" s="14"/>
      <c r="N66" s="14"/>
      <c r="O66" s="14"/>
      <c r="P66" s="14"/>
      <c r="Q66" s="14"/>
      <c r="R66" s="80"/>
      <c r="S66" s="14"/>
      <c r="T66" s="126"/>
      <c r="U66" s="126"/>
      <c r="V66" s="126"/>
      <c r="W66" s="127"/>
      <c r="X66" s="103">
        <v>45291</v>
      </c>
      <c r="Y66" s="22"/>
      <c r="Z66" s="22"/>
      <c r="AA66" s="22"/>
      <c r="AB66" s="22"/>
      <c r="AC66" s="22"/>
      <c r="AD66" s="22"/>
      <c r="AE66" s="22"/>
      <c r="AF66" s="22"/>
      <c r="AG66" s="14"/>
      <c r="AH66" s="14"/>
      <c r="AI66" s="14"/>
      <c r="AJ66" s="14"/>
      <c r="AK66" s="14"/>
      <c r="AL66" s="14"/>
      <c r="AM66" s="14"/>
      <c r="AN66" s="14"/>
      <c r="AO66" s="80"/>
      <c r="AP66" s="14"/>
    </row>
    <row r="67">
      <c r="A67" s="113" t="s">
        <v>87</v>
      </c>
      <c r="B67" s="113">
        <f>SUM(B36:B66)</f>
        <v>35130.959999999999</v>
      </c>
      <c r="C67" s="113">
        <f>SUM(C36:C66)</f>
        <v>0</v>
      </c>
      <c r="D67" s="113">
        <f>SUM(D36:D66)</f>
        <v>0</v>
      </c>
      <c r="E67" s="113">
        <f>SUM(E36:E66)</f>
        <v>0.32000000000000001</v>
      </c>
      <c r="F67" s="113">
        <f>SUM(F36:F66)</f>
        <v>0</v>
      </c>
      <c r="G67" s="113">
        <f>SUM(G36:G66)</f>
        <v>0</v>
      </c>
      <c r="H67" s="113">
        <f>SUM(H36:H66)</f>
        <v>0</v>
      </c>
      <c r="I67" s="113">
        <f>SUM(I36:I66)</f>
        <v>265</v>
      </c>
      <c r="J67" s="113">
        <f>SUM(J36:J66)</f>
        <v>0</v>
      </c>
      <c r="K67" s="113">
        <f>SUM(K36:K66)</f>
        <v>0</v>
      </c>
      <c r="L67" s="113">
        <f>SUM(L36:L66)</f>
        <v>0</v>
      </c>
      <c r="M67" s="113">
        <f>SUM(M36:M66)</f>
        <v>0</v>
      </c>
      <c r="N67" s="113">
        <f>SUM(N36:N66)</f>
        <v>0</v>
      </c>
      <c r="O67" s="113">
        <f>SUM(O36:O66)</f>
        <v>0</v>
      </c>
      <c r="P67" s="113">
        <f>SUM(P36:P66)</f>
        <v>0</v>
      </c>
      <c r="Q67" s="113">
        <f>SUM(Q36:Q66)</f>
        <v>0</v>
      </c>
      <c r="R67" s="113">
        <f>SUM(R36:R66)</f>
        <v>0</v>
      </c>
      <c r="S67" s="113">
        <f>SUM(B67:R67)</f>
        <v>35396.279999999999</v>
      </c>
      <c r="T67" s="107" t="s">
        <v>90</v>
      </c>
      <c r="U67" s="126"/>
      <c r="V67" s="126"/>
      <c r="W67" s="127"/>
      <c r="X67" s="113" t="s">
        <v>87</v>
      </c>
      <c r="Y67" s="113">
        <f>SUM(Y36:Y66)</f>
        <v>0</v>
      </c>
      <c r="Z67" s="113">
        <f>SUM(Z36:Z66)</f>
        <v>0</v>
      </c>
      <c r="AA67" s="113">
        <f>SUM(AA36:AA66)</f>
        <v>0</v>
      </c>
      <c r="AB67" s="113">
        <f>SUM(AB36:AB66)</f>
        <v>0</v>
      </c>
      <c r="AC67" s="113">
        <f>SUM(AC36:AC66)</f>
        <v>0</v>
      </c>
      <c r="AD67" s="113">
        <f>SUM(AD36:AD66)</f>
        <v>0</v>
      </c>
      <c r="AE67" s="113">
        <f>SUM(AE36:AE66)</f>
        <v>2000</v>
      </c>
      <c r="AF67" s="113">
        <f>SUM(AF36:AF66)</f>
        <v>0</v>
      </c>
      <c r="AG67" s="113">
        <f>SUM(AG36:AG66)</f>
        <v>0</v>
      </c>
      <c r="AH67" s="113">
        <f>SUM(AH36:AH66)</f>
        <v>0</v>
      </c>
      <c r="AI67" s="113">
        <f>SUM(AI36:AI66)</f>
        <v>0</v>
      </c>
      <c r="AJ67" s="113">
        <f>SUM(AJ36:AJ66)</f>
        <v>0</v>
      </c>
      <c r="AK67" s="113">
        <f>SUM(AK36:AK66)</f>
        <v>0</v>
      </c>
      <c r="AL67" s="113">
        <f>SUM(AL36:AL66)</f>
        <v>0</v>
      </c>
      <c r="AM67" s="113">
        <f>SUM(AM36:AM66)</f>
        <v>0</v>
      </c>
      <c r="AN67" s="113">
        <f>SUM(AN36:AN66)</f>
        <v>0</v>
      </c>
      <c r="AO67" s="113">
        <f>SUM(AO36:AO66)</f>
        <v>0</v>
      </c>
      <c r="AP67" s="113">
        <f>SUM(Y67:AO67)</f>
        <v>2000</v>
      </c>
    </row>
    <row r="68">
      <c r="A68" s="108" t="s">
        <v>89</v>
      </c>
      <c r="B68" s="110"/>
      <c r="C68" s="110"/>
      <c r="D68" s="110"/>
      <c r="E68" s="110"/>
      <c r="F68" s="110"/>
      <c r="G68" s="110"/>
      <c r="H68" s="110"/>
      <c r="I68" s="110"/>
      <c r="J68" s="110"/>
      <c r="K68" s="110"/>
      <c r="L68" s="110"/>
      <c r="M68" s="110"/>
      <c r="N68" s="110"/>
      <c r="O68" s="110"/>
      <c r="P68" s="110"/>
      <c r="Q68" s="110"/>
      <c r="R68" s="110"/>
      <c r="S68" s="110"/>
      <c r="T68" s="107"/>
      <c r="U68" s="126"/>
      <c r="V68" s="126"/>
      <c r="W68" s="128"/>
      <c r="X68" s="108" t="s">
        <v>89</v>
      </c>
      <c r="Y68" s="110"/>
      <c r="Z68" s="110"/>
      <c r="AA68" s="110"/>
      <c r="AB68" s="110"/>
      <c r="AC68" s="110"/>
      <c r="AD68" s="110"/>
      <c r="AE68" s="110"/>
      <c r="AF68" s="110"/>
      <c r="AG68" s="110"/>
      <c r="AH68" s="110"/>
      <c r="AI68" s="110"/>
      <c r="AJ68" s="110"/>
      <c r="AK68" s="110"/>
      <c r="AL68" s="110"/>
      <c r="AM68" s="110"/>
      <c r="AN68" s="110"/>
      <c r="AO68" s="110"/>
      <c r="AP68" s="110"/>
    </row>
    <row r="69">
      <c r="A69" s="123" t="s">
        <v>67</v>
      </c>
      <c r="B69" s="123"/>
      <c r="C69" s="123"/>
      <c r="D69" s="123"/>
      <c r="E69" s="123"/>
      <c r="F69" s="123"/>
      <c r="G69" s="123"/>
      <c r="H69" s="123"/>
      <c r="I69" s="123"/>
      <c r="J69" s="123"/>
      <c r="K69" s="123"/>
      <c r="L69" s="123"/>
      <c r="M69" s="123"/>
      <c r="N69" s="123"/>
      <c r="O69" s="123"/>
      <c r="P69" s="123"/>
      <c r="Q69" s="123"/>
      <c r="R69" s="123"/>
      <c r="S69" s="123"/>
      <c r="T69" s="126"/>
      <c r="U69" s="126"/>
      <c r="V69" s="126"/>
      <c r="W69" s="127"/>
      <c r="X69" s="123" t="s">
        <v>67</v>
      </c>
      <c r="Y69" s="123"/>
      <c r="Z69" s="123"/>
      <c r="AA69" s="123"/>
      <c r="AB69" s="123"/>
      <c r="AC69" s="123"/>
      <c r="AD69" s="123"/>
      <c r="AE69" s="123"/>
      <c r="AF69" s="123"/>
      <c r="AG69" s="123"/>
      <c r="AH69" s="123"/>
      <c r="AI69" s="123"/>
      <c r="AJ69" s="123"/>
      <c r="AK69" s="123"/>
      <c r="AL69" s="123"/>
      <c r="AM69" s="123"/>
      <c r="AN69" s="123"/>
      <c r="AO69" s="123"/>
      <c r="AP69" s="123"/>
    </row>
    <row r="70">
      <c r="A70" s="5" t="s">
        <v>68</v>
      </c>
      <c r="B70" s="118">
        <f>21000-344+2039+(23000-23000)-344-344+8164.1-4600-3300+(3000-3000)+80000+2000+(5500-5500)+(5650-5100)+1000+300+300+11814.99+10000+10000+2000+18000+1500+8000+5000</f>
        <v>172736.09000000003</v>
      </c>
      <c r="C70" s="5"/>
      <c r="D70" s="5"/>
      <c r="E70" s="5"/>
      <c r="F70" s="5"/>
      <c r="G70" s="5"/>
      <c r="H70" s="5"/>
      <c r="I70" s="5"/>
      <c r="J70" s="5"/>
      <c r="K70" s="5"/>
      <c r="L70" s="5"/>
      <c r="M70" s="5"/>
      <c r="N70" s="5"/>
      <c r="O70" s="5"/>
      <c r="P70" s="5"/>
      <c r="Q70" s="5"/>
      <c r="R70" s="5"/>
      <c r="S70" s="5"/>
      <c r="T70" s="126"/>
      <c r="U70" s="126"/>
      <c r="V70" s="126"/>
      <c r="W70" s="127"/>
      <c r="X70" s="5" t="s">
        <v>68</v>
      </c>
      <c r="Y70" s="118"/>
      <c r="Z70" s="5"/>
      <c r="AA70" s="5"/>
      <c r="AB70" s="5"/>
      <c r="AC70" s="5"/>
      <c r="AD70" s="5"/>
      <c r="AE70" s="5"/>
      <c r="AF70" s="5"/>
      <c r="AG70" s="5"/>
      <c r="AH70" s="5"/>
      <c r="AI70" s="5"/>
      <c r="AJ70" s="5"/>
      <c r="AK70" s="5"/>
      <c r="AL70" s="5"/>
      <c r="AM70" s="5"/>
      <c r="AN70" s="5"/>
      <c r="AO70" s="5"/>
      <c r="AP70" s="5"/>
    </row>
    <row r="71">
      <c r="A71" s="5" t="s">
        <v>76</v>
      </c>
      <c r="B71" s="5">
        <f>3000+1000+1200+1300+1500</f>
        <v>8000</v>
      </c>
      <c r="C71" s="5"/>
      <c r="D71" s="5"/>
      <c r="E71" s="5"/>
      <c r="F71" s="5"/>
      <c r="G71" s="5"/>
      <c r="H71" s="5"/>
      <c r="I71" s="5"/>
      <c r="J71" s="5"/>
      <c r="K71" s="5"/>
      <c r="L71" s="5"/>
      <c r="M71" s="5"/>
      <c r="N71" s="5"/>
      <c r="O71" s="5"/>
      <c r="P71" s="5"/>
      <c r="Q71" s="5"/>
      <c r="R71" s="5"/>
      <c r="S71" s="5"/>
      <c r="T71" s="126"/>
      <c r="U71" s="126"/>
      <c r="V71" s="126"/>
      <c r="W71" s="127"/>
      <c r="X71" s="5" t="s">
        <v>76</v>
      </c>
      <c r="Y71" s="5"/>
      <c r="Z71" s="5"/>
      <c r="AA71" s="5"/>
      <c r="AB71" s="5"/>
      <c r="AC71" s="5"/>
      <c r="AD71" s="5"/>
      <c r="AE71" s="5"/>
      <c r="AF71" s="5"/>
      <c r="AG71" s="5"/>
      <c r="AH71" s="5"/>
      <c r="AI71" s="5"/>
      <c r="AJ71" s="5"/>
      <c r="AK71" s="5"/>
      <c r="AL71" s="5"/>
      <c r="AM71" s="5"/>
      <c r="AN71" s="5"/>
      <c r="AO71" s="5"/>
      <c r="AP71" s="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timePeriod" priority="5" percent="1" timePeriod="today" id="{00720019-0051-49BC-84E9-00CA002700C4}">
            <x14:dxf>
              <font>
                <color rgb="FF9C0006"/>
              </font>
              <fill>
                <patternFill patternType="solid">
                  <fgColor rgb="FFFFC7CE"/>
                  <bgColor rgb="FFFFC7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5" percent="1" timePeriod="today" id="{003700E3-009F-45A9-8701-0098005800B9}">
            <x14:dxf>
              <font>
                <color rgb="FF9C0006"/>
              </font>
              <fill>
                <patternFill patternType="solid">
                  <fgColor rgb="FFFFC7CE"/>
                  <bgColor rgb="FFFFC7CE"/>
                </patternFill>
              </fill>
            </x14:dxf>
          </x14:cfRule>
          <xm:sqref>X2 X3 X4 X5 X6 X7 X8 X9 X10 X11 X12 X13 X14 X15 X16 X17 X18 X19 X20 X21 X22 X23 X24 X25 X26 X27 X28 X29 X30 X31 X32</xm:sqref>
        </x14:conditionalFormatting>
        <x14:conditionalFormatting xmlns:xm="http://schemas.microsoft.com/office/excel/2006/main">
          <x14:cfRule type="timePeriod" priority="4" percent="1" timePeriod="today" id="{00D90094-0061-4D25-BDE1-00E200C60061}">
            <x14:dxf>
              <font>
                <color rgb="FF006100"/>
              </font>
              <fill>
                <patternFill patternType="solid">
                  <fgColor rgb="FFC6EFCE"/>
                  <bgColor rgb="FFC6EFCE"/>
                </patternFill>
              </fill>
            </x14:dxf>
          </x14:cfRule>
          <xm:sqref>A36 A37 A38 A39 A40 A41 A42 A43 A44 A45 A46 A47 A48 A49 A50 A51 A52 A53 A54 A55 A56 A57 A58 A59 A60 A61 A62 A63 A64 A65 A66</xm:sqref>
        </x14:conditionalFormatting>
        <x14:conditionalFormatting xmlns:xm="http://schemas.microsoft.com/office/excel/2006/main">
          <x14:cfRule type="timePeriod" priority="4" percent="1" timePeriod="today" id="{005D001C-0049-4699-8E33-008700630027}">
            <x14:dxf>
              <font>
                <color rgb="FF006100"/>
              </font>
              <fill>
                <patternFill patternType="solid">
                  <fgColor rgb="FFC6EFCE"/>
                  <bgColor rgb="FFC6EFCE"/>
                </patternFill>
              </fill>
            </x14:dxf>
          </x14:cfRule>
          <xm:sqref>X36 X37 X38 X39 X40 X41 X42 X43 X44 X45 X46 X47 X48 X49 X50 X51 X52 X53 X54 X55 X56 X57 X58 X59 X60 X61 X62 X63 X64 X65 X66</xm:sqref>
        </x14:conditionalFormatting>
        <x14:conditionalFormatting xmlns:xm="http://schemas.microsoft.com/office/excel/2006/main">
          <x14:cfRule type="timePeriod" priority="3" percent="1" timePeriod="today" id="{00F1009E-0021-4537-A5F4-000800E60070}">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3" percent="1" timePeriod="today" id="{0037005A-00E8-4DD6-A012-000500360079}">
            <x14:dxf>
              <font>
                <color rgb="FF006100"/>
              </font>
              <fill>
                <patternFill patternType="solid">
                  <fgColor rgb="FFC6EFCE"/>
                  <bgColor rgb="FFC6EFCE"/>
                </patternFill>
              </fill>
            </x14:dxf>
          </x14:cfRule>
          <xm:sqref>X2 X3 X4 X5 X6 X7 X8 X9 X10 X11 X12 X13 X14 X15 X16 X17 X18 X19 X20 X21 X22 X23 X24 X25 X26 X27 X28 X29 X30 X31 X32</xm:sqref>
        </x14:conditionalFormatting>
        <x14:conditionalFormatting xmlns:xm="http://schemas.microsoft.com/office/excel/2006/main">
          <x14:cfRule type="timePeriod" priority="2" percent="1" timePeriod="today" id="{00C400AD-008E-4B9D-9A69-00F9003C00AE}">
            <x14:dxf>
              <font>
                <color rgb="FF006100"/>
              </font>
              <fill>
                <patternFill patternType="solid">
                  <fgColor rgb="FFC6EFCE"/>
                  <bgColor rgb="FFC6EFCE"/>
                </patternFill>
              </fill>
            </x14:dxf>
          </x14:cfRule>
          <xm:sqref>A2:S2 B3:S32 A3 A4 A5 A6 A7 A8 A9 A10 A11 A12 A13 A14 A15 A16 A17 A18 A19 A20 A21 A22 A23 A24 A25 A26 A27 A28 A29 A30 A31 A32</xm:sqref>
        </x14:conditionalFormatting>
        <x14:conditionalFormatting xmlns:xm="http://schemas.microsoft.com/office/excel/2006/main">
          <x14:cfRule type="timePeriod" priority="2" percent="1" timePeriod="today" id="{00ED00E8-0087-4B7D-9AAC-006B003400F1}">
            <x14:dxf>
              <font>
                <color rgb="FF006100"/>
              </font>
              <fill>
                <patternFill patternType="solid">
                  <fgColor rgb="FFC6EFCE"/>
                  <bgColor rgb="FFC6EFCE"/>
                </patternFill>
              </fill>
            </x14:dxf>
          </x14:cfRule>
          <xm:sqref>X2:AP2 Y3:AP32 X3 X4 X5 X6 X7 X8 X9 X10 X11 X12 X13 X14 X15 X16 X17 X18 X19 X20 X21 X22 X23 X24 X25 X26 X27 X28 X29 X30 X31 X32</xm:sqref>
        </x14:conditionalFormatting>
        <x14:conditionalFormatting xmlns:xm="http://schemas.microsoft.com/office/excel/2006/main">
          <x14:cfRule type="timePeriod" priority="1" percent="1" timePeriod="today" id="{008A0096-00B8-4F11-ABC0-001A00F0006E}">
            <x14:dxf>
              <font>
                <color rgb="FF006100"/>
              </font>
              <fill>
                <patternFill patternType="solid">
                  <fgColor rgb="FFC6EFCE"/>
                  <bgColor rgb="FFC6EFCE"/>
                </patternFill>
              </fill>
            </x14:dxf>
          </x14:cfRule>
          <xm:sqref>A2 A3 A4 A5 A6 A7 A8 A9 A10 A11 A12 A13 A14 A15 A16 A17 A18 A19 A20 A21 A22 A23 A24 A25 A26 A27 A28 A29 A30 A31 A32</xm:sqref>
        </x14:conditionalFormatting>
        <x14:conditionalFormatting xmlns:xm="http://schemas.microsoft.com/office/excel/2006/main">
          <x14:cfRule type="timePeriod" priority="1" percent="1" timePeriod="today" id="{003200FC-0006-4483-A9E5-00AC009B00EF}">
            <x14:dxf>
              <font>
                <color rgb="FF006100"/>
              </font>
              <fill>
                <patternFill patternType="solid">
                  <fgColor rgb="FFC6EFCE"/>
                  <bgColor rgb="FFC6EFCE"/>
                </patternFill>
              </fill>
            </x14:dxf>
          </x14:cfRule>
          <xm:sqref>X2 X3 X4 X5 X6 X7 X8 X9 X10 X11 X12 X13 X14 X15 X16 X17 X18 X19 X20 X21 X22 X23 X24 X25 X26 X27 X28 X29 X30 X31 X32</xm:sqref>
        </x14:conditionalFormatting>
      </x14:conditionalFormattings>
    </ext>
  </extLst>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8" zoomScale="100" workbookViewId="0">
      <selection activeCell="A52" activeCellId="0" sqref="A52:E52"/>
    </sheetView>
  </sheetViews>
  <sheetFormatPr defaultRowHeight="14.25" outlineLevelRow="1"/>
  <cols>
    <col bestFit="1" customWidth="1" min="1" max="1" width="11.5703125"/>
    <col bestFit="1" customWidth="1" min="2" max="2" width="12"/>
    <col bestFit="1" customWidth="1" min="3" max="3" width="14.85546875"/>
    <col bestFit="1" customWidth="1" min="4" max="4" width="18.28515625"/>
    <col bestFit="1" customWidth="1" min="5" max="5" width="12.5703125"/>
    <col bestFit="1" customWidth="1" min="6" max="6" style="31" width="12.5703125"/>
    <col customWidth="1" min="7" max="7" width="10.28515625"/>
    <col bestFit="1" min="16" max="16" width="9.28125"/>
    <col bestFit="1" customWidth="1" min="33" max="33" width="9.140625"/>
  </cols>
  <sheetData>
    <row r="1">
      <c r="A1" s="129">
        <v>2019</v>
      </c>
      <c r="B1" s="130" t="s">
        <v>93</v>
      </c>
      <c r="C1" s="131" t="s">
        <v>94</v>
      </c>
      <c r="D1" s="131" t="s">
        <v>95</v>
      </c>
      <c r="E1" s="132" t="s">
        <v>96</v>
      </c>
      <c r="F1" s="133" t="s">
        <v>70</v>
      </c>
      <c r="G1" s="133" t="s">
        <v>71</v>
      </c>
      <c r="H1" s="133" t="s">
        <v>3</v>
      </c>
      <c r="I1" s="133" t="s">
        <v>4</v>
      </c>
      <c r="J1" s="133" t="s">
        <v>5</v>
      </c>
      <c r="K1" s="133" t="s">
        <v>6</v>
      </c>
      <c r="L1" s="133" t="s">
        <v>7</v>
      </c>
      <c r="M1" s="133" t="s">
        <v>8</v>
      </c>
      <c r="N1" s="133" t="s">
        <v>9</v>
      </c>
      <c r="O1" s="133" t="s">
        <v>10</v>
      </c>
      <c r="P1" s="133" t="s">
        <v>11</v>
      </c>
      <c r="Q1" s="133" t="s">
        <v>12</v>
      </c>
      <c r="R1" s="133" t="s">
        <v>13</v>
      </c>
      <c r="S1" s="133" t="s">
        <v>19</v>
      </c>
      <c r="T1" s="133" t="s">
        <v>20</v>
      </c>
      <c r="U1" s="134" t="s">
        <v>49</v>
      </c>
      <c r="V1" s="135"/>
      <c r="W1" s="136"/>
      <c r="BL1" s="137"/>
    </row>
    <row r="2" hidden="1" outlineLevel="1">
      <c r="A2" s="138" t="s">
        <v>97</v>
      </c>
      <c r="B2" s="139">
        <v>23106.66</v>
      </c>
      <c r="C2" s="140">
        <f>36212.96+12000</f>
        <v>48212.959999999999</v>
      </c>
      <c r="D2" s="141">
        <f t="shared" ref="D2:D13" si="140">C2-B2</f>
        <v>25106.299999999999</v>
      </c>
      <c r="E2" s="139">
        <f>7000+15113.42+14099.54</f>
        <v>36212.959999999999</v>
      </c>
      <c r="F2" s="142"/>
      <c r="G2" s="143"/>
      <c r="H2" s="143"/>
      <c r="I2" s="143"/>
      <c r="J2" s="143"/>
      <c r="K2" s="143"/>
      <c r="L2" s="143"/>
      <c r="M2" s="143"/>
      <c r="N2" s="143"/>
      <c r="O2" s="143"/>
      <c r="P2" s="143"/>
      <c r="Q2" s="143"/>
      <c r="R2" s="143"/>
      <c r="S2" s="143"/>
      <c r="T2" s="143"/>
      <c r="U2" s="143">
        <v>0</v>
      </c>
      <c r="V2" s="143"/>
      <c r="W2" s="144"/>
      <c r="BL2" s="137"/>
    </row>
    <row r="3" hidden="1" outlineLevel="1">
      <c r="A3" s="145" t="s">
        <v>98</v>
      </c>
      <c r="B3" s="146">
        <v>23225.41</v>
      </c>
      <c r="C3" s="146">
        <v>25202.639999999999</v>
      </c>
      <c r="D3" s="147">
        <f t="shared" si="140"/>
        <v>1977.2299999999996</v>
      </c>
      <c r="E3" s="146">
        <f>6800+18402.64</f>
        <v>25202.639999999999</v>
      </c>
      <c r="F3" s="142"/>
      <c r="G3" s="143"/>
      <c r="H3" s="143"/>
      <c r="I3" s="143"/>
      <c r="J3" s="143"/>
      <c r="K3" s="143"/>
      <c r="L3" s="143"/>
      <c r="M3" s="143"/>
      <c r="N3" s="143"/>
      <c r="O3" s="143"/>
      <c r="P3" s="143"/>
      <c r="Q3" s="143"/>
      <c r="R3" s="143"/>
      <c r="S3" s="143"/>
      <c r="T3" s="143"/>
      <c r="U3" s="143">
        <v>0</v>
      </c>
      <c r="V3" s="143"/>
      <c r="W3" s="144"/>
      <c r="BL3" s="137"/>
    </row>
    <row r="4" hidden="1" outlineLevel="1">
      <c r="A4" s="138" t="s">
        <v>99</v>
      </c>
      <c r="B4" s="139">
        <v>29971.889999999999</v>
      </c>
      <c r="C4" s="139">
        <v>39115.279999999999</v>
      </c>
      <c r="D4" s="148">
        <f t="shared" si="140"/>
        <v>9143.3899999999994</v>
      </c>
      <c r="E4" s="139">
        <f>7000+1295.2+22415.18</f>
        <v>30710.380000000001</v>
      </c>
      <c r="F4" s="142"/>
      <c r="G4" s="143"/>
      <c r="H4" s="143"/>
      <c r="I4" s="143"/>
      <c r="J4" s="143"/>
      <c r="K4" s="143"/>
      <c r="L4" s="143"/>
      <c r="M4" s="143"/>
      <c r="N4" s="143"/>
      <c r="O4" s="143"/>
      <c r="P4" s="143"/>
      <c r="Q4" s="143"/>
      <c r="R4" s="143"/>
      <c r="S4" s="143"/>
      <c r="T4" s="143"/>
      <c r="U4" s="143">
        <v>0</v>
      </c>
      <c r="V4" s="143"/>
      <c r="W4" s="144"/>
      <c r="BL4" s="137"/>
    </row>
    <row r="5" hidden="1" outlineLevel="1">
      <c r="A5" s="145" t="s">
        <v>100</v>
      </c>
      <c r="B5" s="146">
        <v>18925.639999999999</v>
      </c>
      <c r="C5" s="146">
        <v>30938.380000000001</v>
      </c>
      <c r="D5" s="147">
        <f t="shared" si="140"/>
        <v>12012.740000000002</v>
      </c>
      <c r="E5" s="149">
        <f>12834.64+1600+22415.18</f>
        <v>36849.82</v>
      </c>
      <c r="F5" s="142"/>
      <c r="G5" s="143"/>
      <c r="H5" s="143"/>
      <c r="I5" s="143"/>
      <c r="J5" s="143"/>
      <c r="K5" s="143"/>
      <c r="L5" s="143"/>
      <c r="M5" s="143"/>
      <c r="N5" s="143"/>
      <c r="O5" s="143"/>
      <c r="P5" s="143"/>
      <c r="Q5" s="143"/>
      <c r="R5" s="143"/>
      <c r="S5" s="143"/>
      <c r="T5" s="143"/>
      <c r="U5" s="143">
        <v>0</v>
      </c>
      <c r="V5" s="143"/>
      <c r="W5" s="144"/>
      <c r="BL5" s="137"/>
    </row>
    <row r="6" hidden="1" outlineLevel="1">
      <c r="A6" s="138" t="s">
        <v>101</v>
      </c>
      <c r="B6" s="139">
        <f>Май!S32</f>
        <v>42543.839999999997</v>
      </c>
      <c r="C6" s="138">
        <v>47000</v>
      </c>
      <c r="D6" s="148">
        <f t="shared" si="140"/>
        <v>4456.1600000000035</v>
      </c>
      <c r="E6" s="138">
        <f>Июнь!B44</f>
        <v>40800</v>
      </c>
      <c r="F6" s="150">
        <f>Май!B32</f>
        <v>2492.5</v>
      </c>
      <c r="G6" s="151">
        <f>Май!C32</f>
        <v>6741.6499999999996</v>
      </c>
      <c r="H6" s="151">
        <f>Май!D32</f>
        <v>3394.9899999999998</v>
      </c>
      <c r="I6" s="143">
        <f>Май!E32</f>
        <v>0</v>
      </c>
      <c r="J6" s="143">
        <f>Май!F32</f>
        <v>4360</v>
      </c>
      <c r="K6" s="143">
        <f>Май!G32</f>
        <v>0</v>
      </c>
      <c r="L6" s="143">
        <f>Май!H32</f>
        <v>3184</v>
      </c>
      <c r="M6" s="151">
        <f>Май!I32</f>
        <v>3759.1999999999998</v>
      </c>
      <c r="N6" s="151">
        <f>Май!J32</f>
        <v>400.5</v>
      </c>
      <c r="O6" s="143">
        <f>Май!K32</f>
        <v>14536</v>
      </c>
      <c r="P6" s="143">
        <f>Май!L32</f>
        <v>2000</v>
      </c>
      <c r="Q6" s="143">
        <f>Май!M32</f>
        <v>275</v>
      </c>
      <c r="R6" s="143">
        <f>Май!N32</f>
        <v>1400</v>
      </c>
      <c r="S6" s="143">
        <f>Май!O32</f>
        <v>0</v>
      </c>
      <c r="T6" s="143">
        <f>Май!P32</f>
        <v>0</v>
      </c>
      <c r="U6" s="143">
        <v>0</v>
      </c>
      <c r="V6" s="143"/>
      <c r="W6" s="144"/>
      <c r="BL6" s="137"/>
    </row>
    <row r="7" hidden="1" outlineLevel="1">
      <c r="A7" s="145" t="s">
        <v>102</v>
      </c>
      <c r="B7" s="146">
        <f>Июнь!S32</f>
        <v>35885.629999999997</v>
      </c>
      <c r="C7" s="146">
        <f>Июнь!I65</f>
        <v>56315.889999999999</v>
      </c>
      <c r="D7" s="147">
        <f t="shared" si="140"/>
        <v>20430.260000000002</v>
      </c>
      <c r="E7" s="145">
        <f>Июль!B45+Июнь!B59</f>
        <v>56300</v>
      </c>
      <c r="F7" s="142">
        <f>Июнь!B32</f>
        <v>8666</v>
      </c>
      <c r="G7" s="151">
        <f>Июнь!C32</f>
        <v>5568.8499999999995</v>
      </c>
      <c r="H7" s="151">
        <f>Июнь!D32</f>
        <v>2068.7799999999997</v>
      </c>
      <c r="I7" s="143">
        <f>Июнь!E32</f>
        <v>0</v>
      </c>
      <c r="J7" s="143">
        <f>Июнь!F32</f>
        <v>2180</v>
      </c>
      <c r="K7" s="143">
        <f>Июнь!G32</f>
        <v>0</v>
      </c>
      <c r="L7" s="143">
        <f>Июнь!H32</f>
        <v>8790</v>
      </c>
      <c r="M7" s="143">
        <f>Июнь!I32</f>
        <v>2499</v>
      </c>
      <c r="N7" s="143">
        <f>Июнь!J32</f>
        <v>0</v>
      </c>
      <c r="O7" s="143">
        <f>Июнь!K32</f>
        <v>4800</v>
      </c>
      <c r="P7" s="143">
        <f>Июнь!L32</f>
        <v>0</v>
      </c>
      <c r="Q7" s="143">
        <f>Июнь!M32</f>
        <v>250</v>
      </c>
      <c r="R7" s="143">
        <f>Июнь!N32</f>
        <v>200</v>
      </c>
      <c r="S7" s="143">
        <f>Июнь!O32</f>
        <v>700</v>
      </c>
      <c r="T7" s="143">
        <f>Июнь!P32</f>
        <v>163</v>
      </c>
      <c r="U7" s="143">
        <v>0</v>
      </c>
      <c r="V7" s="143"/>
      <c r="W7" s="144"/>
      <c r="BL7" s="137"/>
    </row>
    <row r="8" hidden="1" outlineLevel="1">
      <c r="A8" s="138" t="s">
        <v>103</v>
      </c>
      <c r="B8" s="139">
        <f>Июль!S33</f>
        <v>31452.57</v>
      </c>
      <c r="C8" s="139">
        <f>Июль!I67</f>
        <v>57492.610000000001</v>
      </c>
      <c r="D8" s="148">
        <f t="shared" si="140"/>
        <v>26040.040000000001</v>
      </c>
      <c r="E8" s="152">
        <f>Август!B44+Июль!B60</f>
        <v>47419.370000000003</v>
      </c>
      <c r="F8" s="153">
        <f>Июль!B33</f>
        <v>7525.3999999999996</v>
      </c>
      <c r="G8" s="154">
        <f>Июль!C33</f>
        <v>3878.8699999999999</v>
      </c>
      <c r="H8" s="154">
        <f>Июль!D33</f>
        <v>3548</v>
      </c>
      <c r="I8" s="154">
        <f>Июль!E33</f>
        <v>500</v>
      </c>
      <c r="J8" s="154">
        <f>Июль!F33</f>
        <v>3156.79</v>
      </c>
      <c r="K8" s="154">
        <f>Июль!G33</f>
        <v>0</v>
      </c>
      <c r="L8" s="154">
        <f>Июль!H33</f>
        <v>0</v>
      </c>
      <c r="M8" s="154">
        <f>Июль!I33</f>
        <v>1120</v>
      </c>
      <c r="N8" s="154">
        <f>Июль!J33</f>
        <v>0</v>
      </c>
      <c r="O8" s="154">
        <f>Июль!K33</f>
        <v>9855.5100000000002</v>
      </c>
      <c r="P8" s="154">
        <f>Июль!L33</f>
        <v>0</v>
      </c>
      <c r="Q8" s="154">
        <f>Июль!M33</f>
        <v>550</v>
      </c>
      <c r="R8" s="154">
        <f>Июль!N33</f>
        <v>898</v>
      </c>
      <c r="S8" s="154">
        <f>Июль!O33</f>
        <v>0</v>
      </c>
      <c r="T8" s="154">
        <f>Июль!P33</f>
        <v>420</v>
      </c>
      <c r="U8" s="143">
        <v>0</v>
      </c>
      <c r="V8" s="143"/>
      <c r="W8" s="144"/>
      <c r="BL8" s="137"/>
    </row>
    <row r="9" hidden="1" outlineLevel="1">
      <c r="A9" s="145" t="s">
        <v>104</v>
      </c>
      <c r="B9" s="146">
        <f>Август!S33</f>
        <v>35011.340000000004</v>
      </c>
      <c r="C9" s="146">
        <f>Август!I67</f>
        <v>53050.220000000001</v>
      </c>
      <c r="D9" s="147">
        <f t="shared" si="140"/>
        <v>18038.879999999997</v>
      </c>
      <c r="E9" s="146">
        <f>Сентябрь!B44+Август!B58</f>
        <v>47890.360000000001</v>
      </c>
      <c r="F9" s="150">
        <f>Август!B33</f>
        <v>9143.2699999999986</v>
      </c>
      <c r="G9" s="151">
        <f>Август!C33</f>
        <v>5915.5700000000006</v>
      </c>
      <c r="H9" s="151">
        <f>Август!D33</f>
        <v>2057.9899999999998</v>
      </c>
      <c r="I9" s="143">
        <f>Август!E33</f>
        <v>1000</v>
      </c>
      <c r="J9" s="143">
        <f>Август!F33</f>
        <v>0</v>
      </c>
      <c r="K9" s="143">
        <f>Август!G33</f>
        <v>0</v>
      </c>
      <c r="L9" s="143">
        <f>Август!H33</f>
        <v>400</v>
      </c>
      <c r="M9" s="143">
        <f>Август!I33</f>
        <v>180</v>
      </c>
      <c r="N9" s="143">
        <f>Август!J33</f>
        <v>336</v>
      </c>
      <c r="O9" s="151">
        <f>Август!K33</f>
        <v>11055.51</v>
      </c>
      <c r="P9" s="143">
        <f>Август!L33</f>
        <v>63</v>
      </c>
      <c r="Q9" s="143">
        <f>Август!M33</f>
        <v>550</v>
      </c>
      <c r="R9" s="143">
        <f>Август!N33</f>
        <v>2850</v>
      </c>
      <c r="S9" s="143">
        <f>Август!O33</f>
        <v>800</v>
      </c>
      <c r="T9" s="143">
        <f>Август!P33</f>
        <v>660</v>
      </c>
      <c r="U9" s="143">
        <v>0</v>
      </c>
      <c r="V9" s="143"/>
      <c r="W9" s="144"/>
      <c r="BL9" s="137"/>
    </row>
    <row r="10" hidden="1" outlineLevel="1">
      <c r="A10" s="138" t="s">
        <v>105</v>
      </c>
      <c r="B10" s="139">
        <f>Сентябрь!S32</f>
        <v>30869.010000000002</v>
      </c>
      <c r="C10" s="139">
        <f>Сентябрь!I65</f>
        <v>47923.830000000002</v>
      </c>
      <c r="D10" s="148">
        <f t="shared" si="140"/>
        <v>17054.82</v>
      </c>
      <c r="E10" s="139">
        <f>Октябрь!B45+Сентябрь!B59</f>
        <v>47601.18</v>
      </c>
      <c r="F10" s="150">
        <f>Сентябрь!B32</f>
        <v>9113.8999999999996</v>
      </c>
      <c r="G10" s="151">
        <f>Сентябрь!C32</f>
        <v>3795.7100000000005</v>
      </c>
      <c r="H10" s="151">
        <f>Сентябрь!D32</f>
        <v>2609.98</v>
      </c>
      <c r="I10" s="143">
        <f>Сентябрь!E32</f>
        <v>796</v>
      </c>
      <c r="J10" s="143">
        <f>Сентябрь!F32</f>
        <v>0</v>
      </c>
      <c r="K10" s="143">
        <f>Сентябрь!G32</f>
        <v>210</v>
      </c>
      <c r="L10" s="143">
        <f>Сентябрь!H32</f>
        <v>500</v>
      </c>
      <c r="M10" s="151">
        <f>Сентябрь!I32</f>
        <v>1444.6800000000001</v>
      </c>
      <c r="N10" s="143">
        <f>Сентябрь!J32</f>
        <v>0</v>
      </c>
      <c r="O10" s="151">
        <f>Сентябрь!K32</f>
        <v>11305.74</v>
      </c>
      <c r="P10" s="143">
        <f>Сентябрь!L32</f>
        <v>318</v>
      </c>
      <c r="Q10" s="143">
        <f>Сентябрь!M32</f>
        <v>300</v>
      </c>
      <c r="R10" s="143">
        <f>Сентябрь!N32</f>
        <v>475</v>
      </c>
      <c r="S10" s="143">
        <f>Сентябрь!O32</f>
        <v>0</v>
      </c>
      <c r="T10" s="143">
        <f>Сентябрь!P32</f>
        <v>0</v>
      </c>
      <c r="U10" s="143">
        <v>0</v>
      </c>
      <c r="V10" s="143"/>
      <c r="W10" s="144"/>
      <c r="BL10" s="137"/>
    </row>
    <row r="11" hidden="1" outlineLevel="1">
      <c r="A11" s="145" t="s">
        <v>106</v>
      </c>
      <c r="B11" s="146">
        <f>Октябрь!S33</f>
        <v>61348.490000000005</v>
      </c>
      <c r="C11" s="146">
        <f>Октябрь!I67</f>
        <v>52926.309999999998</v>
      </c>
      <c r="D11" s="147">
        <f t="shared" si="140"/>
        <v>-8422.1800000000076</v>
      </c>
      <c r="E11" s="146">
        <f>Октябрь!B60+Ноябрь!B42</f>
        <v>49401.709999999999</v>
      </c>
      <c r="F11" s="150">
        <f>Октябрь!B33</f>
        <v>8671.5</v>
      </c>
      <c r="G11" s="151">
        <f>Октябрь!C33</f>
        <v>4431.4900000000007</v>
      </c>
      <c r="H11" s="151">
        <f>Октябрь!D33</f>
        <v>3416.98</v>
      </c>
      <c r="I11" s="143">
        <f>Октябрь!E33</f>
        <v>22139</v>
      </c>
      <c r="J11" s="143">
        <f>Октябрь!F33</f>
        <v>450</v>
      </c>
      <c r="K11" s="143">
        <f>Октябрь!G33</f>
        <v>0</v>
      </c>
      <c r="L11" s="143">
        <f>Октябрь!H33</f>
        <v>2519</v>
      </c>
      <c r="M11" s="143">
        <f>Октябрь!I33</f>
        <v>72</v>
      </c>
      <c r="N11" s="143">
        <f>Октябрь!J33</f>
        <v>0</v>
      </c>
      <c r="O11" s="151">
        <f>Октябрь!K33</f>
        <v>13061.52</v>
      </c>
      <c r="P11" s="143">
        <f>Октябрь!L33</f>
        <v>4813</v>
      </c>
      <c r="Q11" s="143">
        <f>Октябрь!M33</f>
        <v>330</v>
      </c>
      <c r="R11" s="143">
        <f>Октябрь!N33</f>
        <v>304</v>
      </c>
      <c r="S11" s="143">
        <f>Октябрь!O33</f>
        <v>800</v>
      </c>
      <c r="T11" s="143">
        <f>Октябрь!P33</f>
        <v>340</v>
      </c>
      <c r="U11" s="143">
        <v>0</v>
      </c>
      <c r="V11" s="143"/>
      <c r="W11" s="144"/>
      <c r="BL11" s="137"/>
    </row>
    <row r="12" hidden="1" outlineLevel="1">
      <c r="A12" s="138" t="s">
        <v>107</v>
      </c>
      <c r="B12" s="139">
        <f>Ноябрь!S32</f>
        <v>31462.399999999998</v>
      </c>
      <c r="C12" s="139">
        <f>Ноябрь!I65</f>
        <v>52369.279999999999</v>
      </c>
      <c r="D12" s="148">
        <f t="shared" si="140"/>
        <v>20906.880000000001</v>
      </c>
      <c r="E12" s="139">
        <f>Ноябрь!B59+Декабрь!B45</f>
        <v>50613.089999999997</v>
      </c>
      <c r="F12" s="150">
        <f>Ноябрь!B32</f>
        <v>2983.8000000000002</v>
      </c>
      <c r="G12" s="151">
        <f>Ноябрь!C32</f>
        <v>4455.7600000000002</v>
      </c>
      <c r="H12" s="151">
        <f>Ноябрь!D32</f>
        <v>3683.9400000000001</v>
      </c>
      <c r="I12" s="143">
        <f>Ноябрь!E32</f>
        <v>0</v>
      </c>
      <c r="J12" s="143">
        <f>Ноябрь!F32</f>
        <v>0</v>
      </c>
      <c r="K12" s="143">
        <f>Ноябрь!G32</f>
        <v>0</v>
      </c>
      <c r="L12" s="143">
        <f>Ноябрь!H32</f>
        <v>0</v>
      </c>
      <c r="M12" s="151">
        <f>Ноябрь!I32</f>
        <v>1861.1700000000001</v>
      </c>
      <c r="N12" s="143">
        <f>Ноябрь!J32</f>
        <v>0</v>
      </c>
      <c r="O12" s="143">
        <f>Ноябрь!K32</f>
        <v>14500</v>
      </c>
      <c r="P12" s="151">
        <f>Ноябрь!L32</f>
        <v>2348.73</v>
      </c>
      <c r="Q12" s="143">
        <f>Ноябрь!M32</f>
        <v>480</v>
      </c>
      <c r="R12" s="143">
        <f>Ноябрь!N32</f>
        <v>490</v>
      </c>
      <c r="S12" s="143">
        <f>Ноябрь!O32</f>
        <v>0</v>
      </c>
      <c r="T12" s="143">
        <f>Ноябрь!P32</f>
        <v>659</v>
      </c>
      <c r="U12" s="143">
        <v>0</v>
      </c>
      <c r="V12" s="143"/>
      <c r="W12" s="144"/>
      <c r="BL12" s="137"/>
    </row>
    <row r="13" hidden="1" outlineLevel="1">
      <c r="A13" s="145" t="s">
        <v>108</v>
      </c>
      <c r="B13" s="146">
        <f>Декабрь!S33</f>
        <v>45899.349999999999</v>
      </c>
      <c r="C13" s="146">
        <f>Декабрь!I67</f>
        <v>65074.079999999994</v>
      </c>
      <c r="D13" s="147">
        <f t="shared" si="140"/>
        <v>19174.729999999996</v>
      </c>
      <c r="E13" s="146">
        <f>Декабрь!B60+'Янв`20'!B45</f>
        <v>67905.540000000008</v>
      </c>
      <c r="F13" s="150">
        <f>Декабрь!B33</f>
        <v>5193.6000000000004</v>
      </c>
      <c r="G13" s="151">
        <f>Декабрь!C33</f>
        <v>4907.3199999999997</v>
      </c>
      <c r="H13" s="151">
        <f>Декабрь!D33</f>
        <v>1218.5700000000002</v>
      </c>
      <c r="I13" s="143">
        <f>Декабрь!E33</f>
        <v>2054</v>
      </c>
      <c r="J13" s="143">
        <f>Декабрь!F33</f>
        <v>0</v>
      </c>
      <c r="K13" s="143">
        <f>Декабрь!G33</f>
        <v>0</v>
      </c>
      <c r="L13" s="143">
        <f>Декабрь!H33</f>
        <v>1298</v>
      </c>
      <c r="M13" s="143">
        <f>Декабрь!I33</f>
        <v>3510</v>
      </c>
      <c r="N13" s="151">
        <f>Декабрь!J33</f>
        <v>76.090000000000003</v>
      </c>
      <c r="O13" s="151">
        <f>Декабрь!K33</f>
        <v>13049.9</v>
      </c>
      <c r="P13" s="151">
        <f>Декабрь!L33</f>
        <v>12798.969999999999</v>
      </c>
      <c r="Q13" s="143">
        <f>Декабрь!M33</f>
        <v>80</v>
      </c>
      <c r="R13" s="143">
        <f>Декабрь!N33</f>
        <v>0</v>
      </c>
      <c r="S13" s="143">
        <f>Декабрь!O33</f>
        <v>800</v>
      </c>
      <c r="T13" s="151">
        <f>Декабрь!P33</f>
        <v>912.90000000000009</v>
      </c>
      <c r="U13" s="143">
        <v>0</v>
      </c>
      <c r="V13" s="143"/>
      <c r="W13" s="144"/>
      <c r="BL13" s="137"/>
    </row>
    <row r="14" hidden="1" outlineLevel="1">
      <c r="A14" s="138" t="s">
        <v>109</v>
      </c>
      <c r="B14" s="139">
        <f>AVERAGE(B2:B13)</f>
        <v>34141.852500000001</v>
      </c>
      <c r="C14" s="139">
        <f>AVERAGE(C2:C13)</f>
        <v>47968.456666666665</v>
      </c>
      <c r="D14" s="139">
        <f>AVERAGE(D2:D13)</f>
        <v>13826.604166666666</v>
      </c>
      <c r="E14" s="155">
        <f>AVERAGE(E2:E13)</f>
        <v>44742.254166666673</v>
      </c>
      <c r="F14" s="156">
        <f>AVERAGE(F2:F13)</f>
        <v>6723.7462500000001</v>
      </c>
      <c r="G14" s="156">
        <f>AVERAGE(G2:G13)</f>
        <v>4961.9025000000001</v>
      </c>
      <c r="H14" s="156">
        <f>AVERAGE(H2:H13)</f>
        <v>2749.9037499999999</v>
      </c>
      <c r="I14" s="156">
        <f>AVERAGE(I2:I13)</f>
        <v>3311.125</v>
      </c>
      <c r="J14" s="156">
        <f>AVERAGE(J2:J13)</f>
        <v>1268.3487500000001</v>
      </c>
      <c r="K14" s="156">
        <f>AVERAGE(K2:K13)</f>
        <v>26.25</v>
      </c>
      <c r="L14" s="156">
        <f>AVERAGE(L2:L13)</f>
        <v>2086.375</v>
      </c>
      <c r="M14" s="156">
        <f>AVERAGE(M2:M13)</f>
        <v>1805.7562499999999</v>
      </c>
      <c r="N14" s="156">
        <f>AVERAGE(N2:N13)</f>
        <v>101.57375</v>
      </c>
      <c r="O14" s="156">
        <f>AVERAGE(O2:O13)</f>
        <v>11520.522499999999</v>
      </c>
      <c r="P14" s="156">
        <f>AVERAGE(P2:P13)</f>
        <v>2792.7124999999996</v>
      </c>
      <c r="Q14" s="156">
        <f>AVERAGE(Q2:Q13)</f>
        <v>351.875</v>
      </c>
      <c r="R14" s="156">
        <f>AVERAGE(R2:R13)</f>
        <v>827.125</v>
      </c>
      <c r="S14" s="156">
        <f>AVERAGE(S2:S13)</f>
        <v>387.5</v>
      </c>
      <c r="T14" s="156">
        <f>AVERAGE(T2:T13)</f>
        <v>394.36250000000001</v>
      </c>
      <c r="U14" s="157">
        <f>AVERAGE(U2:U13)</f>
        <v>0</v>
      </c>
      <c r="V14" s="157" t="e">
        <f>AVERAGE(V2:V13)</f>
        <v>#NUM!</v>
      </c>
      <c r="W14" s="157" t="e">
        <f>AVERAGE(W2:W13)</f>
        <v>#NUM!</v>
      </c>
      <c r="BL14" s="137"/>
    </row>
    <row r="15" hidden="1" outlineLevel="1">
      <c r="A15" s="158" t="s">
        <v>110</v>
      </c>
      <c r="B15" s="159">
        <f>SUM(B2:B13)</f>
        <v>409702.22999999998</v>
      </c>
      <c r="C15" s="159">
        <f>SUM(C2:C13)</f>
        <v>575621.47999999998</v>
      </c>
      <c r="D15" s="159">
        <f>SUM(D2:D13)</f>
        <v>165919.25</v>
      </c>
      <c r="E15" s="159">
        <f>SUM(E2:E13)</f>
        <v>536907.05000000005</v>
      </c>
      <c r="F15" s="160">
        <f t="shared" ref="F15:U15" si="141">SUM(F2:F13)</f>
        <v>53789.970000000001</v>
      </c>
      <c r="G15" s="160">
        <f t="shared" si="141"/>
        <v>39695.220000000001</v>
      </c>
      <c r="H15" s="160">
        <f t="shared" si="141"/>
        <v>21999.23</v>
      </c>
      <c r="I15" s="161">
        <f t="shared" si="141"/>
        <v>26489</v>
      </c>
      <c r="J15" s="160">
        <f t="shared" si="141"/>
        <v>10146.790000000001</v>
      </c>
      <c r="K15" s="161">
        <f t="shared" si="141"/>
        <v>210</v>
      </c>
      <c r="L15" s="161">
        <f t="shared" si="141"/>
        <v>16691</v>
      </c>
      <c r="M15" s="160">
        <f t="shared" si="141"/>
        <v>14446.049999999999</v>
      </c>
      <c r="N15" s="160">
        <f t="shared" si="141"/>
        <v>812.59000000000003</v>
      </c>
      <c r="O15" s="160">
        <f t="shared" si="141"/>
        <v>92164.179999999993</v>
      </c>
      <c r="P15" s="160">
        <f t="shared" si="141"/>
        <v>22341.699999999997</v>
      </c>
      <c r="Q15" s="161">
        <f t="shared" si="141"/>
        <v>2815</v>
      </c>
      <c r="R15" s="161">
        <f t="shared" si="141"/>
        <v>6617</v>
      </c>
      <c r="S15" s="161">
        <f t="shared" si="141"/>
        <v>3100</v>
      </c>
      <c r="T15" s="162">
        <f t="shared" si="141"/>
        <v>3154.9000000000001</v>
      </c>
      <c r="U15" s="163">
        <f t="shared" si="141"/>
        <v>0</v>
      </c>
      <c r="V15" s="163"/>
      <c r="W15" s="163"/>
      <c r="BL15" s="137"/>
    </row>
    <row r="16" hidden="1" outlineLevel="1">
      <c r="A16" s="145" t="s">
        <v>111</v>
      </c>
      <c r="B16" s="145"/>
      <c r="C16" s="145">
        <f>Июнь!E64+Июль!E66+Август!E66+Август!E51+Сентябрь!E64+Сентябрь!E62+Май!E64+Октябрь!E67+Ноябрь!E64+Декабрь!E67</f>
        <v>8867.2800000000007</v>
      </c>
      <c r="D16" s="145"/>
      <c r="E16" s="145"/>
      <c r="G16" s="31"/>
      <c r="H16" s="31"/>
      <c r="I16" s="31"/>
      <c r="J16" s="31"/>
      <c r="K16" s="31"/>
      <c r="L16" s="31"/>
      <c r="M16" s="31"/>
      <c r="N16" s="31"/>
      <c r="O16" s="31"/>
      <c r="P16" s="31"/>
      <c r="Q16" s="31"/>
      <c r="R16" s="31"/>
      <c r="S16" s="31"/>
      <c r="T16" s="31"/>
      <c r="U16" s="31"/>
      <c r="V16" s="31"/>
      <c r="W16" s="31"/>
      <c r="BL16" s="137"/>
    </row>
    <row r="17" hidden="1" outlineLevel="1">
      <c r="A17" s="137"/>
      <c r="B17" s="137"/>
      <c r="C17" s="137"/>
      <c r="D17" s="137"/>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row>
    <row r="18" collapsed="1">
      <c r="A18" s="129">
        <v>2020</v>
      </c>
      <c r="B18" s="130" t="s">
        <v>93</v>
      </c>
      <c r="C18" s="131" t="s">
        <v>94</v>
      </c>
      <c r="D18" s="131" t="s">
        <v>95</v>
      </c>
      <c r="E18" s="132" t="s">
        <v>96</v>
      </c>
      <c r="F18" s="133" t="s">
        <v>70</v>
      </c>
      <c r="G18" s="133" t="s">
        <v>71</v>
      </c>
      <c r="H18" s="133" t="s">
        <v>3</v>
      </c>
      <c r="I18" s="133" t="s">
        <v>4</v>
      </c>
      <c r="J18" s="133" t="s">
        <v>5</v>
      </c>
      <c r="K18" s="133" t="s">
        <v>6</v>
      </c>
      <c r="L18" s="133" t="s">
        <v>7</v>
      </c>
      <c r="M18" s="133" t="s">
        <v>8</v>
      </c>
      <c r="N18" s="133" t="s">
        <v>9</v>
      </c>
      <c r="O18" s="133" t="s">
        <v>10</v>
      </c>
      <c r="P18" s="133" t="s">
        <v>11</v>
      </c>
      <c r="Q18" s="133" t="s">
        <v>12</v>
      </c>
      <c r="R18" s="133" t="s">
        <v>13</v>
      </c>
      <c r="S18" s="133" t="s">
        <v>19</v>
      </c>
      <c r="T18" s="133" t="s">
        <v>20</v>
      </c>
      <c r="U18" s="134" t="s">
        <v>49</v>
      </c>
      <c r="V18" s="135"/>
      <c r="W18" s="135"/>
      <c r="X18" s="164" t="s">
        <v>50</v>
      </c>
      <c r="Y18" s="165" t="s">
        <v>13</v>
      </c>
      <c r="Z18" s="165" t="s">
        <v>11</v>
      </c>
      <c r="AA18" s="165" t="s">
        <v>51</v>
      </c>
      <c r="AB18" s="165" t="s">
        <v>52</v>
      </c>
      <c r="AC18" s="165" t="s">
        <v>53</v>
      </c>
      <c r="AD18" s="165" t="s">
        <v>54</v>
      </c>
      <c r="AE18" s="165" t="s">
        <v>55</v>
      </c>
      <c r="AF18" s="166"/>
      <c r="AG18" s="167"/>
      <c r="BL18" s="137"/>
    </row>
    <row r="19" hidden="1" outlineLevel="1">
      <c r="A19" s="168" t="s">
        <v>97</v>
      </c>
      <c r="B19" s="169">
        <f>'Янв`20'!S33</f>
        <v>28625.289999999997</v>
      </c>
      <c r="C19" s="170">
        <f>'Янв`20'!I67</f>
        <v>63293.800000000003</v>
      </c>
      <c r="D19" s="170">
        <f t="shared" ref="D19:D30" si="142">C19-B19</f>
        <v>34668.510000000009</v>
      </c>
      <c r="E19" s="169">
        <f>'Янв`20'!B59+'Фвр`10'!B43</f>
        <v>61284.75</v>
      </c>
      <c r="F19" s="171">
        <f>'Янв`20'!B33</f>
        <v>7202</v>
      </c>
      <c r="G19" s="172">
        <f>'Янв`20'!C33</f>
        <v>4405.4799999999996</v>
      </c>
      <c r="H19" s="173">
        <f>'Янв`20'!D33</f>
        <v>2228</v>
      </c>
      <c r="I19" s="173">
        <f>'Янв`20'!E33</f>
        <v>-64</v>
      </c>
      <c r="J19" s="173">
        <f>'Янв`20'!F33</f>
        <v>0</v>
      </c>
      <c r="K19" s="173">
        <f>'Янв`20'!G33</f>
        <v>0</v>
      </c>
      <c r="L19" s="173">
        <f>'Янв`20'!H33</f>
        <v>0</v>
      </c>
      <c r="M19" s="172">
        <f>'Янв`20'!I33</f>
        <v>148.34999999999999</v>
      </c>
      <c r="N19" s="173">
        <f>'Янв`20'!J33</f>
        <v>0</v>
      </c>
      <c r="O19" s="172">
        <f>'Янв`20'!K33</f>
        <v>11153.48</v>
      </c>
      <c r="P19" s="172">
        <f>'Янв`20'!L33</f>
        <v>1532.98</v>
      </c>
      <c r="Q19" s="173">
        <f>'Янв`20'!M33</f>
        <v>1300</v>
      </c>
      <c r="R19" s="173">
        <f>'Янв`20'!N33</f>
        <v>0</v>
      </c>
      <c r="S19" s="173">
        <f>'Янв`20'!O33</f>
        <v>0</v>
      </c>
      <c r="T19" s="173">
        <f>'Янв`20'!P33</f>
        <v>719</v>
      </c>
      <c r="U19" s="174">
        <v>0</v>
      </c>
      <c r="V19" s="174"/>
      <c r="W19" s="175"/>
      <c r="X19" s="176">
        <f>'Янв`20'!B67</f>
        <v>55905.540000000001</v>
      </c>
      <c r="Y19" s="177">
        <f>'Янв`20'!C67</f>
        <v>0</v>
      </c>
      <c r="Z19" s="177">
        <f>'Янв`20'!D67</f>
        <v>1000</v>
      </c>
      <c r="AA19" s="178">
        <f>'Янв`20'!E67</f>
        <v>1238.26</v>
      </c>
      <c r="AB19" s="177">
        <f>'Янв`20'!F67</f>
        <v>3900</v>
      </c>
      <c r="AC19" s="177">
        <f>'Янв`20'!G67</f>
        <v>250</v>
      </c>
      <c r="AD19" s="177">
        <f>'Янв`20'!H67</f>
        <v>1000</v>
      </c>
      <c r="AE19" s="177">
        <v>0</v>
      </c>
      <c r="AF19" s="177"/>
      <c r="AG19" s="179"/>
      <c r="BL19" s="137"/>
    </row>
    <row r="20" hidden="1" outlineLevel="1">
      <c r="A20" s="5" t="s">
        <v>98</v>
      </c>
      <c r="B20" s="180">
        <f>'Фвр`10'!S31</f>
        <v>55093.82</v>
      </c>
      <c r="C20" s="180">
        <f>'Фвр`10'!I63</f>
        <v>66321.290000000008</v>
      </c>
      <c r="D20" s="180">
        <f t="shared" si="142"/>
        <v>11227.470000000008</v>
      </c>
      <c r="E20" s="180">
        <f>'Фвр`10'!B58+'Мрт `20'!B45</f>
        <v>51335.839999999997</v>
      </c>
      <c r="F20" s="181">
        <f>'Фвр`10'!B31</f>
        <v>4054</v>
      </c>
      <c r="G20" s="182">
        <f>'Фвр`10'!C31</f>
        <v>4408.3900000000003</v>
      </c>
      <c r="H20" s="182">
        <f>'Фвр`10'!D31</f>
        <v>6159.7199999999993</v>
      </c>
      <c r="I20" s="182">
        <f>'Фвр`10'!E31</f>
        <v>274.10000000000036</v>
      </c>
      <c r="J20" s="174">
        <f>'Фвр`10'!F31</f>
        <v>0</v>
      </c>
      <c r="K20" s="174">
        <f>'Фвр`10'!G31</f>
        <v>0</v>
      </c>
      <c r="L20" s="174">
        <f>'Фвр`10'!H31</f>
        <v>0</v>
      </c>
      <c r="M20" s="182">
        <f>'Фвр`10'!I31</f>
        <v>1296.54</v>
      </c>
      <c r="N20" s="182">
        <f>'Фвр`10'!J31</f>
        <v>840.29999999999995</v>
      </c>
      <c r="O20" s="182">
        <f>'Фвр`10'!K31</f>
        <v>30893.77</v>
      </c>
      <c r="P20" s="174">
        <f>'Фвр`10'!L31</f>
        <v>6168</v>
      </c>
      <c r="Q20" s="174">
        <f>'Фвр`10'!M31</f>
        <v>0</v>
      </c>
      <c r="R20" s="174">
        <f>'Фвр`10'!N31</f>
        <v>0</v>
      </c>
      <c r="S20" s="174">
        <f>'Фвр`10'!O31</f>
        <v>800</v>
      </c>
      <c r="T20" s="174">
        <f>'Фвр`10'!P31</f>
        <v>199</v>
      </c>
      <c r="U20" s="174">
        <v>0</v>
      </c>
      <c r="V20" s="174"/>
      <c r="W20" s="175"/>
      <c r="X20" s="176">
        <f>'Фвр`10'!B63</f>
        <v>61284.75</v>
      </c>
      <c r="Y20" s="177">
        <f>'Фвр`10'!C63</f>
        <v>0</v>
      </c>
      <c r="Z20" s="177">
        <f>'Фвр`10'!D63</f>
        <v>0</v>
      </c>
      <c r="AA20" s="178">
        <f>'Фвр`10'!E63</f>
        <v>1216.54</v>
      </c>
      <c r="AB20" s="177">
        <f>'Фвр`10'!F63</f>
        <v>0</v>
      </c>
      <c r="AC20" s="177">
        <f>'Фвр`10'!G63</f>
        <v>320</v>
      </c>
      <c r="AD20" s="177">
        <f>'Фвр`10'!H63</f>
        <v>3500</v>
      </c>
      <c r="AE20" s="177">
        <v>0</v>
      </c>
      <c r="AF20" s="177"/>
      <c r="AG20" s="179"/>
      <c r="BL20" s="137"/>
    </row>
    <row r="21" hidden="1" outlineLevel="1">
      <c r="A21" s="168" t="s">
        <v>99</v>
      </c>
      <c r="B21" s="169">
        <f>'Мрт `20'!S33</f>
        <v>33290.75</v>
      </c>
      <c r="C21" s="183">
        <f>'Мрт `20'!I67</f>
        <v>80598.589999999997</v>
      </c>
      <c r="D21" s="169">
        <f t="shared" si="142"/>
        <v>47307.839999999997</v>
      </c>
      <c r="E21" s="169">
        <f>'Мрт `20'!B60+'Апр `20'!B44</f>
        <v>59160.029999999999</v>
      </c>
      <c r="F21" s="184">
        <f>'Мрт `20'!B33</f>
        <v>3412.0999999999999</v>
      </c>
      <c r="G21" s="172">
        <f>'Мрт `20'!C33</f>
        <v>5986.5100000000002</v>
      </c>
      <c r="H21" s="172">
        <f>'Мрт `20'!D33</f>
        <v>1190.98</v>
      </c>
      <c r="I21" s="173">
        <f>'Мрт `20'!E33</f>
        <v>2000</v>
      </c>
      <c r="J21" s="173">
        <f>'Мрт `20'!F33</f>
        <v>0</v>
      </c>
      <c r="K21" s="173">
        <f>'Мрт `20'!G33</f>
        <v>0</v>
      </c>
      <c r="L21" s="173">
        <f>'Мрт `20'!H33</f>
        <v>0</v>
      </c>
      <c r="M21" s="173">
        <f>'Мрт `20'!I33</f>
        <v>7559</v>
      </c>
      <c r="N21" s="173">
        <f>'Мрт `20'!J33</f>
        <v>0</v>
      </c>
      <c r="O21" s="172">
        <f>'Мрт `20'!K33</f>
        <v>10650.16</v>
      </c>
      <c r="P21" s="173">
        <f>'Мрт `20'!L33</f>
        <v>1943</v>
      </c>
      <c r="Q21" s="173">
        <f>'Мрт `20'!M33</f>
        <v>0</v>
      </c>
      <c r="R21" s="173">
        <f>'Мрт `20'!N33</f>
        <v>0</v>
      </c>
      <c r="S21" s="173">
        <f>'Мрт `20'!O33</f>
        <v>0</v>
      </c>
      <c r="T21" s="173">
        <f>'Мрт `20'!P33</f>
        <v>549</v>
      </c>
      <c r="U21" s="174">
        <v>0</v>
      </c>
      <c r="V21" s="174"/>
      <c r="W21" s="175"/>
      <c r="X21" s="176">
        <f>'Мрт `20'!B67</f>
        <v>51335.839999999997</v>
      </c>
      <c r="Y21" s="177">
        <f>'Мрт `20'!C67</f>
        <v>0</v>
      </c>
      <c r="Z21" s="177">
        <f>'Мрт `20'!D67</f>
        <v>0</v>
      </c>
      <c r="AA21" s="178">
        <f>'Мрт `20'!E67</f>
        <v>15712.750000000002</v>
      </c>
      <c r="AB21" s="177">
        <f>'Мрт `20'!F67</f>
        <v>5000</v>
      </c>
      <c r="AC21" s="177">
        <f>'Мрт `20'!G67</f>
        <v>550</v>
      </c>
      <c r="AD21" s="177">
        <f>'Мрт `20'!H67</f>
        <v>8000</v>
      </c>
      <c r="AE21" s="177">
        <v>0</v>
      </c>
      <c r="AF21" s="177"/>
      <c r="AG21" s="179"/>
      <c r="BL21" s="137"/>
    </row>
    <row r="22" hidden="1" outlineLevel="1">
      <c r="A22" s="5" t="s">
        <v>100</v>
      </c>
      <c r="B22" s="180">
        <f>'Апр `20'!S32</f>
        <v>97776.509999999995</v>
      </c>
      <c r="C22" s="180">
        <f>'Апр `20'!I65</f>
        <v>76216.849999999991</v>
      </c>
      <c r="D22" s="180">
        <f t="shared" si="142"/>
        <v>-21559.660000000003</v>
      </c>
      <c r="E22" s="180">
        <f>'Апр `20'!B57+'Апр `20'!B58+'Май `20'!B43+'Май `20'!B48</f>
        <v>34344.029999999999</v>
      </c>
      <c r="F22" s="181">
        <f>'Апр `20'!B32</f>
        <v>0</v>
      </c>
      <c r="G22" s="182">
        <f>'Апр `20'!C32</f>
        <v>2610.4299999999998</v>
      </c>
      <c r="H22" s="174">
        <f>'Апр `20'!D32</f>
        <v>2177</v>
      </c>
      <c r="I22" s="174">
        <f>'Апр `20'!E32</f>
        <v>80000</v>
      </c>
      <c r="J22" s="174">
        <f>'Апр `20'!F32</f>
        <v>30</v>
      </c>
      <c r="K22" s="174">
        <f>'Апр `20'!G32</f>
        <v>170</v>
      </c>
      <c r="L22" s="174">
        <f>'Апр `20'!H32</f>
        <v>0</v>
      </c>
      <c r="M22" s="174">
        <f>'Апр `20'!I32</f>
        <v>1250</v>
      </c>
      <c r="N22" s="174">
        <f>'Апр `20'!J32</f>
        <v>1079</v>
      </c>
      <c r="O22" s="182">
        <f>'Апр `20'!K32</f>
        <v>9021.3299999999999</v>
      </c>
      <c r="P22" s="182">
        <f>'Апр `20'!L32</f>
        <v>427.69999999999999</v>
      </c>
      <c r="Q22" s="174">
        <f>'Апр `20'!M32</f>
        <v>0</v>
      </c>
      <c r="R22" s="174">
        <f>'Апр `20'!N32</f>
        <v>0</v>
      </c>
      <c r="S22" s="174">
        <f>'Апр `20'!O32</f>
        <v>800</v>
      </c>
      <c r="T22" s="182">
        <f>'Апр `20'!P32</f>
        <v>211.05000000000001</v>
      </c>
      <c r="U22" s="174">
        <f>'Апр `20'!Q32:AE32</f>
        <v>0</v>
      </c>
      <c r="V22" s="174"/>
      <c r="W22" s="175"/>
      <c r="X22" s="176">
        <f>'Апр `20'!B65</f>
        <v>72048.039999999994</v>
      </c>
      <c r="Y22" s="177">
        <f>'Апр `20'!C65</f>
        <v>0</v>
      </c>
      <c r="Z22" s="177">
        <f>'Апр `20'!D65</f>
        <v>4000</v>
      </c>
      <c r="AA22" s="178">
        <f>'Апр `20'!E65</f>
        <v>168.81</v>
      </c>
      <c r="AB22" s="177">
        <f>'Апр `20'!F65</f>
        <v>0</v>
      </c>
      <c r="AC22" s="177">
        <f>'Апр `20'!G65</f>
        <v>0</v>
      </c>
      <c r="AD22" s="177">
        <f>'Апр `20'!H65</f>
        <v>0</v>
      </c>
      <c r="AE22" s="177">
        <v>0</v>
      </c>
      <c r="AF22" s="177"/>
      <c r="AG22" s="179"/>
      <c r="BL22" s="137"/>
    </row>
    <row r="23" hidden="1" outlineLevel="1">
      <c r="A23" s="168" t="s">
        <v>101</v>
      </c>
      <c r="B23" s="169">
        <f>'Май `20'!S33</f>
        <v>21725.080000000002</v>
      </c>
      <c r="C23" s="169">
        <f>'Май `20'!I67</f>
        <v>20556.02</v>
      </c>
      <c r="D23" s="169">
        <f t="shared" si="142"/>
        <v>-1169.0600000000013</v>
      </c>
      <c r="E23" s="169">
        <f>'Май `20'!B60+'Июнь `20'!B44</f>
        <v>17024.549999999999</v>
      </c>
      <c r="F23" s="171">
        <f>'Май `20'!B33</f>
        <v>221</v>
      </c>
      <c r="G23" s="172">
        <f>'Май `20'!C33</f>
        <v>3850.5799999999999</v>
      </c>
      <c r="H23" s="173">
        <f>'Май `20'!D33</f>
        <v>2327</v>
      </c>
      <c r="I23" s="173">
        <f>'Май `20'!E33</f>
        <v>250</v>
      </c>
      <c r="J23" s="173">
        <f>'Май `20'!F33</f>
        <v>0</v>
      </c>
      <c r="K23" s="173">
        <f>'Май `20'!G33</f>
        <v>0</v>
      </c>
      <c r="L23" s="173">
        <f>'Май `20'!H33</f>
        <v>799</v>
      </c>
      <c r="M23" s="173">
        <f>'Май `20'!I33</f>
        <v>50</v>
      </c>
      <c r="N23" s="173">
        <f>'Май `20'!J33</f>
        <v>245</v>
      </c>
      <c r="O23" s="172">
        <f>'Май `20'!K33</f>
        <v>11623.5</v>
      </c>
      <c r="P23" s="173">
        <f>'Май `20'!L33</f>
        <v>1900</v>
      </c>
      <c r="Q23" s="173">
        <f>'Май `20'!M33</f>
        <v>260</v>
      </c>
      <c r="R23" s="173">
        <f>'Май `20'!N33</f>
        <v>0</v>
      </c>
      <c r="S23" s="173">
        <f>'Май `20'!O33</f>
        <v>0</v>
      </c>
      <c r="T23" s="173">
        <f>'Май `20'!P33</f>
        <v>199</v>
      </c>
      <c r="U23" s="173">
        <f>'Май `20'!Q33</f>
        <v>0</v>
      </c>
      <c r="V23" s="174"/>
      <c r="W23" s="175"/>
      <c r="X23" s="176">
        <f>'Май `20'!B67</f>
        <v>18956.02</v>
      </c>
      <c r="Y23" s="177">
        <f>'Май `20'!C67</f>
        <v>600</v>
      </c>
      <c r="Z23" s="177">
        <f>'Май `20'!D67</f>
        <v>1000</v>
      </c>
      <c r="AA23" s="177">
        <f>'Май `20'!E67</f>
        <v>0</v>
      </c>
      <c r="AB23" s="177">
        <f>'Май `20'!F67</f>
        <v>0</v>
      </c>
      <c r="AC23" s="177">
        <f>'Май `20'!G67</f>
        <v>0</v>
      </c>
      <c r="AD23" s="177">
        <f>'Май `20'!H67</f>
        <v>0</v>
      </c>
      <c r="AE23" s="177">
        <v>0</v>
      </c>
      <c r="AF23" s="177"/>
      <c r="AG23" s="179"/>
      <c r="BL23" s="137"/>
    </row>
    <row r="24" hidden="1" outlineLevel="1">
      <c r="A24" s="5" t="s">
        <v>102</v>
      </c>
      <c r="B24" s="180">
        <f>'Июнь `20'!S32</f>
        <v>21119.529999999999</v>
      </c>
      <c r="C24" s="180">
        <f>'Июнь `20'!I65</f>
        <v>18621.299999999999</v>
      </c>
      <c r="D24" s="180">
        <f t="shared" si="142"/>
        <v>-2498.2299999999996</v>
      </c>
      <c r="E24" s="180">
        <f>'Июнь `20'!B59+'Июль `20'!B45</f>
        <v>33561.949999999997</v>
      </c>
      <c r="F24" s="181">
        <f>'Июнь `20'!B32</f>
        <v>909</v>
      </c>
      <c r="G24" s="182">
        <f>'Июнь `20'!C32</f>
        <v>6917.5999999999995</v>
      </c>
      <c r="H24" s="174">
        <f>'Июнь `20'!D32</f>
        <v>3970</v>
      </c>
      <c r="I24" s="174">
        <f>'Июнь `20'!E32</f>
        <v>0</v>
      </c>
      <c r="J24" s="182">
        <f>'Июнь `20'!F32</f>
        <v>210.59999999999999</v>
      </c>
      <c r="K24" s="174">
        <f>'Июнь `20'!G32</f>
        <v>0</v>
      </c>
      <c r="L24" s="174">
        <f>'Июнь `20'!H32</f>
        <v>0</v>
      </c>
      <c r="M24" s="182">
        <f>'Июнь `20'!I32</f>
        <v>582.5</v>
      </c>
      <c r="N24" s="174">
        <f>'Июнь `20'!J32</f>
        <v>216</v>
      </c>
      <c r="O24" s="182">
        <f>'Июнь `20'!K32</f>
        <v>6939.8299999999999</v>
      </c>
      <c r="P24" s="174">
        <f>'Июнь `20'!L32</f>
        <v>0</v>
      </c>
      <c r="Q24" s="174">
        <f>'Июнь `20'!M32</f>
        <v>375</v>
      </c>
      <c r="R24" s="174">
        <f>'Июнь `20'!N32</f>
        <v>0</v>
      </c>
      <c r="S24" s="174">
        <f>'Июнь `20'!O32</f>
        <v>800</v>
      </c>
      <c r="T24" s="174">
        <f>'Июнь `20'!P32</f>
        <v>199</v>
      </c>
      <c r="U24" s="174">
        <f>'Июнь `20'!Q32</f>
        <v>0</v>
      </c>
      <c r="V24" s="174"/>
      <c r="W24" s="175"/>
      <c r="X24" s="176">
        <f>'Июнь `20'!B65</f>
        <v>17024.549999999999</v>
      </c>
      <c r="Y24" s="177">
        <f>'Июнь `20'!C65</f>
        <v>0</v>
      </c>
      <c r="Z24" s="177">
        <f>'Июнь `20'!D65</f>
        <v>0</v>
      </c>
      <c r="AA24" s="178">
        <f>'Июнь `20'!E65</f>
        <v>296.75</v>
      </c>
      <c r="AB24" s="177">
        <f>'Июнь `20'!F65</f>
        <v>0</v>
      </c>
      <c r="AC24" s="177">
        <f>'Июнь `20'!G65</f>
        <v>300</v>
      </c>
      <c r="AD24" s="177">
        <f>'Июнь `20'!H65</f>
        <v>1000</v>
      </c>
      <c r="AE24" s="177">
        <v>0</v>
      </c>
      <c r="AF24" s="177"/>
      <c r="AG24" s="179"/>
      <c r="BL24" s="137"/>
    </row>
    <row r="25" hidden="1" outlineLevel="1">
      <c r="A25" s="168" t="s">
        <v>103</v>
      </c>
      <c r="B25" s="169">
        <f>'Июль `20'!S33</f>
        <v>24658.899999999998</v>
      </c>
      <c r="C25" s="169">
        <f>'Июль `20'!I67</f>
        <v>38552.349999999999</v>
      </c>
      <c r="D25" s="169">
        <f t="shared" si="142"/>
        <v>13893.450000000001</v>
      </c>
      <c r="E25" s="169">
        <f>'Июль `20'!B59+'Авг `20'!B45</f>
        <v>30583.91</v>
      </c>
      <c r="F25" s="171">
        <f>'Июль `20'!B33</f>
        <v>1582</v>
      </c>
      <c r="G25" s="172">
        <f>'Июль `20'!C33</f>
        <v>4701.4199999999992</v>
      </c>
      <c r="H25" s="172">
        <f>'Июль `20'!D33</f>
        <v>4119.9799999999996</v>
      </c>
      <c r="I25" s="173">
        <f>'Июль `20'!E33</f>
        <v>550</v>
      </c>
      <c r="J25" s="173">
        <f>'Июль `20'!F33</f>
        <v>0</v>
      </c>
      <c r="K25" s="173">
        <f>'Июль `20'!G33</f>
        <v>0</v>
      </c>
      <c r="L25" s="173">
        <f>'Июль `20'!H33</f>
        <v>849</v>
      </c>
      <c r="M25" s="173">
        <f>'Июль `20'!I33</f>
        <v>0</v>
      </c>
      <c r="N25" s="173">
        <f>'Июль `20'!J33</f>
        <v>1881</v>
      </c>
      <c r="O25" s="173">
        <f>'Июль `20'!K33</f>
        <v>6930</v>
      </c>
      <c r="P25" s="172">
        <f>'Июль `20'!L33</f>
        <v>3421.5</v>
      </c>
      <c r="Q25" s="173">
        <f>'Июль `20'!M33</f>
        <v>425</v>
      </c>
      <c r="R25" s="173">
        <f>'Июль `20'!N33</f>
        <v>0</v>
      </c>
      <c r="S25" s="173">
        <f>'Июль `20'!O33</f>
        <v>0</v>
      </c>
      <c r="T25" s="173">
        <f>'Июль `20'!P33</f>
        <v>199</v>
      </c>
      <c r="U25" s="173">
        <f>'Июль `20'!Q33</f>
        <v>0</v>
      </c>
      <c r="V25" s="174"/>
      <c r="W25" s="175"/>
      <c r="X25" s="176">
        <f>'Июль `20'!B67</f>
        <v>33561.949999999997</v>
      </c>
      <c r="Y25" s="177">
        <f>'Июль `20'!C67</f>
        <v>0</v>
      </c>
      <c r="Z25" s="177">
        <f>'Июль `20'!D67</f>
        <v>2000</v>
      </c>
      <c r="AA25" s="177">
        <f>'Июль `20'!E67</f>
        <v>0</v>
      </c>
      <c r="AB25" s="178">
        <f>'Июль `20'!F67</f>
        <v>1290.4000000000001</v>
      </c>
      <c r="AC25" s="177">
        <f>'Июль `20'!G67</f>
        <v>0</v>
      </c>
      <c r="AD25" s="177">
        <f>'Июль `20'!H67</f>
        <v>1700</v>
      </c>
      <c r="AE25" s="177">
        <v>0</v>
      </c>
      <c r="AF25" s="177"/>
      <c r="AG25" s="179"/>
      <c r="BL25" s="137"/>
    </row>
    <row r="26" hidden="1" outlineLevel="1">
      <c r="A26" s="5" t="s">
        <v>104</v>
      </c>
      <c r="B26" s="180">
        <f>'Авг `20'!S33</f>
        <v>28465.07</v>
      </c>
      <c r="C26" s="180">
        <f>'Авг `20'!I67</f>
        <v>58257.809999999998</v>
      </c>
      <c r="D26" s="180">
        <f t="shared" si="142"/>
        <v>29792.739999999998</v>
      </c>
      <c r="E26" s="180">
        <f>'Авг `20'!B60+'Сен `20'!B44</f>
        <v>27576.68</v>
      </c>
      <c r="F26" s="181">
        <f>'Авг `20'!B33</f>
        <v>1458</v>
      </c>
      <c r="G26" s="182">
        <f>'Авг `20'!C33</f>
        <v>6290.0699999999988</v>
      </c>
      <c r="H26" s="174">
        <f>'Авг `20'!D33</f>
        <v>3745</v>
      </c>
      <c r="I26" s="174">
        <f>'Авг `20'!E33</f>
        <v>0</v>
      </c>
      <c r="J26" s="174">
        <f>'Авг `20'!F33</f>
        <v>0</v>
      </c>
      <c r="K26" s="174">
        <f>'Авг `20'!G33</f>
        <v>0</v>
      </c>
      <c r="L26" s="174">
        <f>'Авг `20'!H33</f>
        <v>4499</v>
      </c>
      <c r="M26" s="174">
        <f>'Авг `20'!I33</f>
        <v>406</v>
      </c>
      <c r="N26" s="174">
        <f>'Авг `20'!J33</f>
        <v>2479</v>
      </c>
      <c r="O26" s="174">
        <f>'Авг `20'!K33</f>
        <v>7000</v>
      </c>
      <c r="P26" s="174">
        <f>'Авг `20'!L33</f>
        <v>1000</v>
      </c>
      <c r="Q26" s="174">
        <f>'Авг `20'!M33</f>
        <v>480</v>
      </c>
      <c r="R26" s="174">
        <f>'Авг `20'!N33</f>
        <v>0</v>
      </c>
      <c r="S26" s="174">
        <f>'Авг `20'!O33</f>
        <v>900</v>
      </c>
      <c r="T26" s="174">
        <f>'Авг `20'!P33</f>
        <v>208</v>
      </c>
      <c r="U26" s="174">
        <f>'Авг `20'!Q33</f>
        <v>0</v>
      </c>
      <c r="V26" s="174"/>
      <c r="W26" s="175"/>
      <c r="X26" s="176">
        <f>'Авг `20'!B67</f>
        <v>52157.809999999998</v>
      </c>
      <c r="Y26" s="177">
        <f>'Авг `20'!C67</f>
        <v>1000</v>
      </c>
      <c r="Z26" s="177">
        <f>'Авг `20'!D67</f>
        <v>3000</v>
      </c>
      <c r="AA26" s="177">
        <f>'Авг `20'!E67</f>
        <v>0</v>
      </c>
      <c r="AB26" s="177">
        <f>'Авг `20'!F67</f>
        <v>0</v>
      </c>
      <c r="AC26" s="177">
        <f>'Авг `20'!G67</f>
        <v>0</v>
      </c>
      <c r="AD26" s="177">
        <f>'Авг `20'!H67</f>
        <v>2100</v>
      </c>
      <c r="AE26" s="177">
        <v>0</v>
      </c>
      <c r="AF26" s="177"/>
      <c r="AG26" s="179"/>
      <c r="BL26" s="137"/>
    </row>
    <row r="27" hidden="1" outlineLevel="1">
      <c r="A27" s="168" t="s">
        <v>105</v>
      </c>
      <c r="B27" s="169">
        <f>'Сен `20'!S32</f>
        <v>27190.16</v>
      </c>
      <c r="C27" s="169">
        <f>'Сен `20'!I65</f>
        <v>25499.689999999999</v>
      </c>
      <c r="D27" s="169">
        <f t="shared" si="142"/>
        <v>-1690.4700000000012</v>
      </c>
      <c r="E27" s="185">
        <f>'Авг `20'!B63+'Сен `20'!B59+'Окт `20'!B44</f>
        <v>36810.660000000003</v>
      </c>
      <c r="F27" s="186">
        <f>'Сен `20'!B32</f>
        <v>839</v>
      </c>
      <c r="G27" s="187">
        <f>'Сен `20'!C32</f>
        <v>4866.1799999999994</v>
      </c>
      <c r="H27" s="187">
        <f>'Сен `20'!D32</f>
        <v>5024.96</v>
      </c>
      <c r="I27" s="187">
        <f>'Сен `20'!E32</f>
        <v>-100</v>
      </c>
      <c r="J27" s="187">
        <f>'Сен `20'!F32</f>
        <v>0</v>
      </c>
      <c r="K27" s="187">
        <f>'Сен `20'!G32</f>
        <v>49</v>
      </c>
      <c r="L27" s="187">
        <f>'Сен `20'!H32</f>
        <v>2499</v>
      </c>
      <c r="M27" s="187">
        <f>'Сен `20'!I32</f>
        <v>3349</v>
      </c>
      <c r="N27" s="187">
        <f>'Сен `20'!J32</f>
        <v>27</v>
      </c>
      <c r="O27" s="187">
        <f>'Сен `20'!K32</f>
        <v>7000</v>
      </c>
      <c r="P27" s="187">
        <f>'Сен `20'!L32</f>
        <v>2617.02</v>
      </c>
      <c r="Q27" s="187">
        <f>'Сен `20'!M32</f>
        <v>480</v>
      </c>
      <c r="R27" s="187">
        <f>'Сен `20'!N32</f>
        <v>0</v>
      </c>
      <c r="S27" s="187">
        <f>'Сен `20'!O32</f>
        <v>0</v>
      </c>
      <c r="T27" s="187">
        <f>'Сен `20'!P32</f>
        <v>539</v>
      </c>
      <c r="U27" s="187">
        <f>'Сен `20'!Q32</f>
        <v>0</v>
      </c>
      <c r="V27" s="174"/>
      <c r="W27" s="175"/>
      <c r="X27" s="176">
        <f>'Сен `20'!B65</f>
        <v>22076.68</v>
      </c>
      <c r="Y27" s="177">
        <f>'Сен `20'!C65</f>
        <v>0</v>
      </c>
      <c r="Z27" s="177">
        <f>'Сен `20'!D65</f>
        <v>2000</v>
      </c>
      <c r="AA27" s="178">
        <f>'Сен `20'!E65</f>
        <v>623.00999999999999</v>
      </c>
      <c r="AB27" s="177">
        <f>'Сен `20'!F65</f>
        <v>0</v>
      </c>
      <c r="AC27" s="177">
        <f>'Сен `20'!G65</f>
        <v>0</v>
      </c>
      <c r="AD27" s="177">
        <f>'Сен `20'!H65</f>
        <v>800</v>
      </c>
      <c r="AE27" s="177">
        <v>0</v>
      </c>
      <c r="AF27" s="177"/>
      <c r="AG27" s="179"/>
      <c r="BL27" s="137"/>
    </row>
    <row r="28" hidden="1" outlineLevel="1">
      <c r="A28" s="5" t="s">
        <v>106</v>
      </c>
      <c r="B28" s="180">
        <f>'Окт `20'!S33</f>
        <v>21947.93</v>
      </c>
      <c r="C28" s="180">
        <f>'Окт `20'!I67</f>
        <v>22121.390000000003</v>
      </c>
      <c r="D28" s="180">
        <f t="shared" si="142"/>
        <v>173.46000000000276</v>
      </c>
      <c r="E28" s="180">
        <f>'Окт `20'!B58+'Ноя `20'!B44</f>
        <v>27047.099999999999</v>
      </c>
      <c r="F28" s="181">
        <f>'Окт `20'!B33</f>
        <v>690</v>
      </c>
      <c r="G28" s="182">
        <f>'Окт `20'!C33</f>
        <v>5266.9299999999994</v>
      </c>
      <c r="H28" s="182">
        <f>'Окт `20'!D33</f>
        <v>4808.9400000000005</v>
      </c>
      <c r="I28" s="174">
        <f>'Окт `20'!E33</f>
        <v>0</v>
      </c>
      <c r="J28" s="174">
        <f>'Окт `20'!F33</f>
        <v>0</v>
      </c>
      <c r="K28" s="174">
        <f>'Окт `20'!G33</f>
        <v>0</v>
      </c>
      <c r="L28" s="174">
        <f>'Окт `20'!H33</f>
        <v>0</v>
      </c>
      <c r="M28" s="174">
        <f>'Окт `20'!I33</f>
        <v>537</v>
      </c>
      <c r="N28" s="182">
        <f>'Окт `20'!J33</f>
        <v>2247.0599999999999</v>
      </c>
      <c r="O28" s="174">
        <f>'Окт `20'!K33</f>
        <v>7000</v>
      </c>
      <c r="P28" s="174">
        <f>'Окт `20'!L33</f>
        <v>0</v>
      </c>
      <c r="Q28" s="174">
        <f>'Окт `20'!M33</f>
        <v>430</v>
      </c>
      <c r="R28" s="174">
        <f>'Окт `20'!N33</f>
        <v>0</v>
      </c>
      <c r="S28" s="174">
        <f>'Окт `20'!O33</f>
        <v>0</v>
      </c>
      <c r="T28" s="174">
        <f>'Окт `20'!P33</f>
        <v>199</v>
      </c>
      <c r="U28" s="174">
        <f>'Окт `20'!Q33</f>
        <v>769</v>
      </c>
      <c r="V28" s="174"/>
      <c r="W28" s="175"/>
      <c r="X28" s="176">
        <f>'Окт `20'!B67</f>
        <v>20136.760000000002</v>
      </c>
      <c r="Y28" s="177">
        <f>'Окт `20'!C67</f>
        <v>0</v>
      </c>
      <c r="Z28" s="177">
        <f>'Окт `20'!D67</f>
        <v>0</v>
      </c>
      <c r="AA28" s="178">
        <f>'Окт `20'!E67</f>
        <v>884.63</v>
      </c>
      <c r="AB28" s="177">
        <f>'Окт `20'!F67</f>
        <v>0</v>
      </c>
      <c r="AC28" s="177">
        <f>'Окт `20'!G67</f>
        <v>0</v>
      </c>
      <c r="AD28" s="177">
        <f>'Окт `20'!H67</f>
        <v>1100</v>
      </c>
      <c r="AE28" s="177">
        <v>0</v>
      </c>
      <c r="AF28" s="177"/>
      <c r="AG28" s="179"/>
      <c r="BL28" s="137"/>
    </row>
    <row r="29" hidden="1" outlineLevel="1">
      <c r="A29" s="168" t="s">
        <v>107</v>
      </c>
      <c r="B29" s="169">
        <f>'Ноя `20'!S32</f>
        <v>34045.879999999997</v>
      </c>
      <c r="C29" s="169">
        <f>'Ноя `20'!I65</f>
        <v>31250.669999999998</v>
      </c>
      <c r="D29" s="169">
        <f t="shared" si="142"/>
        <v>-2795.2099999999991</v>
      </c>
      <c r="E29" s="169">
        <f>'Ноя `20'!B59+'Дек `20'!B45</f>
        <v>26055.619999999999</v>
      </c>
      <c r="F29" s="171">
        <f>'Ноя `20'!B32</f>
        <v>1293</v>
      </c>
      <c r="G29" s="172">
        <f>'Ноя `20'!C32</f>
        <v>5305.2100000000009</v>
      </c>
      <c r="H29" s="173">
        <f>'Ноя `20'!D32</f>
        <v>1837</v>
      </c>
      <c r="I29" s="173">
        <f>'Ноя `20'!E32</f>
        <v>409</v>
      </c>
      <c r="J29" s="173">
        <f>'Ноя `20'!F32</f>
        <v>450</v>
      </c>
      <c r="K29" s="173">
        <f>'Ноя `20'!G32</f>
        <v>0</v>
      </c>
      <c r="L29" s="173">
        <f>'Ноя `20'!H32</f>
        <v>8802</v>
      </c>
      <c r="M29" s="172">
        <f>'Ноя `20'!I32</f>
        <v>552.79999999999995</v>
      </c>
      <c r="N29" s="173">
        <f>'Ноя `20'!J32</f>
        <v>226</v>
      </c>
      <c r="O29" s="173">
        <f>'Ноя `20'!K32</f>
        <v>12300</v>
      </c>
      <c r="P29" s="173">
        <f>'Ноя `20'!L32</f>
        <v>1400</v>
      </c>
      <c r="Q29" s="173">
        <f>'Ноя `20'!M32</f>
        <v>340</v>
      </c>
      <c r="R29" s="173">
        <f>'Ноя `20'!N32</f>
        <v>0</v>
      </c>
      <c r="S29" s="173">
        <f>'Ноя `20'!O32</f>
        <v>900</v>
      </c>
      <c r="T29" s="173">
        <f>'Ноя `20'!P32</f>
        <v>199</v>
      </c>
      <c r="U29" s="172">
        <f>'Ноя `20'!Q32</f>
        <v>31.870000000000001</v>
      </c>
      <c r="V29" s="174"/>
      <c r="W29" s="175"/>
      <c r="X29" s="176">
        <f>'Ноя `20'!B65</f>
        <v>27647.099999999999</v>
      </c>
      <c r="Y29" s="177">
        <f>'Ноя `20'!C65</f>
        <v>0</v>
      </c>
      <c r="Z29" s="177">
        <f>'Ноя `20'!D65</f>
        <v>400</v>
      </c>
      <c r="AA29" s="178">
        <f>'Ноя `20'!E65</f>
        <v>67.689999999999998</v>
      </c>
      <c r="AB29" s="177">
        <f>'Ноя `20'!F65</f>
        <v>0</v>
      </c>
      <c r="AC29" s="177">
        <f>'Ноя `20'!G65</f>
        <v>0</v>
      </c>
      <c r="AD29" s="177">
        <f>'Ноя `20'!H65</f>
        <v>3050</v>
      </c>
      <c r="AE29" s="188">
        <f>84+1.88</f>
        <v>85.879999999999995</v>
      </c>
      <c r="AF29" s="177"/>
      <c r="AG29" s="179"/>
      <c r="BL29" s="137"/>
    </row>
    <row r="30" hidden="1" outlineLevel="1">
      <c r="A30" s="5" t="s">
        <v>108</v>
      </c>
      <c r="B30" s="180">
        <f>'Дек `20'!S33</f>
        <v>27950.899999999998</v>
      </c>
      <c r="C30" s="180">
        <f>'Дек `20'!I67</f>
        <v>63958.939999999995</v>
      </c>
      <c r="D30" s="180">
        <f t="shared" si="142"/>
        <v>36008.039999999994</v>
      </c>
      <c r="E30" s="180">
        <f>'Дек `20'!B60+'Янв `21'!B46</f>
        <v>48558.32</v>
      </c>
      <c r="F30" s="181">
        <f>'Дек `20'!B33</f>
        <v>691</v>
      </c>
      <c r="G30" s="182">
        <f>'Дек `20'!C33</f>
        <v>6377.5499999999993</v>
      </c>
      <c r="H30" s="174">
        <f>'Дек `20'!D33</f>
        <v>2522</v>
      </c>
      <c r="I30" s="174">
        <f>'Дек `20'!E33</f>
        <v>0</v>
      </c>
      <c r="J30" s="174">
        <f>'Дек `20'!F33</f>
        <v>99</v>
      </c>
      <c r="K30" s="174">
        <f>'Дек `20'!G33</f>
        <v>0</v>
      </c>
      <c r="L30" s="174">
        <f>'Дек `20'!H33</f>
        <v>0</v>
      </c>
      <c r="M30" s="174">
        <f>'Дек `20'!I33</f>
        <v>105</v>
      </c>
      <c r="N30" s="174">
        <f>'Дек `20'!J33</f>
        <v>360</v>
      </c>
      <c r="O30" s="174">
        <f>'Дек `20'!K33</f>
        <v>7000</v>
      </c>
      <c r="P30" s="182">
        <f>'Дек `20'!L33</f>
        <v>9142.9799999999996</v>
      </c>
      <c r="Q30" s="174">
        <f>'Дек `20'!M33</f>
        <v>395</v>
      </c>
      <c r="R30" s="174">
        <f>'Дек `20'!N33</f>
        <v>0</v>
      </c>
      <c r="S30" s="174">
        <f>'Дек `20'!O33</f>
        <v>0</v>
      </c>
      <c r="T30" s="182">
        <f>'Дек `20'!P33</f>
        <v>1258.3699999999999</v>
      </c>
      <c r="U30" s="174">
        <f>'Дек `20'!Q33</f>
        <v>0</v>
      </c>
      <c r="V30" s="174"/>
      <c r="W30" s="175"/>
      <c r="X30" s="176">
        <f>'Дек `20'!B67</f>
        <v>37655.619999999995</v>
      </c>
      <c r="Y30" s="177">
        <f>'Дек `20'!C67</f>
        <v>0</v>
      </c>
      <c r="Z30" s="177">
        <f>'Дек `20'!D67</f>
        <v>2000</v>
      </c>
      <c r="AA30" s="178">
        <f>'Дек `20'!E67</f>
        <v>3068.1100000000001</v>
      </c>
      <c r="AB30" s="178">
        <f>'Дек `20'!F67</f>
        <v>17914.73</v>
      </c>
      <c r="AC30" s="177">
        <f>'Дек `20'!G67</f>
        <v>0</v>
      </c>
      <c r="AD30" s="177">
        <f>'Дек `20'!H67</f>
        <v>3100</v>
      </c>
      <c r="AE30" s="188">
        <f>214+6.48</f>
        <v>220.47999999999999</v>
      </c>
      <c r="AF30" s="177"/>
      <c r="AG30" s="179"/>
      <c r="BL30" s="137"/>
    </row>
    <row r="31" hidden="1" outlineLevel="1">
      <c r="A31" s="168" t="s">
        <v>109</v>
      </c>
      <c r="B31" s="169">
        <f>AVERAGE(B19:B30)</f>
        <v>35157.485000000001</v>
      </c>
      <c r="C31" s="169">
        <f>AVERAGE(C19:C30)</f>
        <v>47104.058333333327</v>
      </c>
      <c r="D31" s="169">
        <f>AVERAGE(D19:D30)</f>
        <v>11946.573333333334</v>
      </c>
      <c r="E31" s="169">
        <f>AVERAGE(E19:E30)</f>
        <v>37778.619999999988</v>
      </c>
      <c r="F31" s="189">
        <f>AVERAGE(F19:F30)</f>
        <v>1862.5916666666665</v>
      </c>
      <c r="G31" s="189">
        <f>AVERAGE(G19:G30)</f>
        <v>5082.1958333333323</v>
      </c>
      <c r="H31" s="189">
        <f>AVERAGE(H19:H30)</f>
        <v>3342.5483333333327</v>
      </c>
      <c r="I31" s="189">
        <f>AVERAGE(I19:I30)</f>
        <v>6943.2583333333341</v>
      </c>
      <c r="J31" s="189">
        <f>AVERAGE(J19:J30)</f>
        <v>65.799999999999997</v>
      </c>
      <c r="K31" s="189">
        <f>AVERAGE(K19:K30)</f>
        <v>18.25</v>
      </c>
      <c r="L31" s="190">
        <f>AVERAGE(L19:L30)</f>
        <v>1454</v>
      </c>
      <c r="M31" s="189">
        <f>AVERAGE(M19:M30)</f>
        <v>1319.6824999999999</v>
      </c>
      <c r="N31" s="189">
        <f>AVERAGE(N19:N30)</f>
        <v>800.03000000000009</v>
      </c>
      <c r="O31" s="189">
        <f>AVERAGE(O19:O30)</f>
        <v>10626.005833333335</v>
      </c>
      <c r="P31" s="189">
        <f>AVERAGE(P19:P30)</f>
        <v>2462.7649999999999</v>
      </c>
      <c r="Q31" s="189">
        <f>AVERAGE(Q19:Q30)</f>
        <v>373.75</v>
      </c>
      <c r="R31" s="190">
        <f>AVERAGE(R19:R30)</f>
        <v>0</v>
      </c>
      <c r="S31" s="190">
        <f>AVERAGE(S19:S30)</f>
        <v>350</v>
      </c>
      <c r="T31" s="189">
        <f>AVERAGE(T19:T30)</f>
        <v>389.86833333333334</v>
      </c>
      <c r="U31" s="189">
        <f>AVERAGE(U19:U30)</f>
        <v>66.739166666666662</v>
      </c>
      <c r="V31" s="190" t="e">
        <f>AVERAGE(V19:V30)</f>
        <v>#NUM!</v>
      </c>
      <c r="W31" s="190" t="e">
        <f>AVERAGE(W19:W30)</f>
        <v>#NUM!</v>
      </c>
      <c r="X31" s="191"/>
      <c r="Y31" s="177"/>
      <c r="Z31" s="177"/>
      <c r="AA31" s="177"/>
      <c r="AB31" s="177"/>
      <c r="AC31" s="177"/>
      <c r="AD31" s="177"/>
      <c r="AE31" s="177"/>
      <c r="AF31" s="177"/>
      <c r="AG31" s="179"/>
      <c r="BL31" s="137"/>
    </row>
    <row r="32" hidden="1" outlineLevel="1">
      <c r="A32" s="192" t="s">
        <v>110</v>
      </c>
      <c r="B32" s="159">
        <f>SUM(B19:B30)</f>
        <v>421889.82000000001</v>
      </c>
      <c r="C32" s="159">
        <f>SUM(C19:C30)</f>
        <v>565248.69999999995</v>
      </c>
      <c r="D32" s="159">
        <f>SUM(D19:D30)</f>
        <v>143358.88</v>
      </c>
      <c r="E32" s="159">
        <f>SUM(E19:E30)</f>
        <v>453343.43999999989</v>
      </c>
      <c r="F32" s="159">
        <f t="shared" ref="F32:AE32" si="143">SUM(F19:F30)</f>
        <v>22351.099999999999</v>
      </c>
      <c r="G32" s="193">
        <f t="shared" si="143"/>
        <v>60986.349999999991</v>
      </c>
      <c r="H32" s="193">
        <f t="shared" si="143"/>
        <v>40110.579999999994</v>
      </c>
      <c r="I32" s="193">
        <f t="shared" si="143"/>
        <v>83319.100000000006</v>
      </c>
      <c r="J32" s="193">
        <f t="shared" si="143"/>
        <v>789.60000000000002</v>
      </c>
      <c r="K32" s="194">
        <f t="shared" si="143"/>
        <v>219</v>
      </c>
      <c r="L32" s="194">
        <f t="shared" si="143"/>
        <v>17448</v>
      </c>
      <c r="M32" s="193">
        <f t="shared" si="143"/>
        <v>15836.189999999999</v>
      </c>
      <c r="N32" s="193">
        <f t="shared" si="143"/>
        <v>9600.3600000000006</v>
      </c>
      <c r="O32" s="193">
        <f t="shared" si="143"/>
        <v>127512.07000000001</v>
      </c>
      <c r="P32" s="193">
        <f t="shared" si="143"/>
        <v>29553.18</v>
      </c>
      <c r="Q32" s="194">
        <f t="shared" si="143"/>
        <v>4485</v>
      </c>
      <c r="R32" s="194">
        <f t="shared" si="143"/>
        <v>0</v>
      </c>
      <c r="S32" s="194">
        <f t="shared" si="143"/>
        <v>4200</v>
      </c>
      <c r="T32" s="193">
        <f t="shared" si="143"/>
        <v>4678.4200000000001</v>
      </c>
      <c r="U32" s="195">
        <f t="shared" si="143"/>
        <v>800.87</v>
      </c>
      <c r="V32" s="196"/>
      <c r="W32" s="197"/>
      <c r="X32" s="198">
        <f t="shared" si="143"/>
        <v>469790.65999999997</v>
      </c>
      <c r="Y32" s="199">
        <f t="shared" si="143"/>
        <v>1600</v>
      </c>
      <c r="Z32" s="199">
        <f t="shared" si="143"/>
        <v>15400</v>
      </c>
      <c r="AA32" s="200">
        <f t="shared" si="143"/>
        <v>23276.550000000003</v>
      </c>
      <c r="AB32" s="200">
        <f t="shared" si="143"/>
        <v>28105.129999999997</v>
      </c>
      <c r="AC32" s="199">
        <f t="shared" si="143"/>
        <v>1420</v>
      </c>
      <c r="AD32" s="199">
        <f t="shared" si="143"/>
        <v>25350</v>
      </c>
      <c r="AE32" s="200">
        <f t="shared" si="143"/>
        <v>306.36000000000001</v>
      </c>
      <c r="AF32" s="201"/>
      <c r="AG32" s="202"/>
      <c r="BL32" s="137"/>
    </row>
    <row r="33" hidden="1" outlineLevel="1">
      <c r="A33" s="5"/>
      <c r="B33" s="5"/>
      <c r="C33" s="5"/>
      <c r="D33" s="5"/>
      <c r="E33" s="5"/>
      <c r="G33" s="49"/>
      <c r="H33" s="49"/>
      <c r="I33" s="49"/>
      <c r="J33" s="49"/>
      <c r="K33" s="49"/>
      <c r="L33" s="49"/>
      <c r="M33" s="49"/>
      <c r="N33" s="49"/>
      <c r="O33" s="49"/>
      <c r="P33" s="49"/>
      <c r="Q33" s="49"/>
      <c r="R33" s="49"/>
      <c r="S33" s="49"/>
      <c r="T33" s="49"/>
      <c r="U33" s="49"/>
      <c r="V33" s="49"/>
      <c r="W33" s="49"/>
      <c r="BL33" s="137"/>
    </row>
    <row r="34" hidden="1" outlineLevel="1">
      <c r="A34" s="137"/>
      <c r="B34" s="137"/>
      <c r="C34" s="137"/>
      <c r="D34" s="137"/>
      <c r="E34" s="137"/>
      <c r="F34" s="137"/>
      <c r="G34" s="203"/>
      <c r="H34" s="203"/>
      <c r="I34" s="203"/>
      <c r="J34" s="203"/>
      <c r="K34" s="203"/>
      <c r="L34" s="203"/>
      <c r="M34" s="203"/>
      <c r="N34" s="203"/>
      <c r="O34" s="203"/>
      <c r="P34" s="203"/>
      <c r="Q34" s="203"/>
      <c r="R34" s="203"/>
      <c r="S34" s="203"/>
      <c r="T34" s="203"/>
      <c r="U34" s="203"/>
      <c r="V34" s="203"/>
      <c r="W34" s="203"/>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row>
    <row r="35" collapsed="1">
      <c r="A35" s="129">
        <v>2021</v>
      </c>
      <c r="B35" s="130" t="s">
        <v>93</v>
      </c>
      <c r="C35" s="131" t="s">
        <v>94</v>
      </c>
      <c r="D35" s="131" t="s">
        <v>95</v>
      </c>
      <c r="E35" s="131" t="s">
        <v>96</v>
      </c>
      <c r="F35" s="204" t="s">
        <v>70</v>
      </c>
      <c r="G35" s="204" t="s">
        <v>71</v>
      </c>
      <c r="H35" s="204" t="s">
        <v>72</v>
      </c>
      <c r="I35" s="204" t="s">
        <v>3</v>
      </c>
      <c r="J35" s="204" t="s">
        <v>4</v>
      </c>
      <c r="K35" s="204" t="s">
        <v>5</v>
      </c>
      <c r="L35" s="204" t="s">
        <v>6</v>
      </c>
      <c r="M35" s="204" t="s">
        <v>7</v>
      </c>
      <c r="N35" s="204" t="s">
        <v>8</v>
      </c>
      <c r="O35" s="204" t="s">
        <v>9</v>
      </c>
      <c r="P35" s="204" t="s">
        <v>10</v>
      </c>
      <c r="Q35" s="204" t="s">
        <v>11</v>
      </c>
      <c r="R35" s="204" t="s">
        <v>12</v>
      </c>
      <c r="S35" s="204" t="s">
        <v>13</v>
      </c>
      <c r="T35" s="204" t="s">
        <v>19</v>
      </c>
      <c r="U35" s="204" t="s">
        <v>20</v>
      </c>
      <c r="V35" s="204" t="s">
        <v>73</v>
      </c>
      <c r="W35" s="204" t="s">
        <v>62</v>
      </c>
      <c r="X35" s="205" t="s">
        <v>50</v>
      </c>
      <c r="Y35" s="205" t="s">
        <v>13</v>
      </c>
      <c r="Z35" s="205" t="s">
        <v>11</v>
      </c>
      <c r="AA35" s="205" t="s">
        <v>51</v>
      </c>
      <c r="AB35" s="205" t="s">
        <v>52</v>
      </c>
      <c r="AC35" s="205"/>
      <c r="AD35" s="205" t="s">
        <v>54</v>
      </c>
      <c r="AE35" s="205" t="s">
        <v>55</v>
      </c>
      <c r="AF35" s="205" t="s">
        <v>61</v>
      </c>
      <c r="AG35" s="205" t="s">
        <v>74</v>
      </c>
      <c r="BL35" s="137"/>
    </row>
    <row r="36" hidden="1" outlineLevel="1">
      <c r="A36" s="168" t="s">
        <v>97</v>
      </c>
      <c r="B36" s="169">
        <f>'Янв `21'!S33</f>
        <v>18341.289999999997</v>
      </c>
      <c r="C36" s="170">
        <f>'Янв `21'!I67</f>
        <v>47208.120000000003</v>
      </c>
      <c r="D36" s="206">
        <f t="shared" ref="D36:D47" si="144">C36-B36</f>
        <v>28866.830000000005</v>
      </c>
      <c r="E36" s="207">
        <f>'Янв `21'!B60+'Фвр `21'!B36</f>
        <v>33255.209999999999</v>
      </c>
      <c r="F36" s="171">
        <f>'Янв `21'!B33</f>
        <v>1814</v>
      </c>
      <c r="G36" s="172">
        <f>'Янв `21'!C33</f>
        <v>7210.8400000000001</v>
      </c>
      <c r="H36" s="173">
        <v>0</v>
      </c>
      <c r="I36" s="173">
        <f>'Янв `21'!D33</f>
        <v>3203</v>
      </c>
      <c r="J36" s="173">
        <f>'Янв `21'!E33</f>
        <v>0</v>
      </c>
      <c r="K36" s="173">
        <f>'Янв `21'!F33</f>
        <v>386</v>
      </c>
      <c r="L36" s="173">
        <f>'Янв `21'!G33</f>
        <v>0</v>
      </c>
      <c r="M36" s="173">
        <f>'Янв `21'!H33</f>
        <v>0</v>
      </c>
      <c r="N36" s="172">
        <f>'Янв `21'!I33</f>
        <v>2354.7199999999998</v>
      </c>
      <c r="O36" s="173">
        <f>'Янв `21'!J33</f>
        <v>344</v>
      </c>
      <c r="P36" s="173">
        <f>'Янв `21'!K33</f>
        <v>600</v>
      </c>
      <c r="Q36" s="173">
        <f>'Янв `21'!L33</f>
        <v>1280</v>
      </c>
      <c r="R36" s="173">
        <f>'Янв `21'!M33</f>
        <v>470</v>
      </c>
      <c r="S36" s="173">
        <f>'Янв `21'!N33</f>
        <v>0</v>
      </c>
      <c r="T36" s="173">
        <f>'Янв `21'!O33</f>
        <v>0</v>
      </c>
      <c r="U36" s="173">
        <f>'Янв `21'!P33</f>
        <v>199</v>
      </c>
      <c r="V36" s="172">
        <f>'Янв `21'!Q33</f>
        <v>479.73000000000002</v>
      </c>
      <c r="W36" s="208">
        <v>0</v>
      </c>
      <c r="X36" s="209">
        <f>'Янв `21'!B67</f>
        <v>36958.32</v>
      </c>
      <c r="Y36" s="177">
        <f>'Янв `21'!C67</f>
        <v>0</v>
      </c>
      <c r="Z36" s="177">
        <f>'Янв `21'!D67</f>
        <v>3000</v>
      </c>
      <c r="AA36" s="178">
        <f>'Янв `21'!E67</f>
        <v>42.5</v>
      </c>
      <c r="AB36" s="177">
        <f>'Янв `21'!F67</f>
        <v>1001</v>
      </c>
      <c r="AC36" s="177">
        <f>'Янв `21'!G67</f>
        <v>0</v>
      </c>
      <c r="AD36" s="177">
        <f>'Янв `21'!H67</f>
        <v>1200</v>
      </c>
      <c r="AE36" s="178">
        <v>5006.3000000000002</v>
      </c>
      <c r="AF36" s="177">
        <f>'Янв `21'!J67</f>
        <v>0</v>
      </c>
      <c r="AG36" s="210">
        <f>'Янв `21'!K67</f>
        <v>0</v>
      </c>
      <c r="BL36" s="137"/>
    </row>
    <row r="37" hidden="1" outlineLevel="1">
      <c r="A37" s="5" t="s">
        <v>98</v>
      </c>
      <c r="B37" s="180">
        <f>'Фвр `21'!S30</f>
        <v>39752.439999999995</v>
      </c>
      <c r="C37" s="180">
        <f>'Фвр `21'!S61</f>
        <v>118771.16</v>
      </c>
      <c r="D37" s="211">
        <f t="shared" si="144"/>
        <v>79018.720000000001</v>
      </c>
      <c r="E37" s="212">
        <f>'Фвр `21'!B57+'Мрт `21'!B45</f>
        <v>18686.41</v>
      </c>
      <c r="F37" s="181">
        <f>'Фвр `21'!B30</f>
        <v>3149</v>
      </c>
      <c r="G37" s="182">
        <f>'Фвр `21'!C30</f>
        <v>3743.3199999999997</v>
      </c>
      <c r="H37" s="174">
        <v>0</v>
      </c>
      <c r="I37" s="182">
        <f>'Фвр `21'!D30</f>
        <v>7187.6399999999994</v>
      </c>
      <c r="J37" s="174">
        <f>'Фвр `21'!E30</f>
        <v>1000</v>
      </c>
      <c r="K37" s="174">
        <f>'Фвр `21'!F30</f>
        <v>894</v>
      </c>
      <c r="L37" s="174">
        <f>'Фвр `21'!G30</f>
        <v>0</v>
      </c>
      <c r="M37" s="174">
        <f>'Фвр `21'!H30</f>
        <v>3278</v>
      </c>
      <c r="N37" s="182">
        <f>'Фвр `21'!I30</f>
        <v>9973.6000000000004</v>
      </c>
      <c r="O37" s="174">
        <f>'Фвр `21'!J30</f>
        <v>0</v>
      </c>
      <c r="P37" s="174">
        <f>'Фвр `21'!K30</f>
        <v>0</v>
      </c>
      <c r="Q37" s="182">
        <f>'Фвр `21'!L30</f>
        <v>7719.9799999999996</v>
      </c>
      <c r="R37" s="174">
        <f>'Фвр `21'!M30</f>
        <v>0</v>
      </c>
      <c r="S37" s="174">
        <f>'Фвр `21'!N30</f>
        <v>0</v>
      </c>
      <c r="T37" s="174">
        <f>'Фвр `21'!O30</f>
        <v>730</v>
      </c>
      <c r="U37" s="174">
        <f>'Фвр `21'!P30</f>
        <v>199</v>
      </c>
      <c r="V37" s="182">
        <f>'Фвр `21'!Q30</f>
        <v>377.89999999999998</v>
      </c>
      <c r="W37" s="175">
        <f>'Фвр `21'!R30</f>
        <v>1500</v>
      </c>
      <c r="X37" s="209">
        <f>'Фвр `21'!B61</f>
        <v>37709.099999999999</v>
      </c>
      <c r="Y37" s="177">
        <f>'Фвр `21'!C61</f>
        <v>0</v>
      </c>
      <c r="Z37" s="177">
        <f>'Фвр `21'!D61</f>
        <v>0</v>
      </c>
      <c r="AA37" s="178">
        <f>'Фвр `21'!E61</f>
        <v>938.56000000000006</v>
      </c>
      <c r="AB37" s="177">
        <f>'Фвр `21'!F61</f>
        <v>79004</v>
      </c>
      <c r="AC37" s="177">
        <f>'Фвр `21'!G61</f>
        <v>0</v>
      </c>
      <c r="AD37" s="177">
        <f>'Фвр `21'!H61</f>
        <v>0</v>
      </c>
      <c r="AE37" s="178">
        <f>'Фвр `21'!I61</f>
        <v>1119.5</v>
      </c>
      <c r="AF37" s="177">
        <f>'Фвр `21'!J61</f>
        <v>0</v>
      </c>
      <c r="AG37" s="210">
        <f>'Фвр `21'!K61</f>
        <v>0</v>
      </c>
      <c r="BL37" s="137"/>
    </row>
    <row r="38" hidden="1" outlineLevel="1">
      <c r="A38" s="168" t="s">
        <v>99</v>
      </c>
      <c r="B38" s="169">
        <f>'Мрт `21'!S33</f>
        <v>34230.919999999998</v>
      </c>
      <c r="C38" s="169">
        <f>'Мрт `21'!S67</f>
        <v>38841.479999999996</v>
      </c>
      <c r="D38" s="213">
        <f t="shared" si="144"/>
        <v>4610.5599999999977</v>
      </c>
      <c r="E38" s="214">
        <f>'Мрт `21'!B60+'Апр `21'!B44</f>
        <v>34732.809999999998</v>
      </c>
      <c r="F38" s="186">
        <f>'Мрт `21'!B33</f>
        <v>1500</v>
      </c>
      <c r="G38" s="187">
        <f>'Мрт `21'!C33</f>
        <v>5619.0500000000002</v>
      </c>
      <c r="H38" s="187">
        <v>0</v>
      </c>
      <c r="I38" s="187">
        <f>'Мрт `21'!D33</f>
        <v>4805.1600000000008</v>
      </c>
      <c r="J38" s="187">
        <f>'Мрт `21'!E33</f>
        <v>0</v>
      </c>
      <c r="K38" s="187">
        <f>'Мрт `21'!F33</f>
        <v>199</v>
      </c>
      <c r="L38" s="187">
        <f>'Мрт `21'!G33</f>
        <v>278</v>
      </c>
      <c r="M38" s="187">
        <f>'Мрт `21'!H33</f>
        <v>777</v>
      </c>
      <c r="N38" s="187">
        <f>'Мрт `21'!I33</f>
        <v>13392.5</v>
      </c>
      <c r="O38" s="187">
        <f>'Мрт `21'!J33</f>
        <v>157.13</v>
      </c>
      <c r="P38" s="187">
        <f>'Мрт `21'!K33</f>
        <v>4879.1200000000008</v>
      </c>
      <c r="Q38" s="187">
        <f>'Мрт `21'!L33</f>
        <v>1989</v>
      </c>
      <c r="R38" s="187">
        <f>'Мрт `21'!M33</f>
        <v>0</v>
      </c>
      <c r="S38" s="187">
        <f>'Мрт `21'!N33</f>
        <v>0</v>
      </c>
      <c r="T38" s="187">
        <f>'Мрт `21'!O33</f>
        <v>0</v>
      </c>
      <c r="U38" s="187">
        <f>'Мрт `21'!P33</f>
        <v>539</v>
      </c>
      <c r="V38" s="187">
        <f>'Мрт `21'!Q33</f>
        <v>95.959999999999994</v>
      </c>
      <c r="W38" s="215">
        <f>'Мрт `21'!R33</f>
        <v>0</v>
      </c>
      <c r="X38" s="209">
        <f>'Мрт `21'!B67</f>
        <v>17650.07</v>
      </c>
      <c r="Y38" s="177">
        <f>'Мрт `21'!C67</f>
        <v>0</v>
      </c>
      <c r="Z38" s="177">
        <f>'Мрт `21'!D67</f>
        <v>0</v>
      </c>
      <c r="AA38" s="178">
        <f>'Мрт `21'!E67</f>
        <v>169.41</v>
      </c>
      <c r="AB38" s="177">
        <f>'Мрт `21'!F67</f>
        <v>8491</v>
      </c>
      <c r="AC38" s="177">
        <f>'Мрт `21'!G67</f>
        <v>0</v>
      </c>
      <c r="AD38" s="177">
        <f>'Мрт `21'!H67</f>
        <v>0</v>
      </c>
      <c r="AE38" s="177">
        <f>'Мрт `21'!I67</f>
        <v>1931</v>
      </c>
      <c r="AF38" s="177">
        <f>'Мрт `21'!J67</f>
        <v>10600</v>
      </c>
      <c r="AG38" s="210">
        <f>'Мрт `21'!K67</f>
        <v>0</v>
      </c>
      <c r="BL38" s="137"/>
    </row>
    <row r="39" hidden="1" outlineLevel="1">
      <c r="A39" s="5" t="s">
        <v>100</v>
      </c>
      <c r="B39" s="180">
        <f>'Апр `21'!S33</f>
        <v>35987.190000000002</v>
      </c>
      <c r="C39" s="180">
        <f>'Апр `21'!S67</f>
        <v>38270.18</v>
      </c>
      <c r="D39" s="211">
        <f t="shared" si="144"/>
        <v>2282.989999999998</v>
      </c>
      <c r="E39" s="212">
        <f>'Апр `21'!B58+'Май `21'!B42</f>
        <v>42806.68</v>
      </c>
      <c r="F39" s="181">
        <f>'Апр `21'!B33</f>
        <v>940</v>
      </c>
      <c r="G39" s="182">
        <f>'Апр `21'!C33</f>
        <v>8663.2899999999972</v>
      </c>
      <c r="H39" s="174">
        <v>0</v>
      </c>
      <c r="I39" s="182">
        <f>'Апр `21'!D33</f>
        <v>4186.2199999999993</v>
      </c>
      <c r="J39" s="174">
        <f>'Апр `21'!E33</f>
        <v>0</v>
      </c>
      <c r="K39" s="174">
        <f>'Апр `21'!F33</f>
        <v>1103</v>
      </c>
      <c r="L39" s="174">
        <f>'Апр `21'!G33</f>
        <v>529</v>
      </c>
      <c r="M39" s="174">
        <f>'Апр `21'!H33</f>
        <v>0</v>
      </c>
      <c r="N39" s="182">
        <f>'Апр `21'!I33</f>
        <v>10682.98</v>
      </c>
      <c r="O39" s="174">
        <f>'Апр `21'!J33</f>
        <v>84</v>
      </c>
      <c r="P39" s="182">
        <f>'Апр `21'!K33</f>
        <v>3765.7600000000002</v>
      </c>
      <c r="Q39" s="174">
        <f>'Апр `21'!L33</f>
        <v>2144</v>
      </c>
      <c r="R39" s="174">
        <f>'Апр `21'!M33</f>
        <v>600</v>
      </c>
      <c r="S39" s="174">
        <f>'Апр `21'!N33</f>
        <v>0</v>
      </c>
      <c r="T39" s="174">
        <f>'Апр `21'!O33</f>
        <v>700</v>
      </c>
      <c r="U39" s="174">
        <f>'Апр `21'!P33</f>
        <v>499</v>
      </c>
      <c r="V39" s="182">
        <f>'Апр `21'!Q33</f>
        <v>89.939999999999998</v>
      </c>
      <c r="W39" s="175">
        <f>'Апр `21'!R33</f>
        <v>2000</v>
      </c>
      <c r="X39" s="209">
        <f>'Апр `21'!B67</f>
        <v>37898.300000000003</v>
      </c>
      <c r="Y39" s="177">
        <f>'Апр `21'!C67</f>
        <v>0</v>
      </c>
      <c r="Z39" s="177">
        <f>'Апр `21'!D67</f>
        <v>0</v>
      </c>
      <c r="AA39" s="178">
        <f>'Апр `21'!E67</f>
        <v>229.88</v>
      </c>
      <c r="AB39" s="177">
        <f>'Апр `21'!F67</f>
        <v>0</v>
      </c>
      <c r="AC39" s="177">
        <f>'Апр `21'!G67</f>
        <v>0</v>
      </c>
      <c r="AD39" s="177">
        <f>'Апр `21'!H67</f>
        <v>0</v>
      </c>
      <c r="AE39" s="177">
        <f>'Апр `21'!I67</f>
        <v>142</v>
      </c>
      <c r="AF39" s="177">
        <f>'Апр `21'!J67</f>
        <v>0</v>
      </c>
      <c r="AG39" s="210">
        <f>'Апр `21'!K67</f>
        <v>0</v>
      </c>
      <c r="BL39" s="137"/>
    </row>
    <row r="40" hidden="1" outlineLevel="1">
      <c r="A40" s="168" t="s">
        <v>101</v>
      </c>
      <c r="B40" s="169">
        <f>'Май `21'!S33</f>
        <v>26952.860000000004</v>
      </c>
      <c r="C40" s="169">
        <f>'Май `21'!S67</f>
        <v>47211.299999999996</v>
      </c>
      <c r="D40" s="213">
        <f t="shared" si="144"/>
        <v>20258.439999999991</v>
      </c>
      <c r="E40" s="207">
        <f>'Май `21'!B60+'Июнь `21'!B45</f>
        <v>36460.5</v>
      </c>
      <c r="F40" s="171">
        <f>'Май `21'!B33</f>
        <v>770</v>
      </c>
      <c r="G40" s="172">
        <f>'Май `21'!C33</f>
        <v>5439.3599999999997</v>
      </c>
      <c r="H40" s="172">
        <f>'Май `21'!D33</f>
        <v>2787.8000000000002</v>
      </c>
      <c r="I40" s="173">
        <f>'Май `21'!E33</f>
        <v>3910</v>
      </c>
      <c r="J40" s="173">
        <f>'Май `21'!F33</f>
        <v>0</v>
      </c>
      <c r="K40" s="173">
        <f>'Май `21'!G33</f>
        <v>199</v>
      </c>
      <c r="L40" s="172">
        <f>'Май `21'!H33</f>
        <v>391.31</v>
      </c>
      <c r="M40" s="173">
        <f>'Май `21'!I33</f>
        <v>0</v>
      </c>
      <c r="N40" s="173">
        <f>'Май `21'!J33</f>
        <v>2971</v>
      </c>
      <c r="O40" s="173">
        <f>'Май `21'!K33</f>
        <v>0</v>
      </c>
      <c r="P40" s="172">
        <f>'Май `21'!L33</f>
        <v>3582.9499999999998</v>
      </c>
      <c r="Q40" s="172">
        <f>'Май `21'!M33</f>
        <v>5332.8800000000001</v>
      </c>
      <c r="R40" s="173">
        <f>'Май `21'!N33</f>
        <v>400</v>
      </c>
      <c r="S40" s="173">
        <f>'Май `21'!O33</f>
        <v>0</v>
      </c>
      <c r="T40" s="173">
        <f>'Май `21'!P33</f>
        <v>0</v>
      </c>
      <c r="U40" s="173">
        <f>'Май `21'!Q33</f>
        <v>519</v>
      </c>
      <c r="V40" s="172">
        <f>'Май `21'!R33</f>
        <v>649.55999999999995</v>
      </c>
      <c r="W40" s="208">
        <v>0</v>
      </c>
      <c r="X40" s="209">
        <f>'Май `21'!B67</f>
        <v>38947.589999999997</v>
      </c>
      <c r="Y40" s="177">
        <f>'Май `21'!C67</f>
        <v>0</v>
      </c>
      <c r="Z40" s="177">
        <f>'Май `21'!D67</f>
        <v>0</v>
      </c>
      <c r="AA40" s="178">
        <f>'Май `21'!E67</f>
        <v>186.71000000000001</v>
      </c>
      <c r="AB40" s="177">
        <f>'Май `21'!F67</f>
        <v>7001</v>
      </c>
      <c r="AC40" s="177">
        <f>'Май `21'!G67</f>
        <v>0</v>
      </c>
      <c r="AD40" s="177">
        <f>'Май `21'!H67</f>
        <v>300</v>
      </c>
      <c r="AE40" s="177">
        <f>'Май `21'!I67</f>
        <v>776</v>
      </c>
      <c r="AF40" s="177">
        <f>'Май `21'!J67</f>
        <v>0</v>
      </c>
      <c r="AG40" s="210">
        <f>'Май `21'!K67</f>
        <v>0</v>
      </c>
      <c r="BL40" s="137"/>
    </row>
    <row r="41" hidden="1" outlineLevel="1">
      <c r="A41" s="5" t="s">
        <v>102</v>
      </c>
      <c r="B41" s="180">
        <f>'Июнь `21'!S33</f>
        <v>19304.18</v>
      </c>
      <c r="C41" s="180">
        <f>'Июнь `21'!S67</f>
        <v>109454.00999999999</v>
      </c>
      <c r="D41" s="211">
        <f t="shared" si="144"/>
        <v>90149.829999999987</v>
      </c>
      <c r="E41" s="216">
        <f>'Июнь `21'!B60+'Июль `21'!B44</f>
        <v>40257.959999999999</v>
      </c>
      <c r="F41" s="217">
        <f>'Июнь `21'!B33</f>
        <v>264</v>
      </c>
      <c r="G41" s="218">
        <f>'Июнь `21'!C33</f>
        <v>3271.4100000000003</v>
      </c>
      <c r="H41" s="218">
        <f>'Июнь `21'!D33</f>
        <v>3111</v>
      </c>
      <c r="I41" s="218">
        <f>'Июнь `21'!E33</f>
        <v>3848</v>
      </c>
      <c r="J41" s="218">
        <f>'Июнь `21'!F33</f>
        <v>0</v>
      </c>
      <c r="K41" s="218">
        <f>'Июнь `21'!G33</f>
        <v>199</v>
      </c>
      <c r="L41" s="218">
        <f>'Июнь `21'!H33</f>
        <v>0</v>
      </c>
      <c r="M41" s="218">
        <f>'Июнь `21'!I33</f>
        <v>799</v>
      </c>
      <c r="N41" s="218">
        <f>'Июнь `21'!J33</f>
        <v>844.99000000000001</v>
      </c>
      <c r="O41" s="218">
        <f>'Июнь `21'!K33</f>
        <v>625</v>
      </c>
      <c r="P41" s="218">
        <f>'Июнь `21'!L33</f>
        <v>3044.7800000000002</v>
      </c>
      <c r="Q41" s="218">
        <f>'Июнь `21'!M33</f>
        <v>1898</v>
      </c>
      <c r="R41" s="218">
        <f>'Июнь `21'!N33</f>
        <v>500</v>
      </c>
      <c r="S41" s="218">
        <f>'Июнь `21'!O33</f>
        <v>0</v>
      </c>
      <c r="T41" s="218">
        <f>'Июнь `21'!P33</f>
        <v>700</v>
      </c>
      <c r="U41" s="218">
        <f>'Июнь `21'!Q33</f>
        <v>199</v>
      </c>
      <c r="V41" s="218">
        <f>'Июнь `21'!R33</f>
        <v>0</v>
      </c>
      <c r="W41" s="219">
        <v>0</v>
      </c>
      <c r="X41" s="209">
        <f>'Июнь `21'!B67</f>
        <v>37536.860000000001</v>
      </c>
      <c r="Y41" s="177">
        <f>'Июнь `21'!C67</f>
        <v>0</v>
      </c>
      <c r="Z41" s="177">
        <f>'Июнь `21'!D67</f>
        <v>0</v>
      </c>
      <c r="AA41" s="178">
        <f>'Июнь `21'!E67</f>
        <v>42.969999999999999</v>
      </c>
      <c r="AB41" s="177">
        <f>'Июнь `21'!F67</f>
        <v>70502</v>
      </c>
      <c r="AC41" s="177">
        <f>'Июнь `21'!G67</f>
        <v>0</v>
      </c>
      <c r="AD41" s="177">
        <f>'Июнь `21'!H67</f>
        <v>500</v>
      </c>
      <c r="AE41" s="178">
        <f>'Июнь `21'!I67</f>
        <v>1622.1800000000001</v>
      </c>
      <c r="AF41" s="177">
        <f>'Июнь `21'!J67</f>
        <v>0</v>
      </c>
      <c r="AG41" s="210">
        <f>'Июнь `21'!K67</f>
        <v>-750</v>
      </c>
      <c r="BL41" s="137"/>
    </row>
    <row r="42" hidden="1" outlineLevel="1">
      <c r="A42" s="168" t="s">
        <v>103</v>
      </c>
      <c r="B42" s="169">
        <f>'Июль `21'!S33</f>
        <v>23188.48</v>
      </c>
      <c r="C42" s="169">
        <f>'Июль `21'!S67</f>
        <v>74057.180000000008</v>
      </c>
      <c r="D42" s="213">
        <f t="shared" si="144"/>
        <v>50868.700000000012</v>
      </c>
      <c r="E42" s="207">
        <f>'Июль `21'!B58+'Авг `21'!B45</f>
        <v>45890.839999999997</v>
      </c>
      <c r="F42" s="171">
        <f>'Июль `21'!B33</f>
        <v>616</v>
      </c>
      <c r="G42" s="172">
        <f>'Июль `21'!C33</f>
        <v>7402.4300000000003</v>
      </c>
      <c r="H42" s="173">
        <f>'Июль `21'!D33</f>
        <v>3308</v>
      </c>
      <c r="I42" s="173">
        <f>'Июль `21'!E33</f>
        <v>4270</v>
      </c>
      <c r="J42" s="173">
        <f>'Июль `21'!F33</f>
        <v>0</v>
      </c>
      <c r="K42" s="173">
        <f>'Июль `21'!G33</f>
        <v>199</v>
      </c>
      <c r="L42" s="173">
        <f>'Июль `21'!H33</f>
        <v>0</v>
      </c>
      <c r="M42" s="173">
        <f>'Июль `21'!I33</f>
        <v>0</v>
      </c>
      <c r="N42" s="172">
        <f>'Июль `21'!J33</f>
        <v>1822.5</v>
      </c>
      <c r="O42" s="173">
        <f>'Июль `21'!K33</f>
        <v>0</v>
      </c>
      <c r="P42" s="172">
        <f>'Июль `21'!L33</f>
        <v>2837.6300000000001</v>
      </c>
      <c r="Q42" s="173">
        <f>'Июль `21'!M33</f>
        <v>1430</v>
      </c>
      <c r="R42" s="173">
        <f>'Июль `21'!N33</f>
        <v>650</v>
      </c>
      <c r="S42" s="173">
        <f>'Июль `21'!O33</f>
        <v>0</v>
      </c>
      <c r="T42" s="173">
        <f>'Июль `21'!P33</f>
        <v>0</v>
      </c>
      <c r="U42" s="173">
        <f>'Июль `21'!Q33</f>
        <v>459</v>
      </c>
      <c r="V42" s="172">
        <f>'Июль `21'!R33</f>
        <v>193.91999999999999</v>
      </c>
      <c r="W42" s="208">
        <v>0</v>
      </c>
      <c r="X42" s="209">
        <f>'Июль `21'!B67</f>
        <v>66683.430000000008</v>
      </c>
      <c r="Y42" s="177">
        <f>'Июль `21'!C67</f>
        <v>0</v>
      </c>
      <c r="Z42" s="177">
        <f>'Июль `21'!D67</f>
        <v>0</v>
      </c>
      <c r="AA42" s="178">
        <f>'Июль `21'!E67</f>
        <v>1023.75</v>
      </c>
      <c r="AB42" s="177">
        <f>'Июль `21'!F67</f>
        <v>0</v>
      </c>
      <c r="AC42" s="177">
        <f>'Июль `21'!G67</f>
        <v>0</v>
      </c>
      <c r="AD42" s="177">
        <f>'Июль `21'!H67</f>
        <v>0</v>
      </c>
      <c r="AE42" s="177">
        <f>'Июль `21'!I67</f>
        <v>1350</v>
      </c>
      <c r="AF42" s="177">
        <f>'Июль `21'!J67</f>
        <v>0</v>
      </c>
      <c r="AG42" s="210">
        <f>'Июль `21'!K67</f>
        <v>5000</v>
      </c>
      <c r="BL42" s="137"/>
    </row>
    <row r="43" hidden="1" outlineLevel="1">
      <c r="A43" s="5" t="s">
        <v>104</v>
      </c>
      <c r="B43" s="180">
        <f>'Авг `21'!S33</f>
        <v>68658.649999999994</v>
      </c>
      <c r="C43" s="180">
        <f>'Авг `21'!S67</f>
        <v>28337.899999999998</v>
      </c>
      <c r="D43" s="211">
        <f t="shared" si="144"/>
        <v>-40320.75</v>
      </c>
      <c r="E43" s="212">
        <f>'Июль `21'!B50+'Сен `21'!B45</f>
        <v>43063.029999999999</v>
      </c>
      <c r="F43" s="181">
        <f>'Авг `21'!B33</f>
        <v>370</v>
      </c>
      <c r="G43" s="182">
        <f>'Авг `21'!C33</f>
        <v>5432.4099999999989</v>
      </c>
      <c r="H43" s="174">
        <f>'Авг `21'!D33</f>
        <v>2036</v>
      </c>
      <c r="I43" s="174">
        <f>'Авг `21'!E33</f>
        <v>4733</v>
      </c>
      <c r="J43" s="174">
        <f>'Авг `21'!F33</f>
        <v>300</v>
      </c>
      <c r="K43" s="182">
        <f>'Авг `21'!G33</f>
        <v>217.61000000000001</v>
      </c>
      <c r="L43" s="174">
        <f>'Авг `21'!H33</f>
        <v>0</v>
      </c>
      <c r="M43" s="174">
        <f>'Авг `21'!I33</f>
        <v>0</v>
      </c>
      <c r="N43" s="182">
        <f>'Авг `21'!J33</f>
        <v>48066.589999999997</v>
      </c>
      <c r="O43" s="174">
        <f>'Авг `21'!K33</f>
        <v>95</v>
      </c>
      <c r="P43" s="182">
        <f>'Авг `21'!L33</f>
        <v>3292.6300000000001</v>
      </c>
      <c r="Q43" s="174">
        <f>'Авг `21'!M33</f>
        <v>0</v>
      </c>
      <c r="R43" s="174">
        <f>'Авг `21'!N33</f>
        <v>600</v>
      </c>
      <c r="S43" s="174">
        <f>'Авг `21'!O33</f>
        <v>0</v>
      </c>
      <c r="T43" s="174">
        <f>'Авг `21'!P33</f>
        <v>700</v>
      </c>
      <c r="U43" s="174">
        <f>'Авг `21'!Q33</f>
        <v>1879</v>
      </c>
      <c r="V43" s="182">
        <f>'Авг `21'!R33</f>
        <v>636.41000000000008</v>
      </c>
      <c r="W43" s="175">
        <v>0</v>
      </c>
      <c r="X43" s="209">
        <f>'Авг `21'!B67</f>
        <v>26555.139999999999</v>
      </c>
      <c r="Y43" s="177">
        <f>'Авг `21'!C67</f>
        <v>0</v>
      </c>
      <c r="Z43" s="177">
        <f>'Авг `21'!D67</f>
        <v>0</v>
      </c>
      <c r="AA43" s="178">
        <f>'Авг `21'!E67</f>
        <v>1337.76</v>
      </c>
      <c r="AB43" s="177">
        <f>'Авг `21'!F67</f>
        <v>0</v>
      </c>
      <c r="AC43" s="177">
        <f>'Авг `21'!G67</f>
        <v>0</v>
      </c>
      <c r="AD43" s="177">
        <f>'Авг `21'!H67</f>
        <v>0</v>
      </c>
      <c r="AE43" s="177">
        <f>'Авг `21'!I67</f>
        <v>445</v>
      </c>
      <c r="AF43" s="177">
        <f>'Авг `21'!J67</f>
        <v>0</v>
      </c>
      <c r="AG43" s="210">
        <f>'Авг `21'!K67</f>
        <v>0</v>
      </c>
      <c r="BL43" s="137"/>
    </row>
    <row r="44" hidden="1" outlineLevel="1">
      <c r="A44" s="168" t="s">
        <v>105</v>
      </c>
      <c r="B44" s="169">
        <f>'Сен `21'!S33</f>
        <v>12774.880000000001</v>
      </c>
      <c r="C44" s="169">
        <f>'Сен `21'!S67</f>
        <v>61925.369999999995</v>
      </c>
      <c r="D44" s="213">
        <f t="shared" si="144"/>
        <v>49150.489999999991</v>
      </c>
      <c r="E44" s="207">
        <f>'Сен `21'!B59+'Окт`21'!B43+15131.21</f>
        <v>30851.029999999999</v>
      </c>
      <c r="F44" s="181">
        <f>'Сен `21'!B33</f>
        <v>851</v>
      </c>
      <c r="G44" s="182">
        <f>'Сен `21'!C33</f>
        <v>2249.4200000000001</v>
      </c>
      <c r="H44" s="182">
        <f>'Сен `21'!D33</f>
        <v>1248.52</v>
      </c>
      <c r="I44" s="174">
        <f>'Сен `21'!E33</f>
        <v>2020</v>
      </c>
      <c r="J44" s="174">
        <f>'Сен `21'!F33</f>
        <v>0</v>
      </c>
      <c r="K44" s="174">
        <f>'Сен `21'!G33</f>
        <v>199</v>
      </c>
      <c r="L44" s="174">
        <f>'Сен `21'!H33</f>
        <v>0</v>
      </c>
      <c r="M44" s="174">
        <f>'Сен `21'!I33</f>
        <v>0</v>
      </c>
      <c r="N44" s="182">
        <f>'Сен `21'!J33</f>
        <v>274.69999999999999</v>
      </c>
      <c r="O44" s="174">
        <f>'Сен `21'!K33</f>
        <v>0</v>
      </c>
      <c r="P44" s="182">
        <f>'Сен `21'!L33</f>
        <v>2313.2399999999998</v>
      </c>
      <c r="Q44" s="174">
        <f>'Сен `21'!M33</f>
        <v>890</v>
      </c>
      <c r="R44" s="174">
        <f>'Сен `21'!N33</f>
        <v>600</v>
      </c>
      <c r="S44" s="174">
        <f>'Сен `21'!O33</f>
        <v>0</v>
      </c>
      <c r="T44" s="174">
        <f>'Сен `21'!P33</f>
        <v>0</v>
      </c>
      <c r="U44" s="174">
        <f>'Сен `21'!Q33</f>
        <v>679</v>
      </c>
      <c r="V44" s="174">
        <f>'Сен `21'!R33</f>
        <v>1450</v>
      </c>
      <c r="W44" s="175">
        <v>0</v>
      </c>
      <c r="X44" s="209">
        <f>'Сен `21'!B67</f>
        <v>37050.449999999997</v>
      </c>
      <c r="Y44" s="177">
        <f>'Сен `21'!C67</f>
        <v>0</v>
      </c>
      <c r="Z44" s="177">
        <f>'Сен `21'!D67</f>
        <v>0</v>
      </c>
      <c r="AA44" s="178">
        <f>'Сен `21'!E67</f>
        <v>872.92000000000007</v>
      </c>
      <c r="AB44" s="177">
        <f>'Сен `21'!F67</f>
        <v>19002</v>
      </c>
      <c r="AC44" s="177">
        <f>'Сен `21'!G67</f>
        <v>0</v>
      </c>
      <c r="AD44" s="177">
        <f>'Сен `21'!H67</f>
        <v>0</v>
      </c>
      <c r="AE44" s="177">
        <f>'Сен `21'!I67</f>
        <v>5000</v>
      </c>
      <c r="AF44" s="177">
        <f>'Сен `21'!J67</f>
        <v>0</v>
      </c>
      <c r="AG44" s="210">
        <f>'Сен `21'!K67</f>
        <v>0</v>
      </c>
      <c r="BL44" s="137"/>
    </row>
    <row r="45" hidden="1" outlineLevel="1">
      <c r="A45" s="5" t="s">
        <v>106</v>
      </c>
      <c r="B45" s="180">
        <f>'Окт`21'!S33</f>
        <v>41167.029999999999</v>
      </c>
      <c r="C45" s="180">
        <f>'Окт`21'!S67</f>
        <v>53088.290000000008</v>
      </c>
      <c r="D45" s="211">
        <f t="shared" si="144"/>
        <v>11921.260000000009</v>
      </c>
      <c r="E45" s="212">
        <f>'Окт`21'!B60+'Ноя`21'!B45+8406.23</f>
        <v>35858.600000000006</v>
      </c>
      <c r="F45" s="181">
        <f>'Окт`21'!B33</f>
        <v>1052</v>
      </c>
      <c r="G45" s="182">
        <f>'Окт`21'!C33</f>
        <v>4808.0699999999997</v>
      </c>
      <c r="H45" s="182">
        <f>'Окт`21'!D33</f>
        <v>1990.98</v>
      </c>
      <c r="I45" s="174">
        <f>'Окт`21'!E33</f>
        <v>1850</v>
      </c>
      <c r="J45" s="174">
        <f>'Окт`21'!F33</f>
        <v>199</v>
      </c>
      <c r="K45" s="174">
        <f>'Окт`21'!G33</f>
        <v>850</v>
      </c>
      <c r="L45" s="174">
        <f>'Окт`21'!H33</f>
        <v>0</v>
      </c>
      <c r="M45" s="174">
        <f>'Окт`21'!I33</f>
        <v>17097</v>
      </c>
      <c r="N45" s="182">
        <f>'Окт`21'!J33</f>
        <v>11133.15</v>
      </c>
      <c r="O45" s="174">
        <f>'Окт`21'!K33</f>
        <v>137</v>
      </c>
      <c r="P45" s="182">
        <f>'Окт`21'!L33</f>
        <v>1390.8299999999999</v>
      </c>
      <c r="Q45" s="174">
        <f>'Окт`21'!M33</f>
        <v>0</v>
      </c>
      <c r="R45" s="174">
        <f>'Окт`21'!N33</f>
        <v>0</v>
      </c>
      <c r="S45" s="174">
        <f>'Окт`21'!O33</f>
        <v>0</v>
      </c>
      <c r="T45" s="174">
        <f>'Окт`21'!P33</f>
        <v>0</v>
      </c>
      <c r="U45" s="174">
        <f>'Окт`21'!Q33</f>
        <v>659</v>
      </c>
      <c r="V45" s="174">
        <f>'Окт`21'!R33</f>
        <v>0</v>
      </c>
      <c r="W45" s="175">
        <v>0</v>
      </c>
      <c r="X45" s="209">
        <f>'Окт`21'!B67</f>
        <v>34711.270000000004</v>
      </c>
      <c r="Y45" s="177">
        <f>'Окт`21'!C67</f>
        <v>0</v>
      </c>
      <c r="Z45" s="177">
        <f>'Окт`21'!D67</f>
        <v>0</v>
      </c>
      <c r="AA45" s="178">
        <f>'Окт`21'!E67</f>
        <v>839.65000000000009</v>
      </c>
      <c r="AB45" s="177">
        <f>'Окт`21'!F67</f>
        <v>5920</v>
      </c>
      <c r="AC45" s="177">
        <f>'Окт`21'!G67</f>
        <v>0</v>
      </c>
      <c r="AD45" s="177">
        <f>'Окт`21'!H67</f>
        <v>3330</v>
      </c>
      <c r="AE45" s="177">
        <f>'Окт`21'!I67</f>
        <v>765</v>
      </c>
      <c r="AF45" s="178">
        <f>'Окт`21'!J67</f>
        <v>4522.3699999999999</v>
      </c>
      <c r="AG45" s="210">
        <f>'Окт`21'!K67</f>
        <v>3000</v>
      </c>
      <c r="BL45" s="137"/>
    </row>
    <row r="46" hidden="1" outlineLevel="1">
      <c r="A46" s="168" t="s">
        <v>107</v>
      </c>
      <c r="B46" s="169">
        <f>'Ноя`21'!S33</f>
        <v>24900.620000000003</v>
      </c>
      <c r="C46" s="169">
        <f>'Ноя`21'!S67</f>
        <v>37160.5</v>
      </c>
      <c r="D46" s="213">
        <f t="shared" si="144"/>
        <v>12259.879999999997</v>
      </c>
      <c r="E46" s="207">
        <f>'Ноя`21'!B60+'Дек`21'!B45</f>
        <v>34203.879999999997</v>
      </c>
      <c r="F46" s="171">
        <f>'Ноя`21'!B33</f>
        <v>390</v>
      </c>
      <c r="G46" s="172">
        <f>'Ноя`21'!C33</f>
        <v>4017.8500000000004</v>
      </c>
      <c r="H46" s="172">
        <f>'Ноя`21'!D33</f>
        <v>1717.1199999999999</v>
      </c>
      <c r="I46" s="172">
        <f>'Ноя`21'!E33</f>
        <v>2814.98</v>
      </c>
      <c r="J46" s="173">
        <f>'Ноя`21'!F33</f>
        <v>0</v>
      </c>
      <c r="K46" s="173">
        <f>'Ноя`21'!G33</f>
        <v>0</v>
      </c>
      <c r="L46" s="173">
        <f>'Ноя`21'!H33</f>
        <v>0</v>
      </c>
      <c r="M46" s="173">
        <f>'Ноя`21'!I33</f>
        <v>0</v>
      </c>
      <c r="N46" s="172">
        <f>'Ноя`21'!J33</f>
        <v>9383.0300000000007</v>
      </c>
      <c r="O46" s="173">
        <f>'Ноя`21'!K33</f>
        <v>0</v>
      </c>
      <c r="P46" s="172">
        <f>'Ноя`21'!L33</f>
        <v>3263.6399999999999</v>
      </c>
      <c r="Q46" s="173">
        <f>'Ноя`21'!M33</f>
        <v>2015</v>
      </c>
      <c r="R46" s="173">
        <f>'Ноя`21'!N33</f>
        <v>600</v>
      </c>
      <c r="S46" s="173">
        <f>'Ноя`21'!O33</f>
        <v>0</v>
      </c>
      <c r="T46" s="173">
        <f>'Ноя`21'!P33</f>
        <v>0</v>
      </c>
      <c r="U46" s="173">
        <f>'Ноя`21'!Q33</f>
        <v>599</v>
      </c>
      <c r="V46" s="173">
        <f>'Ноя`21'!R33</f>
        <v>0</v>
      </c>
      <c r="W46" s="175">
        <v>100</v>
      </c>
      <c r="X46" s="209">
        <f>'Ноя`21'!B67</f>
        <v>31636.970000000001</v>
      </c>
      <c r="Y46" s="177">
        <f>'Ноя`21'!C67</f>
        <v>0</v>
      </c>
      <c r="Z46" s="177">
        <f>'Ноя`21'!D67</f>
        <v>0</v>
      </c>
      <c r="AA46" s="178">
        <f>'Ноя`21'!E67</f>
        <v>2729.0300000000002</v>
      </c>
      <c r="AB46" s="177">
        <f>'Ноя`21'!F67</f>
        <v>0</v>
      </c>
      <c r="AC46" s="177">
        <f>'Ноя`21'!G67</f>
        <v>0</v>
      </c>
      <c r="AD46" s="177">
        <f>'Ноя`21'!H67</f>
        <v>0</v>
      </c>
      <c r="AE46" s="178">
        <f>'Ноя`21'!I67</f>
        <v>794.5</v>
      </c>
      <c r="AF46" s="177">
        <f>'Ноя`21'!J67</f>
        <v>0</v>
      </c>
      <c r="AG46" s="210">
        <f>'Ноя`21'!K67</f>
        <v>2000</v>
      </c>
      <c r="BL46" s="137"/>
    </row>
    <row r="47" hidden="1" outlineLevel="1">
      <c r="A47" s="5" t="s">
        <v>108</v>
      </c>
      <c r="B47" s="180">
        <f>'Дек`21'!S33</f>
        <v>30300.41</v>
      </c>
      <c r="C47" s="180">
        <f>'Дек`21'!S67</f>
        <v>101601.39</v>
      </c>
      <c r="D47" s="211">
        <f t="shared" si="144"/>
        <v>71300.979999999996</v>
      </c>
      <c r="E47" s="216">
        <f>'Дек`21'!B44+'Дек`21'!B56+'Дек`21'!B59+'Дек`21'!B62+'Янв`22'!B45</f>
        <v>86806.130000000005</v>
      </c>
      <c r="F47" s="220">
        <f>'Дек`21'!B33</f>
        <v>75</v>
      </c>
      <c r="G47" s="182">
        <f>'Дек`21'!C33</f>
        <v>6017.4300000000003</v>
      </c>
      <c r="H47" s="174">
        <f>'Дек`21'!D33</f>
        <v>1012</v>
      </c>
      <c r="I47" s="174">
        <f>'Дек`21'!E33</f>
        <v>1215</v>
      </c>
      <c r="J47" s="174">
        <f>'Дек`21'!F33</f>
        <v>0</v>
      </c>
      <c r="K47" s="174">
        <f>'Дек`21'!G33</f>
        <v>199</v>
      </c>
      <c r="L47" s="174">
        <f>'Дек`21'!H33</f>
        <v>0</v>
      </c>
      <c r="M47" s="174">
        <f>'Дек`21'!I33</f>
        <v>0</v>
      </c>
      <c r="N47" s="182">
        <f>'Дек`21'!J33</f>
        <v>2330.4700000000003</v>
      </c>
      <c r="O47" s="174">
        <f>'Дек`21'!K33</f>
        <v>0</v>
      </c>
      <c r="P47" s="182">
        <f>'Дек`21'!L33</f>
        <v>7663.3000000000002</v>
      </c>
      <c r="Q47" s="182">
        <f>'Дек`21'!M33</f>
        <v>9599.2099999999991</v>
      </c>
      <c r="R47" s="174">
        <f>'Дек`21'!N33</f>
        <v>320</v>
      </c>
      <c r="S47" s="174">
        <f>'Дек`21'!O33</f>
        <v>0</v>
      </c>
      <c r="T47" s="174">
        <f>'Дек`21'!P33</f>
        <v>800</v>
      </c>
      <c r="U47" s="174">
        <f>'Дек`21'!Q33</f>
        <v>1069</v>
      </c>
      <c r="V47" s="174">
        <f>'Дек`21'!R33</f>
        <v>0</v>
      </c>
      <c r="W47" s="221">
        <v>0</v>
      </c>
      <c r="X47" s="209">
        <f>'Дек`21'!B67</f>
        <v>93164.839999999997</v>
      </c>
      <c r="Y47" s="177">
        <f>'Дек`21'!C67</f>
        <v>500</v>
      </c>
      <c r="Z47" s="177">
        <f>'Дек`21'!D67</f>
        <v>3000</v>
      </c>
      <c r="AA47" s="178">
        <f>'Дек`21'!E67</f>
        <v>2701.0500000000002</v>
      </c>
      <c r="AB47" s="178">
        <f>'Дек`21'!F67</f>
        <v>897.5</v>
      </c>
      <c r="AC47" s="177">
        <f>'Дек`21'!G67</f>
        <v>0</v>
      </c>
      <c r="AD47" s="177">
        <f>'Дек`21'!H67</f>
        <v>0</v>
      </c>
      <c r="AE47" s="177">
        <f>'Дек`21'!I67</f>
        <v>338</v>
      </c>
      <c r="AF47" s="177">
        <f>'Дек`21'!J67</f>
        <v>0</v>
      </c>
      <c r="AG47" s="210">
        <f>'Дек`21'!K67</f>
        <v>1000</v>
      </c>
      <c r="BL47" s="137"/>
    </row>
    <row r="48" hidden="1" outlineLevel="1">
      <c r="A48" s="168" t="s">
        <v>109</v>
      </c>
      <c r="B48" s="169">
        <f>AVERAGE(B36:B47)</f>
        <v>31296.579166666666</v>
      </c>
      <c r="C48" s="169">
        <f>AVERAGE(C36:C47)</f>
        <v>62993.906666666669</v>
      </c>
      <c r="D48" s="213">
        <f>AVERAGE(D36:D47)</f>
        <v>31697.327499999999</v>
      </c>
      <c r="E48" s="207">
        <f>AVERAGE(E36:E47)</f>
        <v>40239.423333333332</v>
      </c>
      <c r="F48" s="222">
        <f>AVERAGE(F36:F47)</f>
        <v>982.58333333333337</v>
      </c>
      <c r="G48" s="223">
        <f t="shared" ref="G48:W48" si="145">AVERAGE(G36:G47)</f>
        <v>5322.9066666666658</v>
      </c>
      <c r="H48" s="223">
        <f t="shared" si="145"/>
        <v>1434.2849999999999</v>
      </c>
      <c r="I48" s="223">
        <f t="shared" si="145"/>
        <v>3670.25</v>
      </c>
      <c r="J48" s="223">
        <f t="shared" si="145"/>
        <v>124.91666666666667</v>
      </c>
      <c r="K48" s="223">
        <f t="shared" si="145"/>
        <v>387.0508333333334</v>
      </c>
      <c r="L48" s="223">
        <f t="shared" si="145"/>
        <v>99.859166666666667</v>
      </c>
      <c r="M48" s="223">
        <f t="shared" si="145"/>
        <v>1829.25</v>
      </c>
      <c r="N48" s="223">
        <f t="shared" si="145"/>
        <v>9435.8524999999991</v>
      </c>
      <c r="O48" s="223">
        <f t="shared" si="145"/>
        <v>120.17750000000001</v>
      </c>
      <c r="P48" s="223">
        <f t="shared" si="145"/>
        <v>3052.8233333333337</v>
      </c>
      <c r="Q48" s="223">
        <f t="shared" si="145"/>
        <v>2858.1725000000001</v>
      </c>
      <c r="R48" s="224">
        <f t="shared" si="145"/>
        <v>395</v>
      </c>
      <c r="S48" s="224">
        <f t="shared" si="145"/>
        <v>0</v>
      </c>
      <c r="T48" s="223">
        <f t="shared" si="145"/>
        <v>302.5</v>
      </c>
      <c r="U48" s="223">
        <f t="shared" si="145"/>
        <v>624.83333333333337</v>
      </c>
      <c r="V48" s="223">
        <f t="shared" si="145"/>
        <v>331.11833333333334</v>
      </c>
      <c r="W48" s="225">
        <f t="shared" si="145"/>
        <v>300</v>
      </c>
      <c r="X48" s="226"/>
      <c r="Y48" s="177"/>
      <c r="Z48" s="177"/>
      <c r="AA48" s="177"/>
      <c r="AB48" s="177"/>
      <c r="AC48" s="177"/>
      <c r="AD48" s="177"/>
      <c r="AE48" s="177"/>
      <c r="AF48" s="177"/>
      <c r="AG48" s="210"/>
      <c r="BL48" s="137"/>
    </row>
    <row r="49" hidden="1" outlineLevel="1">
      <c r="A49" s="192" t="s">
        <v>110</v>
      </c>
      <c r="B49" s="227">
        <f>SUM(B36:B47)</f>
        <v>375558.95000000001</v>
      </c>
      <c r="C49" s="227">
        <f>SUM(C36:C47)</f>
        <v>755926.88</v>
      </c>
      <c r="D49" s="228">
        <f>SUM(D36:D47)</f>
        <v>380367.92999999999</v>
      </c>
      <c r="E49" s="229">
        <f>SUM(E36:E47)</f>
        <v>482873.07999999996</v>
      </c>
      <c r="F49" s="230">
        <f t="shared" ref="F49:AG49" si="146">SUM(F36:F47)</f>
        <v>11791</v>
      </c>
      <c r="G49" s="231">
        <f t="shared" si="146"/>
        <v>63874.87999999999</v>
      </c>
      <c r="H49" s="231">
        <f t="shared" si="146"/>
        <v>17211.419999999998</v>
      </c>
      <c r="I49" s="232">
        <f t="shared" si="146"/>
        <v>44043</v>
      </c>
      <c r="J49" s="232">
        <f t="shared" si="146"/>
        <v>1499</v>
      </c>
      <c r="K49" s="231">
        <f t="shared" si="146"/>
        <v>4644.6100000000006</v>
      </c>
      <c r="L49" s="231">
        <f t="shared" si="146"/>
        <v>1198.3099999999999</v>
      </c>
      <c r="M49" s="232">
        <f t="shared" si="146"/>
        <v>21951</v>
      </c>
      <c r="N49" s="231">
        <f t="shared" si="146"/>
        <v>113230.23</v>
      </c>
      <c r="O49" s="231">
        <f t="shared" si="146"/>
        <v>1442.1300000000001</v>
      </c>
      <c r="P49" s="231">
        <f t="shared" si="146"/>
        <v>36633.880000000005</v>
      </c>
      <c r="Q49" s="231">
        <f t="shared" si="146"/>
        <v>34298.07</v>
      </c>
      <c r="R49" s="232">
        <f t="shared" si="146"/>
        <v>4740</v>
      </c>
      <c r="S49" s="232">
        <f t="shared" si="146"/>
        <v>0</v>
      </c>
      <c r="T49" s="232">
        <f t="shared" si="146"/>
        <v>3630</v>
      </c>
      <c r="U49" s="232">
        <f t="shared" si="146"/>
        <v>7498</v>
      </c>
      <c r="V49" s="231">
        <f t="shared" si="146"/>
        <v>3973.4200000000001</v>
      </c>
      <c r="W49" s="233">
        <f t="shared" si="146"/>
        <v>3600</v>
      </c>
      <c r="X49" s="234">
        <f t="shared" si="146"/>
        <v>496502.33999999997</v>
      </c>
      <c r="Y49" s="235">
        <f t="shared" si="146"/>
        <v>500</v>
      </c>
      <c r="Z49" s="235">
        <f t="shared" si="146"/>
        <v>6000</v>
      </c>
      <c r="AA49" s="236">
        <f t="shared" si="146"/>
        <v>11114.190000000002</v>
      </c>
      <c r="AB49" s="236">
        <f t="shared" si="146"/>
        <v>191818.5</v>
      </c>
      <c r="AC49" s="235">
        <f t="shared" si="146"/>
        <v>0</v>
      </c>
      <c r="AD49" s="235">
        <f t="shared" si="146"/>
        <v>5330</v>
      </c>
      <c r="AE49" s="236">
        <f t="shared" si="146"/>
        <v>19289.48</v>
      </c>
      <c r="AF49" s="236">
        <f>SUM(AF36:AF47)+2000</f>
        <v>17122.369999999999</v>
      </c>
      <c r="AG49" s="237">
        <f t="shared" si="146"/>
        <v>10250</v>
      </c>
      <c r="BL49" s="137"/>
    </row>
    <row r="50" hidden="1" outlineLevel="1">
      <c r="A50" s="23"/>
      <c r="B50" s="23"/>
      <c r="C50" s="23"/>
      <c r="D50" s="23"/>
      <c r="E50" s="68"/>
      <c r="G50" s="49"/>
      <c r="H50" s="49"/>
      <c r="I50" s="49"/>
      <c r="J50" s="49"/>
      <c r="K50" s="49"/>
      <c r="L50" s="49"/>
      <c r="M50" s="49"/>
      <c r="N50" s="49"/>
      <c r="O50" s="49"/>
      <c r="P50" s="49"/>
      <c r="Q50" s="49"/>
      <c r="R50" s="49"/>
      <c r="S50" s="49"/>
      <c r="T50" s="49"/>
      <c r="U50" s="49"/>
      <c r="V50" s="49"/>
      <c r="W50" s="49"/>
      <c r="BL50" s="137"/>
    </row>
    <row r="51" hidden="1" outlineLevel="1">
      <c r="A51" s="137"/>
      <c r="B51" s="137"/>
      <c r="C51" s="137"/>
      <c r="D51" s="137"/>
      <c r="E51" s="137"/>
      <c r="F51" s="137"/>
      <c r="G51" s="203"/>
      <c r="H51" s="203"/>
      <c r="I51" s="203"/>
      <c r="J51" s="203"/>
      <c r="K51" s="203"/>
      <c r="L51" s="203"/>
      <c r="M51" s="203"/>
      <c r="N51" s="203"/>
      <c r="O51" s="203"/>
      <c r="P51" s="203"/>
      <c r="Q51" s="203"/>
      <c r="R51" s="203"/>
      <c r="S51" s="203"/>
      <c r="T51" s="203"/>
      <c r="U51" s="203"/>
      <c r="V51" s="203"/>
      <c r="W51" s="203"/>
      <c r="X51" s="137"/>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37"/>
      <c r="BI51" s="137"/>
      <c r="BJ51" s="137"/>
      <c r="BK51" s="137"/>
      <c r="BL51" s="137"/>
    </row>
    <row r="52" collapsed="1">
      <c r="A52" s="238">
        <v>2022</v>
      </c>
      <c r="B52" s="131" t="s">
        <v>93</v>
      </c>
      <c r="C52" s="131" t="s">
        <v>94</v>
      </c>
      <c r="D52" s="131" t="s">
        <v>95</v>
      </c>
      <c r="E52" s="131" t="s">
        <v>96</v>
      </c>
      <c r="F52" s="204" t="s">
        <v>70</v>
      </c>
      <c r="G52" s="204" t="s">
        <v>71</v>
      </c>
      <c r="H52" s="204" t="s">
        <v>72</v>
      </c>
      <c r="I52" s="204" t="s">
        <v>3</v>
      </c>
      <c r="J52" s="204" t="s">
        <v>4</v>
      </c>
      <c r="K52" s="204" t="s">
        <v>5</v>
      </c>
      <c r="L52" s="204" t="s">
        <v>6</v>
      </c>
      <c r="M52" s="204" t="s">
        <v>7</v>
      </c>
      <c r="N52" s="204" t="s">
        <v>8</v>
      </c>
      <c r="O52" s="204" t="s">
        <v>9</v>
      </c>
      <c r="P52" s="204" t="s">
        <v>10</v>
      </c>
      <c r="Q52" s="204" t="s">
        <v>11</v>
      </c>
      <c r="R52" s="204" t="s">
        <v>12</v>
      </c>
      <c r="S52" s="204" t="s">
        <v>13</v>
      </c>
      <c r="T52" s="204" t="s">
        <v>19</v>
      </c>
      <c r="U52" s="204" t="s">
        <v>20</v>
      </c>
      <c r="V52" s="204" t="s">
        <v>73</v>
      </c>
      <c r="W52" s="239" t="s">
        <v>62</v>
      </c>
      <c r="X52" s="240" t="s">
        <v>50</v>
      </c>
      <c r="Y52" s="241" t="s">
        <v>13</v>
      </c>
      <c r="Z52" s="241" t="s">
        <v>11</v>
      </c>
      <c r="AA52" s="241" t="s">
        <v>51</v>
      </c>
      <c r="AB52" s="241" t="s">
        <v>52</v>
      </c>
      <c r="AC52" s="241" t="s">
        <v>53</v>
      </c>
      <c r="AD52" s="241" t="s">
        <v>54</v>
      </c>
      <c r="AE52" s="241" t="s">
        <v>55</v>
      </c>
      <c r="AF52" s="241" t="s">
        <v>61</v>
      </c>
      <c r="AG52" s="242" t="s">
        <v>74</v>
      </c>
      <c r="BL52" s="137"/>
    </row>
    <row r="53" hidden="1" outlineLevel="1">
      <c r="A53" s="243" t="s">
        <v>97</v>
      </c>
      <c r="B53" s="244">
        <f>'Янв`22'!S33</f>
        <v>18460.279999999999</v>
      </c>
      <c r="C53" s="244">
        <f>'Янв`22'!S67</f>
        <v>43046.32</v>
      </c>
      <c r="D53" s="245">
        <f t="shared" ref="D53:D81" si="147">C53-B53</f>
        <v>24586.040000000001</v>
      </c>
      <c r="E53" s="244">
        <f>'Янв`22'!B46+'Янв`22'!B55+'Фвр`22'!B39</f>
        <v>36020.43</v>
      </c>
      <c r="F53" s="246">
        <f>'Янв`22'!B33</f>
        <v>0</v>
      </c>
      <c r="G53" s="182">
        <f>'Янв`22'!C33</f>
        <v>5203.7100000000009</v>
      </c>
      <c r="H53" s="174">
        <f>'Янв`22'!D33</f>
        <v>1671</v>
      </c>
      <c r="I53" s="174">
        <f>'Янв`22'!E33</f>
        <v>1262</v>
      </c>
      <c r="J53" s="174">
        <f>'Янв`22'!F33</f>
        <v>1300</v>
      </c>
      <c r="K53" s="174">
        <f>'Янв`22'!G33</f>
        <v>0</v>
      </c>
      <c r="L53" s="174">
        <f>'Янв`22'!H33</f>
        <v>0</v>
      </c>
      <c r="M53" s="174">
        <f>'Янв`22'!I33</f>
        <v>1216</v>
      </c>
      <c r="N53" s="182">
        <f>'Янв`22'!J33</f>
        <v>1420.0699999999999</v>
      </c>
      <c r="O53" s="174">
        <f>'Янв`22'!K33</f>
        <v>0</v>
      </c>
      <c r="P53" s="182">
        <f>'Янв`22'!L33</f>
        <v>3528.54</v>
      </c>
      <c r="Q53" s="174">
        <f>'Янв`22'!M33</f>
        <v>1640</v>
      </c>
      <c r="R53" s="174">
        <f>'Янв`22'!N33</f>
        <v>600</v>
      </c>
      <c r="S53" s="174">
        <f>'Янв`22'!O33</f>
        <v>0</v>
      </c>
      <c r="T53" s="174">
        <f>'Янв`22'!P33</f>
        <v>0</v>
      </c>
      <c r="U53" s="174">
        <f>'Янв`22'!Q33</f>
        <v>199</v>
      </c>
      <c r="V53" s="182">
        <f>'Янв`22'!R33</f>
        <v>99.959999999999994</v>
      </c>
      <c r="W53" s="175">
        <v>320</v>
      </c>
      <c r="X53" s="209">
        <f>'Янв`22'!B67</f>
        <v>38470.559999999998</v>
      </c>
      <c r="Y53" s="177">
        <f>'Янв`22'!C67</f>
        <v>0</v>
      </c>
      <c r="Z53" s="177">
        <f>'Янв`22'!D67</f>
        <v>0</v>
      </c>
      <c r="AA53" s="178">
        <f>'Янв`22'!E67</f>
        <v>3056.7599999999998</v>
      </c>
      <c r="AB53" s="177">
        <f>'Янв`22'!F67</f>
        <v>1000</v>
      </c>
      <c r="AC53" s="177">
        <f>'Янв`22'!G67</f>
        <v>0</v>
      </c>
      <c r="AD53" s="177">
        <f>'Янв`22'!H67</f>
        <v>0</v>
      </c>
      <c r="AE53" s="177">
        <f>'Янв`22'!I67</f>
        <v>519</v>
      </c>
      <c r="AF53" s="177">
        <f>'Янв`22'!J67</f>
        <v>0</v>
      </c>
      <c r="AG53" s="210">
        <f>'Янв`22'!K67</f>
        <v>0</v>
      </c>
      <c r="BL53" s="137"/>
    </row>
    <row r="54" hidden="1" outlineLevel="1">
      <c r="A54" s="247" t="s">
        <v>98</v>
      </c>
      <c r="B54" s="245">
        <f>'Фвр`22'!S33</f>
        <v>35252.32</v>
      </c>
      <c r="C54" s="245">
        <f>'Фвр`22'!S67</f>
        <v>33659.449999999997</v>
      </c>
      <c r="D54" s="245">
        <f t="shared" si="147"/>
        <v>-1592.8700000000026</v>
      </c>
      <c r="E54" s="245">
        <f>'Фвр`22'!B49+'Фвр`22'!B53+'Мрт`22'!B40</f>
        <v>36107.639999999999</v>
      </c>
      <c r="F54" s="246">
        <f>'Фвр`22'!B33</f>
        <v>2348</v>
      </c>
      <c r="G54" s="182">
        <f>'Фвр`22'!C33</f>
        <v>5896.8299999999999</v>
      </c>
      <c r="H54" s="182">
        <f>'Фвр`22'!D33</f>
        <v>838.03999999999996</v>
      </c>
      <c r="I54" s="174">
        <f>'Фвр`22'!E33</f>
        <v>2856</v>
      </c>
      <c r="J54" s="174">
        <f>'Фвр`22'!F33</f>
        <v>0</v>
      </c>
      <c r="K54" s="182">
        <f>'Фвр`22'!G33</f>
        <v>3.96</v>
      </c>
      <c r="L54" s="174">
        <f>'Фвр`22'!H33</f>
        <v>0</v>
      </c>
      <c r="M54" s="174">
        <f>'Фвр`22'!I33</f>
        <v>4750</v>
      </c>
      <c r="N54" s="182">
        <f>'Фвр`22'!J33</f>
        <v>825.99000000000001</v>
      </c>
      <c r="O54" s="182">
        <f>'Фвр`22'!K33</f>
        <v>1051.4000000000001</v>
      </c>
      <c r="P54" s="174">
        <f>'Фвр`22'!L33</f>
        <v>0</v>
      </c>
      <c r="Q54" s="182">
        <f>'Фвр`22'!M33</f>
        <v>12469.1</v>
      </c>
      <c r="R54" s="174">
        <f>'Фвр`22'!N33</f>
        <v>600</v>
      </c>
      <c r="S54" s="174">
        <f>'Фвр`22'!O33</f>
        <v>0</v>
      </c>
      <c r="T54" s="174">
        <f>'Фвр`22'!P33</f>
        <v>800</v>
      </c>
      <c r="U54" s="174">
        <f>'Фвр`22'!Q33</f>
        <v>1219</v>
      </c>
      <c r="V54" s="174">
        <f>'Фвр`22'!R33</f>
        <v>1120</v>
      </c>
      <c r="W54" s="175">
        <f>'Фвр`22'!S11</f>
        <v>149</v>
      </c>
      <c r="X54" s="209">
        <f>'Фвр`22'!B67</f>
        <v>28973.52</v>
      </c>
      <c r="Y54" s="177">
        <f>'Фвр`22'!C67</f>
        <v>1300</v>
      </c>
      <c r="Z54" s="177">
        <f>'Фвр`22'!D67</f>
        <v>0</v>
      </c>
      <c r="AA54" s="178">
        <f>'Фвр`22'!E67</f>
        <v>43.159999999999997</v>
      </c>
      <c r="AB54" s="177">
        <f>'Фвр`22'!F67</f>
        <v>3000</v>
      </c>
      <c r="AC54" s="177">
        <f>'Фвр`22'!G67</f>
        <v>0</v>
      </c>
      <c r="AD54" s="177">
        <f>'Фвр`22'!H67</f>
        <v>0</v>
      </c>
      <c r="AE54" s="178">
        <f>'Фвр`22'!I67</f>
        <v>342.76999999999998</v>
      </c>
      <c r="AF54" s="177">
        <f>'Фвр`22'!J67</f>
        <v>0</v>
      </c>
      <c r="AG54" s="210">
        <f>'Фвр`22'!K67</f>
        <v>0</v>
      </c>
      <c r="BL54" s="137"/>
    </row>
    <row r="55" hidden="1" outlineLevel="1">
      <c r="A55" s="248" t="s">
        <v>99</v>
      </c>
      <c r="B55" s="244">
        <f>'Мрт`22'!S33</f>
        <v>29029.170000000002</v>
      </c>
      <c r="C55" s="244">
        <f>'Мрт`22'!S67</f>
        <v>33490.209999999999</v>
      </c>
      <c r="D55" s="245">
        <f t="shared" si="147"/>
        <v>4461.0399999999972</v>
      </c>
      <c r="E55" s="244">
        <f>'Мрт`22'!B53+'Апр`22'!B40</f>
        <v>37168.300000000003</v>
      </c>
      <c r="F55" s="249">
        <f>'Мрт`22'!B33</f>
        <v>4012.3600000000001</v>
      </c>
      <c r="G55" s="218">
        <f>'Мрт`22'!C33</f>
        <v>8282.8999999999996</v>
      </c>
      <c r="H55" s="218">
        <f>'Мрт`22'!D33</f>
        <v>874</v>
      </c>
      <c r="I55" s="218">
        <f>'Мрт`22'!E33</f>
        <v>1105.95</v>
      </c>
      <c r="J55" s="218">
        <f>'Мрт`22'!F33</f>
        <v>0</v>
      </c>
      <c r="K55" s="218">
        <f>'Мрт`22'!G33</f>
        <v>0</v>
      </c>
      <c r="L55" s="218">
        <f>'Мрт`22'!H33</f>
        <v>0</v>
      </c>
      <c r="M55" s="218">
        <f>'Мрт`22'!I33</f>
        <v>0</v>
      </c>
      <c r="N55" s="218">
        <f>'Мрт`22'!J33</f>
        <v>734.42999999999995</v>
      </c>
      <c r="O55" s="218">
        <f>'Мрт`22'!K33</f>
        <v>0</v>
      </c>
      <c r="P55" s="218">
        <f>'Мрт`22'!L33</f>
        <v>8641.7700000000004</v>
      </c>
      <c r="Q55" s="218">
        <f>'Мрт`22'!M33</f>
        <v>2937.9899999999998</v>
      </c>
      <c r="R55" s="218">
        <f>'Мрт`22'!N33</f>
        <v>570</v>
      </c>
      <c r="S55" s="218">
        <f>'Мрт`22'!O33</f>
        <v>0</v>
      </c>
      <c r="T55" s="218">
        <f>'Мрт`22'!P33</f>
        <v>0</v>
      </c>
      <c r="U55" s="218">
        <f>'Мрт`22'!Q33</f>
        <v>1469.77</v>
      </c>
      <c r="V55" s="218">
        <f>'Мрт`22'!R33</f>
        <v>0</v>
      </c>
      <c r="W55" s="219">
        <v>400</v>
      </c>
      <c r="X55" s="209">
        <f>'Мрт`22'!B67</f>
        <v>32357.150000000001</v>
      </c>
      <c r="Y55" s="177">
        <f>'Мрт`22'!C67</f>
        <v>0</v>
      </c>
      <c r="Z55" s="177">
        <f>'Мрт`22'!D67</f>
        <v>0</v>
      </c>
      <c r="AA55" s="178">
        <f>'Мрт`22'!E67</f>
        <v>9.6300000000000008</v>
      </c>
      <c r="AB55" s="177">
        <f>'Мрт`22'!F67</f>
        <v>0</v>
      </c>
      <c r="AC55" s="178">
        <f>'Мрт`22'!G67</f>
        <v>624.42999999999995</v>
      </c>
      <c r="AD55" s="177">
        <f>'Мрт`22'!H67</f>
        <v>0</v>
      </c>
      <c r="AE55" s="177">
        <f>'Мрт`22'!I67</f>
        <v>499</v>
      </c>
      <c r="AF55" s="177">
        <f>'Мрт`22'!J67</f>
        <v>0</v>
      </c>
      <c r="AG55" s="210">
        <f>'Мрт`22'!K67</f>
        <v>0</v>
      </c>
      <c r="BL55" s="137"/>
    </row>
    <row r="56" hidden="1" outlineLevel="1">
      <c r="A56" s="247" t="s">
        <v>100</v>
      </c>
      <c r="B56" s="245">
        <f>'Апр`22'!S33</f>
        <v>25648.130000000001</v>
      </c>
      <c r="C56" s="245">
        <f>'Апр`22'!S67</f>
        <v>48724.870000000003</v>
      </c>
      <c r="D56" s="245">
        <f t="shared" si="147"/>
        <v>23076.740000000002</v>
      </c>
      <c r="E56" s="245">
        <f>'Апр`22'!B55+'Апр`22'!B60+'Май`22'!B40</f>
        <v>49609.239999999998</v>
      </c>
      <c r="F56" s="250">
        <f>'Апр`22'!B33</f>
        <v>4298.54</v>
      </c>
      <c r="G56" s="182">
        <f>'Апр`22'!C33</f>
        <v>1134.26</v>
      </c>
      <c r="H56" s="174">
        <f>'Апр`22'!D33</f>
        <v>1455</v>
      </c>
      <c r="I56" s="174">
        <f>'Апр`22'!E33</f>
        <v>2355</v>
      </c>
      <c r="J56" s="174">
        <f>'Апр`22'!F33</f>
        <v>0</v>
      </c>
      <c r="K56" s="174">
        <f>'Апр`22'!G33</f>
        <v>0</v>
      </c>
      <c r="L56" s="174">
        <f>'Апр`22'!H33</f>
        <v>0</v>
      </c>
      <c r="M56" s="174">
        <f>'Апр`22'!I33</f>
        <v>0</v>
      </c>
      <c r="N56" s="182">
        <f>'Апр`22'!J33</f>
        <v>4915.1300000000001</v>
      </c>
      <c r="O56" s="174">
        <f>'Апр`22'!K33</f>
        <v>0</v>
      </c>
      <c r="P56" s="182">
        <f>'Апр`22'!L33</f>
        <v>3262.1999999999998</v>
      </c>
      <c r="Q56" s="174">
        <f>'Апр`22'!M33</f>
        <v>6333</v>
      </c>
      <c r="R56" s="174">
        <f>'Апр`22'!N33</f>
        <v>525</v>
      </c>
      <c r="S56" s="174">
        <f>'Апр`22'!O33</f>
        <v>0</v>
      </c>
      <c r="T56" s="174">
        <f>'Апр`22'!P33</f>
        <v>0</v>
      </c>
      <c r="U56" s="174">
        <f>'Апр`22'!Q33</f>
        <v>0</v>
      </c>
      <c r="V56" s="174">
        <f>'Апр`22'!R33</f>
        <v>1370</v>
      </c>
      <c r="W56" s="175">
        <v>0</v>
      </c>
      <c r="X56" s="209">
        <f>'Апр`22'!B67</f>
        <v>45667.349999999999</v>
      </c>
      <c r="Y56" s="177">
        <f>'Апр`22'!C67</f>
        <v>0</v>
      </c>
      <c r="Z56" s="177">
        <f>'Апр`22'!D67</f>
        <v>3000</v>
      </c>
      <c r="AA56" s="178">
        <f>'Апр`22'!E67</f>
        <v>24.609999999999999</v>
      </c>
      <c r="AB56" s="177">
        <f>'Апр`22'!F67</f>
        <v>0</v>
      </c>
      <c r="AC56" s="177">
        <f>'Апр`22'!G67</f>
        <v>0</v>
      </c>
      <c r="AD56" s="177">
        <f>'Апр`22'!H67</f>
        <v>0</v>
      </c>
      <c r="AE56" s="178">
        <f>'Апр`22'!I67</f>
        <v>32.909999999999997</v>
      </c>
      <c r="AF56" s="177">
        <f>'Апр`22'!J67</f>
        <v>0</v>
      </c>
      <c r="AG56" s="210">
        <f>'Апр`22'!K67</f>
        <v>0</v>
      </c>
      <c r="BL56" s="137"/>
    </row>
    <row r="57" hidden="1" outlineLevel="1">
      <c r="A57" s="248" t="s">
        <v>101</v>
      </c>
      <c r="B57" s="244">
        <f>'Май`22'!S33</f>
        <v>53397.009999999995</v>
      </c>
      <c r="C57" s="244">
        <f>'Май`22'!S67</f>
        <v>41431.089999999997</v>
      </c>
      <c r="D57" s="245">
        <f t="shared" si="147"/>
        <v>-11965.919999999998</v>
      </c>
      <c r="E57" s="251">
        <f>'Май`22'!B55+'Июнь`22'!B38</f>
        <v>40486</v>
      </c>
      <c r="F57" s="250">
        <f>'Май`22'!B33</f>
        <v>2128.6400000000003</v>
      </c>
      <c r="G57" s="182">
        <f>'Май`22'!C33</f>
        <v>6202.3099999999995</v>
      </c>
      <c r="H57" s="174">
        <f>'Май`22'!D33</f>
        <v>528</v>
      </c>
      <c r="I57" s="174">
        <f>'Май`22'!E33</f>
        <v>3123</v>
      </c>
      <c r="J57" s="174">
        <f>'Май`22'!F33</f>
        <v>0</v>
      </c>
      <c r="K57" s="174">
        <f>'Май`22'!G33</f>
        <v>0</v>
      </c>
      <c r="L57" s="174">
        <f>'Май`22'!H33</f>
        <v>0</v>
      </c>
      <c r="M57" s="174">
        <f>'Май`22'!I33</f>
        <v>237</v>
      </c>
      <c r="N57" s="182">
        <f>'Май`22'!J33</f>
        <v>6538.3999999999996</v>
      </c>
      <c r="O57" s="182">
        <f>'Май`22'!K33</f>
        <v>628.69999999999993</v>
      </c>
      <c r="P57" s="182">
        <f>'Май`22'!L33</f>
        <v>2983.21</v>
      </c>
      <c r="Q57" s="182">
        <f>'Май`22'!M33</f>
        <v>28519.75</v>
      </c>
      <c r="R57" s="174">
        <f>'Май`22'!N33</f>
        <v>625</v>
      </c>
      <c r="S57" s="174">
        <f>'Май`22'!O33</f>
        <v>0</v>
      </c>
      <c r="T57" s="174">
        <f>'Май`22'!P33</f>
        <v>0</v>
      </c>
      <c r="U57" s="174">
        <f>'Май`22'!Q33</f>
        <v>318</v>
      </c>
      <c r="V57" s="174">
        <f>'Май`22'!R33</f>
        <v>1565</v>
      </c>
      <c r="W57" s="175">
        <f>SUM('Май`22'!S2:S32)</f>
        <v>0</v>
      </c>
      <c r="X57" s="209">
        <f>'Май`22'!B67</f>
        <v>39380.099999999999</v>
      </c>
      <c r="Y57" s="177">
        <f>'Май`22'!C67</f>
        <v>0</v>
      </c>
      <c r="Z57" s="177">
        <f>'Май`22'!D67</f>
        <v>0</v>
      </c>
      <c r="AA57" s="178">
        <f>'Май`22'!E67</f>
        <v>273.99000000000001</v>
      </c>
      <c r="AB57" s="177">
        <f>'Май`22'!F67</f>
        <v>0</v>
      </c>
      <c r="AC57" s="177">
        <f>'Май`22'!G67</f>
        <v>0</v>
      </c>
      <c r="AD57" s="177">
        <f>'Май`22'!H67</f>
        <v>0</v>
      </c>
      <c r="AE57" s="177">
        <f>'Май`22'!I67</f>
        <v>477</v>
      </c>
      <c r="AF57" s="177">
        <f>'Май`22'!J67</f>
        <v>0</v>
      </c>
      <c r="AG57" s="210">
        <f>'Май`22'!K67</f>
        <v>1300</v>
      </c>
      <c r="BL57" s="137"/>
    </row>
    <row r="58" hidden="1" outlineLevel="1">
      <c r="A58" s="247" t="s">
        <v>102</v>
      </c>
      <c r="B58" s="245">
        <f>'Июнь`22'!S33</f>
        <v>45174.889999999999</v>
      </c>
      <c r="C58" s="245">
        <f>'Июнь`22'!S67</f>
        <v>67260.510000000009</v>
      </c>
      <c r="D58" s="245">
        <f t="shared" si="147"/>
        <v>22085.62000000001</v>
      </c>
      <c r="E58" s="252">
        <f>'Июнь`22'!B55+'Июль`22'!B40</f>
        <v>39170</v>
      </c>
      <c r="F58" s="250">
        <f>'Июнь`22'!B33</f>
        <v>2384.4700000000003</v>
      </c>
      <c r="G58" s="182">
        <f>'Июнь`22'!C33</f>
        <v>4815.0999999999995</v>
      </c>
      <c r="H58" s="174">
        <f>'Июнь`22'!D33</f>
        <v>1046</v>
      </c>
      <c r="I58" s="174">
        <f>'Июнь`22'!E33</f>
        <v>5690</v>
      </c>
      <c r="J58" s="174">
        <f>'Июнь`22'!F33</f>
        <v>0</v>
      </c>
      <c r="K58" s="174">
        <f>'Июнь`22'!G33</f>
        <v>1737</v>
      </c>
      <c r="L58" s="174">
        <f>'Июнь`22'!H33</f>
        <v>0</v>
      </c>
      <c r="M58" s="174">
        <f>'Июнь`22'!I33</f>
        <v>999</v>
      </c>
      <c r="N58" s="182">
        <f>'Июнь`22'!J33</f>
        <v>24990.650000000001</v>
      </c>
      <c r="O58" s="174">
        <f>'Июнь`22'!K33</f>
        <v>0</v>
      </c>
      <c r="P58" s="182">
        <f>'Июнь`22'!L33</f>
        <v>2187.6700000000001</v>
      </c>
      <c r="Q58" s="174">
        <f>'Июнь`22'!M33</f>
        <v>0</v>
      </c>
      <c r="R58" s="174">
        <f>'Июнь`22'!N33</f>
        <v>625</v>
      </c>
      <c r="S58" s="174">
        <f>'Июнь`22'!O33</f>
        <v>0</v>
      </c>
      <c r="T58" s="174">
        <f>'Июнь`22'!P33</f>
        <v>700</v>
      </c>
      <c r="U58" s="174">
        <f>'Июнь`22'!Q33</f>
        <v>0</v>
      </c>
      <c r="V58" s="174">
        <f>'Июнь`22'!R33</f>
        <v>0</v>
      </c>
      <c r="W58" s="175">
        <f>'Июнь`22'!S6+'Июнь`22'!S13</f>
        <v>2098</v>
      </c>
      <c r="X58" s="209">
        <f>'Июнь`22'!B67</f>
        <v>62983.660000000003</v>
      </c>
      <c r="Y58" s="177">
        <f>'Июнь`22'!C67</f>
        <v>0</v>
      </c>
      <c r="Z58" s="177">
        <f>'Июнь`22'!D67</f>
        <v>500</v>
      </c>
      <c r="AA58" s="178">
        <f>'Июнь`22'!E67</f>
        <v>1688.8499999999999</v>
      </c>
      <c r="AB58" s="177">
        <f>'Июнь`22'!F67</f>
        <v>0</v>
      </c>
      <c r="AC58" s="177">
        <f>'Июнь`22'!G67</f>
        <v>0</v>
      </c>
      <c r="AD58" s="177">
        <f>'Июнь`22'!H67</f>
        <v>0</v>
      </c>
      <c r="AE58" s="177">
        <f>'Июнь`22'!I67</f>
        <v>1088</v>
      </c>
      <c r="AF58" s="177">
        <f>'Июнь`22'!J67</f>
        <v>0</v>
      </c>
      <c r="AG58" s="210">
        <f>'Июнь`22'!K67</f>
        <v>1000</v>
      </c>
      <c r="BL58" s="137"/>
    </row>
    <row r="59" hidden="1" outlineLevel="1">
      <c r="A59" s="248" t="s">
        <v>103</v>
      </c>
      <c r="B59" s="244">
        <f>'Июль`22'!S33</f>
        <v>41986.080000000002</v>
      </c>
      <c r="C59" s="244">
        <f>'Июль`22'!S67</f>
        <v>32193.43</v>
      </c>
      <c r="D59" s="245">
        <f t="shared" si="147"/>
        <v>-9792.6500000000015</v>
      </c>
      <c r="E59" s="244">
        <f>'Июнь`22'!B65+'Июль`22'!B50+'Июль`22'!B55+'Авг`22'!B40</f>
        <v>52553.800000000003</v>
      </c>
      <c r="F59" s="246">
        <f>'Июль`22'!B33</f>
        <v>474</v>
      </c>
      <c r="G59" s="182">
        <f>'Июль`22'!C33</f>
        <v>6717.5099999999993</v>
      </c>
      <c r="H59" s="174">
        <f>'Июль`22'!D33</f>
        <v>1117</v>
      </c>
      <c r="I59" s="182">
        <f>'Июль`22'!E33</f>
        <v>4691.9300000000003</v>
      </c>
      <c r="J59" s="174">
        <f>'Июль`22'!F33</f>
        <v>0</v>
      </c>
      <c r="K59" s="182">
        <f>'Июль`22'!G33</f>
        <v>13343.74</v>
      </c>
      <c r="L59" s="174">
        <f>'Июль`22'!H33</f>
        <v>0</v>
      </c>
      <c r="M59" s="174">
        <f>'Июль`22'!I33</f>
        <v>2197</v>
      </c>
      <c r="N59" s="182">
        <f>'Июль`22'!J33</f>
        <v>5979.0599999999995</v>
      </c>
      <c r="O59" s="174">
        <f>'Июль`22'!K33</f>
        <v>0</v>
      </c>
      <c r="P59" s="182">
        <f>'Июль`22'!L33</f>
        <v>2156.8400000000001</v>
      </c>
      <c r="Q59" s="174">
        <f>'Июль`22'!M33</f>
        <v>2000</v>
      </c>
      <c r="R59" s="174">
        <f>'Июль`22'!N33</f>
        <v>775</v>
      </c>
      <c r="S59" s="174">
        <f>'Июль`22'!O33</f>
        <v>0</v>
      </c>
      <c r="T59" s="174">
        <f>'Июль`22'!P33</f>
        <v>0</v>
      </c>
      <c r="U59" s="174">
        <f>'Июль`22'!Q33</f>
        <v>400</v>
      </c>
      <c r="V59" s="174">
        <f>'Июль`22'!R33</f>
        <v>1234</v>
      </c>
      <c r="W59" s="175">
        <f>'Июль`22'!S15</f>
        <v>900</v>
      </c>
      <c r="X59" s="209">
        <f>'Июль`22'!B67</f>
        <v>30434.939999999999</v>
      </c>
      <c r="Y59" s="177">
        <f>'Июль`22'!C67</f>
        <v>0</v>
      </c>
      <c r="Z59" s="177">
        <f>'Июль`22'!D67</f>
        <v>0</v>
      </c>
      <c r="AA59" s="178">
        <f>'Июль`22'!E67</f>
        <v>1463.49</v>
      </c>
      <c r="AB59" s="177">
        <f>'Июль`22'!F67</f>
        <v>0</v>
      </c>
      <c r="AC59" s="177">
        <f>'Июль`22'!G67</f>
        <v>0</v>
      </c>
      <c r="AD59" s="177">
        <f>'Июль`22'!H67</f>
        <v>0</v>
      </c>
      <c r="AE59" s="177">
        <f>'Июль`22'!I67</f>
        <v>295</v>
      </c>
      <c r="AF59" s="177">
        <f>'Июль`22'!J67</f>
        <v>0</v>
      </c>
      <c r="AG59" s="210">
        <f>'Июль`22'!K67</f>
        <v>0</v>
      </c>
      <c r="BL59" s="137"/>
    </row>
    <row r="60" hidden="1" outlineLevel="1">
      <c r="A60" s="247" t="s">
        <v>104</v>
      </c>
      <c r="B60" s="245">
        <f>'Авг`22'!S33</f>
        <v>64059.430000000008</v>
      </c>
      <c r="C60" s="245">
        <f>'Авг`22'!S67</f>
        <v>46541.450000000004</v>
      </c>
      <c r="D60" s="245">
        <f t="shared" si="147"/>
        <v>-17517.980000000003</v>
      </c>
      <c r="E60" s="245">
        <f>'Авг`22'!B54+'Сен`22'!B40</f>
        <v>37000.919999999998</v>
      </c>
      <c r="F60" s="246">
        <f>'Авг`22'!B33</f>
        <v>840</v>
      </c>
      <c r="G60" s="182">
        <f>'Авг`22'!C33</f>
        <v>4792.79</v>
      </c>
      <c r="H60" s="174">
        <f>'Авг`22'!D33</f>
        <v>1243</v>
      </c>
      <c r="I60" s="174">
        <f>'Авг`22'!E33</f>
        <v>2444</v>
      </c>
      <c r="J60" s="174">
        <f>'Авг`22'!F33</f>
        <v>3000</v>
      </c>
      <c r="K60" s="182">
        <f>'Авг`22'!G33</f>
        <v>21974.48</v>
      </c>
      <c r="L60" s="174">
        <f>'Авг`22'!H33</f>
        <v>0</v>
      </c>
      <c r="M60" s="174">
        <f>'Авг`22'!I33</f>
        <v>0</v>
      </c>
      <c r="N60" s="174">
        <f>'Авг`22'!J33</f>
        <v>23397</v>
      </c>
      <c r="O60" s="174">
        <f>'Авг`22'!K33</f>
        <v>0</v>
      </c>
      <c r="P60" s="182">
        <f>'Авг`22'!L33</f>
        <v>3311.1599999999999</v>
      </c>
      <c r="Q60" s="174">
        <f>'Авг`22'!M33</f>
        <v>300</v>
      </c>
      <c r="R60" s="174">
        <f>'Авг`22'!N33</f>
        <v>625</v>
      </c>
      <c r="S60" s="174">
        <f>'Авг`22'!O33</f>
        <v>0</v>
      </c>
      <c r="T60" s="174">
        <f>'Авг`22'!P33</f>
        <v>700</v>
      </c>
      <c r="U60" s="174">
        <f>'Авг`22'!Q33</f>
        <v>0</v>
      </c>
      <c r="V60" s="174">
        <f>'Авг`22'!R33</f>
        <v>1432</v>
      </c>
      <c r="W60" s="175">
        <v>0</v>
      </c>
      <c r="X60" s="209">
        <f>'Авг`22'!B67</f>
        <v>45154.550000000003</v>
      </c>
      <c r="Y60" s="177">
        <f>'Авг`22'!C67</f>
        <v>0</v>
      </c>
      <c r="Z60" s="177">
        <f>'Авг`22'!D67</f>
        <v>0</v>
      </c>
      <c r="AA60" s="178">
        <f>'Авг`22'!E67</f>
        <v>1248.9000000000001</v>
      </c>
      <c r="AB60" s="177">
        <f>'Авг`22'!F67</f>
        <v>0</v>
      </c>
      <c r="AC60" s="177">
        <f>'Авг`22'!G67</f>
        <v>0</v>
      </c>
      <c r="AD60" s="177">
        <f>'Авг`22'!H67</f>
        <v>0</v>
      </c>
      <c r="AE60" s="177">
        <f>'Авг`22'!I67</f>
        <v>138</v>
      </c>
      <c r="AF60" s="177">
        <f>'Авг`22'!J67</f>
        <v>0</v>
      </c>
      <c r="AG60" s="210">
        <f>'Авг`22'!K67</f>
        <v>0</v>
      </c>
      <c r="BL60" s="137"/>
    </row>
    <row r="61" hidden="1" outlineLevel="1">
      <c r="A61" s="248" t="s">
        <v>105</v>
      </c>
      <c r="B61" s="244">
        <f>'Сен`22'!S33</f>
        <v>123797.32000000001</v>
      </c>
      <c r="C61" s="244">
        <f>'Сен`22'!S67</f>
        <v>40969.310000000005</v>
      </c>
      <c r="D61" s="245">
        <f t="shared" si="147"/>
        <v>-82828.010000000009</v>
      </c>
      <c r="E61" s="244">
        <f>'Сен`22'!B55+'Окт`22'!B40</f>
        <v>41685.279999999999</v>
      </c>
      <c r="F61" s="250">
        <f>'Сен`22'!B33</f>
        <v>90643.429999999993</v>
      </c>
      <c r="G61" s="182">
        <f>'Сен`22'!C33</f>
        <v>4069.21</v>
      </c>
      <c r="H61" s="174">
        <f>'Сен`22'!D33</f>
        <v>673</v>
      </c>
      <c r="I61" s="174">
        <f>'Сен`22'!E33</f>
        <v>1678</v>
      </c>
      <c r="J61" s="182">
        <f>'Сен`22'!F33</f>
        <v>12114.99</v>
      </c>
      <c r="K61" s="182">
        <f>'Сен`22'!G33</f>
        <v>613.09000000000003</v>
      </c>
      <c r="L61" s="174">
        <f>'Сен`22'!H33</f>
        <v>0</v>
      </c>
      <c r="M61" s="174">
        <f>'Сен`22'!I33</f>
        <v>0</v>
      </c>
      <c r="N61" s="182">
        <f>'Сен`22'!J33</f>
        <v>6844.9700000000003</v>
      </c>
      <c r="O61" s="174">
        <f>'Сен`22'!K33</f>
        <v>0</v>
      </c>
      <c r="P61" s="182">
        <f>'Сен`22'!L33</f>
        <v>6505.630000000001</v>
      </c>
      <c r="Q61" s="174">
        <f>'Сен`22'!M33</f>
        <v>0</v>
      </c>
      <c r="R61" s="174">
        <f>'Сен`22'!N33</f>
        <v>655</v>
      </c>
      <c r="S61" s="174">
        <f>'Сен`22'!O33</f>
        <v>0</v>
      </c>
      <c r="T61" s="174">
        <f>'Сен`22'!P33</f>
        <v>0</v>
      </c>
      <c r="U61" s="174">
        <f>'Сен`22'!Q33</f>
        <v>0</v>
      </c>
      <c r="V61" s="174">
        <f>'Сен`22'!R33</f>
        <v>0</v>
      </c>
      <c r="W61" s="175">
        <v>0</v>
      </c>
      <c r="X61" s="209">
        <f>'Сен`22'!B67</f>
        <v>40899.300000000003</v>
      </c>
      <c r="Y61" s="177">
        <f>'Сен`22'!C67</f>
        <v>0</v>
      </c>
      <c r="Z61" s="177">
        <f>'Сен`22'!D67</f>
        <v>0</v>
      </c>
      <c r="AA61" s="178">
        <f>'Сен`22'!E67</f>
        <v>0.01</v>
      </c>
      <c r="AB61" s="177">
        <f>'Сен`22'!F67</f>
        <v>0</v>
      </c>
      <c r="AC61" s="177">
        <f>'Сен`22'!G67</f>
        <v>0</v>
      </c>
      <c r="AD61" s="177">
        <f>'Сен`22'!H67</f>
        <v>0</v>
      </c>
      <c r="AE61" s="177">
        <f>'Сен`22'!I67</f>
        <v>70</v>
      </c>
      <c r="AF61" s="177">
        <f>'Сен`22'!J67</f>
        <v>0</v>
      </c>
      <c r="AG61" s="210">
        <f>'Сен`22'!K67</f>
        <v>0</v>
      </c>
      <c r="BL61" s="137"/>
    </row>
    <row r="62" hidden="1" outlineLevel="1">
      <c r="A62" s="247" t="s">
        <v>106</v>
      </c>
      <c r="B62" s="245">
        <f>'Окт`22'!S33/B67</f>
        <v>38155.251141552515</v>
      </c>
      <c r="C62" s="245">
        <f>'Окт`22'!S67</f>
        <v>48971.639999999999</v>
      </c>
      <c r="D62" s="245">
        <f t="shared" si="147"/>
        <v>10816.388858447484</v>
      </c>
      <c r="E62" s="245">
        <f>('Ноя`22'!B38+'Ноя`22'!B39)/B67</f>
        <v>135899.31506849316</v>
      </c>
      <c r="F62" s="246">
        <f>'Окт`22'!B33</f>
        <v>4280</v>
      </c>
      <c r="G62" s="182">
        <f>'Окт`22'!C33/B67</f>
        <v>14246.575342465754</v>
      </c>
      <c r="H62" s="182">
        <f>'Окт`22'!D33/B67</f>
        <v>4607.3059360730595</v>
      </c>
      <c r="I62" s="174">
        <f>'Окт`22'!E33/B67</f>
        <v>0</v>
      </c>
      <c r="J62" s="182">
        <f>'Окт`22'!F33/B67</f>
        <v>228.31050228310502</v>
      </c>
      <c r="K62" s="182">
        <f>'Окт`22'!G33/B67</f>
        <v>11027.397260273972</v>
      </c>
      <c r="L62" s="174">
        <f>'Окт`22'!H33/B67</f>
        <v>0</v>
      </c>
      <c r="M62" s="182">
        <f>'Окт`22'!I33/B67</f>
        <v>1664.3835616438357</v>
      </c>
      <c r="N62" s="182">
        <f>'Окт`22'!J33/B67</f>
        <v>974.88584474885852</v>
      </c>
      <c r="O62" s="182">
        <f>'Окт`22'!K33/B67</f>
        <v>1621.0045662100456</v>
      </c>
      <c r="P62" s="174">
        <f>'Окт`22'!L33/B67</f>
        <v>0</v>
      </c>
      <c r="Q62" s="182">
        <f>'Окт`22'!M33/B67</f>
        <v>68.493150684931507</v>
      </c>
      <c r="R62" s="182">
        <f>'Окт`22'!N33/B67</f>
        <v>2214.6118721461189</v>
      </c>
      <c r="S62" s="174">
        <f>'Окт`22'!O33/B67</f>
        <v>0</v>
      </c>
      <c r="T62" s="174">
        <f>'Окт`22'!P33/B67</f>
        <v>0</v>
      </c>
      <c r="U62" s="174">
        <f>'Окт`22'!Q33/B67</f>
        <v>0</v>
      </c>
      <c r="V62" s="174">
        <f>'Окт`22'!R33/B67</f>
        <v>0</v>
      </c>
      <c r="W62" s="253">
        <f>'Окт`22'!S2/B67</f>
        <v>525.1141552511416</v>
      </c>
      <c r="X62" s="209">
        <f>'Окт`22'!B67</f>
        <v>49169.639999999999</v>
      </c>
      <c r="Y62" s="177"/>
      <c r="Z62" s="177"/>
      <c r="AA62" s="177"/>
      <c r="AB62" s="177"/>
      <c r="AC62" s="177"/>
      <c r="AD62" s="177"/>
      <c r="AE62" s="177"/>
      <c r="AF62" s="177"/>
      <c r="AG62" s="210"/>
      <c r="BL62" s="137"/>
    </row>
    <row r="63" hidden="1" outlineLevel="1">
      <c r="A63" s="248" t="s">
        <v>107</v>
      </c>
      <c r="B63" s="244">
        <f>'Ноя`22'!S33/B67</f>
        <v>84025.6494520548</v>
      </c>
      <c r="C63" s="244">
        <f>'Ноя`22'!S67/B67</f>
        <v>136374.87506849316</v>
      </c>
      <c r="D63" s="245">
        <f t="shared" si="147"/>
        <v>52349.225616438358</v>
      </c>
      <c r="E63" s="244">
        <f>'Дек`22'!B37/B67</f>
        <v>114155.25114155251</v>
      </c>
      <c r="F63" s="250">
        <f>'Ноя`22'!B33/B67</f>
        <v>20876.228310502283</v>
      </c>
      <c r="G63" s="182">
        <f>'Ноя`22'!C33/B67</f>
        <v>14047.945205479453</v>
      </c>
      <c r="H63" s="182">
        <f>'Ноя`22'!D33/B67</f>
        <v>4465.7534246575342</v>
      </c>
      <c r="I63" s="182">
        <f>'Ноя`22'!E33/B67</f>
        <v>2739.7260273972602</v>
      </c>
      <c r="J63" s="174">
        <f>'Ноя`22'!F33/B67</f>
        <v>11300</v>
      </c>
      <c r="K63" s="182">
        <f>'Ноя`22'!G33/B67</f>
        <v>155.17000000000002</v>
      </c>
      <c r="L63" s="174">
        <f>'Ноя`22'!H33/B67</f>
        <v>0</v>
      </c>
      <c r="M63" s="182">
        <f>'Ноя`22'!I33/B67</f>
        <v>2575.3424657534247</v>
      </c>
      <c r="N63" s="182">
        <f>'Ноя`22'!J33/B67</f>
        <v>1260.2739726027398</v>
      </c>
      <c r="O63" s="174">
        <f>'Ноя`22'!K33/B67</f>
        <v>0</v>
      </c>
      <c r="P63" s="182">
        <f>'Ноя`22'!L33/B67</f>
        <v>18264.840182648401</v>
      </c>
      <c r="Q63" s="182">
        <f>'Ноя`22'!M33/B67</f>
        <v>5029.8675799086759</v>
      </c>
      <c r="R63" s="182">
        <f>'Ноя`22'!N33/B67</f>
        <v>1027.3972602739727</v>
      </c>
      <c r="S63" s="174">
        <f>'Ноя`22'!O33/B67</f>
        <v>0</v>
      </c>
      <c r="T63" s="182">
        <f>'Ноя`22'!P33/B67</f>
        <v>1141.552511415525</v>
      </c>
      <c r="U63" s="182">
        <f>'Ноя`22'!Q33/B67</f>
        <v>1141.552511415525</v>
      </c>
      <c r="V63" s="174">
        <f>'Ноя`22'!R33/B67</f>
        <v>0</v>
      </c>
      <c r="W63" s="175">
        <f>0/B67</f>
        <v>0</v>
      </c>
      <c r="X63" s="209">
        <f>'Ноя`22'!B67/B67</f>
        <v>135899.31506849316</v>
      </c>
      <c r="Y63" s="177"/>
      <c r="Z63" s="177"/>
      <c r="AA63" s="177"/>
      <c r="AB63" s="177"/>
      <c r="AC63" s="177"/>
      <c r="AD63" s="177"/>
      <c r="AE63" s="177"/>
      <c r="AF63" s="177"/>
      <c r="AG63" s="210"/>
      <c r="BL63" s="137"/>
    </row>
    <row r="64" hidden="1" outlineLevel="1">
      <c r="A64" s="247" t="s">
        <v>108</v>
      </c>
      <c r="B64" s="245">
        <f>'Дек`22'!S33/B67</f>
        <v>151234.09251141554</v>
      </c>
      <c r="C64" s="245">
        <f>'Дек`22'!S67/B67</f>
        <v>115068.93114155252</v>
      </c>
      <c r="D64" s="245">
        <f t="shared" si="147"/>
        <v>-36165.161369863024</v>
      </c>
      <c r="E64" s="245">
        <f>'Янв`23'!B36/B67</f>
        <v>120026.02739726027</v>
      </c>
      <c r="F64" s="250">
        <f>'Дек`22'!B33/B67</f>
        <v>7555.6392694063925</v>
      </c>
      <c r="G64" s="182">
        <f>'Дек`22'!C33/B67</f>
        <v>13766.666666666668</v>
      </c>
      <c r="H64" s="182">
        <f>'Дек`22'!D33/B67</f>
        <v>3449.771689497717</v>
      </c>
      <c r="I64" s="182">
        <f>'Дек`22'!E33/B67</f>
        <v>3746.5753424657537</v>
      </c>
      <c r="J64" s="174">
        <f>'Дек`22'!F33/B67</f>
        <v>1500</v>
      </c>
      <c r="K64" s="182">
        <f>'Дек`22'!G33/B67</f>
        <v>277.54000000000002</v>
      </c>
      <c r="L64" s="174">
        <f>'Дек`22'!H33/B67</f>
        <v>0</v>
      </c>
      <c r="M64" s="174">
        <f>'Дек`22'!I33/B67</f>
        <v>0</v>
      </c>
      <c r="N64" s="182">
        <f>'Дек`22'!J33/B67</f>
        <v>805.93607305936075</v>
      </c>
      <c r="O64" s="182">
        <f>'Дек`22'!K33/B67</f>
        <v>13812.785388127853</v>
      </c>
      <c r="P64" s="182">
        <f>'Дек`22'!L33/B67</f>
        <v>66210.045662100456</v>
      </c>
      <c r="Q64" s="182">
        <f>'Дек`22'!M33/B67</f>
        <v>38296.803652968039</v>
      </c>
      <c r="R64" s="182">
        <f>'Дек`22'!N33/B67</f>
        <v>716.43835616438355</v>
      </c>
      <c r="S64" s="174">
        <f>'Дек`22'!O33/B67</f>
        <v>0</v>
      </c>
      <c r="T64" s="174">
        <f>'Дек`22'!P33/B67</f>
        <v>0</v>
      </c>
      <c r="U64" s="182">
        <f>'Дек`22'!Q33/B67</f>
        <v>1095.8904109589041</v>
      </c>
      <c r="V64" s="174">
        <f>'Дек`22'!R33/B67</f>
        <v>0</v>
      </c>
      <c r="W64" s="175">
        <f>0/B67</f>
        <v>0</v>
      </c>
      <c r="X64" s="209">
        <f>'Дек`22'!B67/B67</f>
        <v>114155.25114155251</v>
      </c>
      <c r="Y64" s="177"/>
      <c r="Z64" s="177"/>
      <c r="AA64" s="177"/>
      <c r="AB64" s="177"/>
      <c r="AC64" s="177"/>
      <c r="AD64" s="177"/>
      <c r="AE64" s="177"/>
      <c r="AF64" s="177"/>
      <c r="AG64" s="210"/>
      <c r="BL64" s="137"/>
    </row>
    <row r="65" hidden="1" outlineLevel="1">
      <c r="A65" s="254" t="s">
        <v>109</v>
      </c>
      <c r="B65" s="255">
        <f>AVERAGE(B53:B64)</f>
        <v>59184.968592085235</v>
      </c>
      <c r="C65" s="255">
        <f>AVERAGE(C53:C64)</f>
        <v>57311.00718417047</v>
      </c>
      <c r="D65" s="255">
        <f>AVERAGE(D53:D64)</f>
        <v>-1873.9614079147657</v>
      </c>
      <c r="E65" s="244">
        <f>AVERAGE(E53:E64)</f>
        <v>61656.850300608821</v>
      </c>
      <c r="F65" s="256">
        <f t="shared" ref="F65:W65" si="148">AVERAGE(F53:F64)</f>
        <v>11653.442298325723</v>
      </c>
      <c r="G65" s="256">
        <f t="shared" si="148"/>
        <v>7431.317267884323</v>
      </c>
      <c r="H65" s="256">
        <f t="shared" si="148"/>
        <v>1830.6559208523593</v>
      </c>
      <c r="I65" s="256">
        <f t="shared" si="148"/>
        <v>2641.015114155251</v>
      </c>
      <c r="J65" s="256">
        <f t="shared" si="148"/>
        <v>2453.6083751902584</v>
      </c>
      <c r="K65" s="256">
        <f t="shared" si="148"/>
        <v>4094.3647716894975</v>
      </c>
      <c r="L65" s="257">
        <f t="shared" si="148"/>
        <v>0</v>
      </c>
      <c r="M65" s="256">
        <f t="shared" si="148"/>
        <v>1136.5605022831051</v>
      </c>
      <c r="N65" s="256">
        <f t="shared" si="148"/>
        <v>6557.2329908675792</v>
      </c>
      <c r="O65" s="256">
        <f t="shared" si="148"/>
        <v>1426.1574961948247</v>
      </c>
      <c r="P65" s="256">
        <f t="shared" si="148"/>
        <v>9754.325487062406</v>
      </c>
      <c r="Q65" s="256">
        <f t="shared" si="148"/>
        <v>8132.9170319634695</v>
      </c>
      <c r="R65" s="256">
        <f t="shared" si="148"/>
        <v>796.53729071537293</v>
      </c>
      <c r="S65" s="257">
        <f t="shared" si="148"/>
        <v>0</v>
      </c>
      <c r="T65" s="256">
        <f t="shared" si="148"/>
        <v>278.46270928462712</v>
      </c>
      <c r="U65" s="256">
        <f t="shared" si="148"/>
        <v>486.93441019786906</v>
      </c>
      <c r="V65" s="256">
        <f t="shared" si="148"/>
        <v>568.4133333333333</v>
      </c>
      <c r="W65" s="256">
        <f t="shared" si="148"/>
        <v>366.00951293759516</v>
      </c>
      <c r="X65" s="226"/>
      <c r="Y65" s="177"/>
      <c r="Z65" s="177"/>
      <c r="AA65" s="177"/>
      <c r="AB65" s="177"/>
      <c r="AC65" s="177"/>
      <c r="AD65" s="177"/>
      <c r="AE65" s="177"/>
      <c r="AF65" s="177"/>
      <c r="AG65" s="210"/>
      <c r="BL65" s="137"/>
    </row>
    <row r="66" hidden="1" outlineLevel="1">
      <c r="A66" s="258" t="s">
        <v>110</v>
      </c>
      <c r="B66" s="259">
        <f>SUM(B53:B64)</f>
        <v>710219.62310502282</v>
      </c>
      <c r="C66" s="259">
        <f>SUM(C53:C64)</f>
        <v>687732.08621004561</v>
      </c>
      <c r="D66" s="260">
        <f t="shared" si="147"/>
        <v>-22487.536894977209</v>
      </c>
      <c r="E66" s="261">
        <f>SUM(E53:E65)</f>
        <v>801539.05390791467</v>
      </c>
      <c r="F66" s="262">
        <f>SUM(F53:F64)</f>
        <v>139841.30757990867</v>
      </c>
      <c r="G66" s="193">
        <f t="shared" ref="G66:W83" si="149">SUM(G53:G64)</f>
        <v>89175.807214611879</v>
      </c>
      <c r="H66" s="193">
        <f t="shared" si="149"/>
        <v>21967.87105022831</v>
      </c>
      <c r="I66" s="193">
        <f t="shared" si="149"/>
        <v>31692.181369863014</v>
      </c>
      <c r="J66" s="193">
        <f t="shared" si="149"/>
        <v>29443.300502283102</v>
      </c>
      <c r="K66" s="193">
        <f t="shared" si="149"/>
        <v>49132.37726027397</v>
      </c>
      <c r="L66" s="193">
        <f t="shared" si="149"/>
        <v>0</v>
      </c>
      <c r="M66" s="193">
        <f t="shared" si="149"/>
        <v>13638.726027397261</v>
      </c>
      <c r="N66" s="193">
        <f t="shared" si="149"/>
        <v>78686.795890410955</v>
      </c>
      <c r="O66" s="193">
        <f t="shared" si="149"/>
        <v>17113.889954337898</v>
      </c>
      <c r="P66" s="193">
        <f t="shared" si="149"/>
        <v>117051.90584474886</v>
      </c>
      <c r="Q66" s="193">
        <f t="shared" si="149"/>
        <v>97595.004383561638</v>
      </c>
      <c r="R66" s="193">
        <f t="shared" si="149"/>
        <v>9558.4474885844756</v>
      </c>
      <c r="S66" s="193">
        <f t="shared" si="149"/>
        <v>0</v>
      </c>
      <c r="T66" s="193">
        <f t="shared" si="149"/>
        <v>3341.5525114155253</v>
      </c>
      <c r="U66" s="193">
        <f t="shared" si="149"/>
        <v>5843.2129223744287</v>
      </c>
      <c r="V66" s="193">
        <f t="shared" si="149"/>
        <v>6820.96</v>
      </c>
      <c r="W66" s="195">
        <f t="shared" si="149"/>
        <v>4392.1141552511417</v>
      </c>
      <c r="X66" s="234">
        <f t="shared" ref="X66:AE66" si="150">SUM(X53:X64)</f>
        <v>663545.33621004561</v>
      </c>
      <c r="Y66" s="235">
        <f t="shared" si="150"/>
        <v>1300</v>
      </c>
      <c r="Z66" s="235">
        <f t="shared" si="150"/>
        <v>3500</v>
      </c>
      <c r="AA66" s="236">
        <f t="shared" si="150"/>
        <v>7809.3999999999996</v>
      </c>
      <c r="AB66" s="235">
        <f t="shared" si="150"/>
        <v>4000</v>
      </c>
      <c r="AC66" s="236">
        <f t="shared" si="150"/>
        <v>624.42999999999995</v>
      </c>
      <c r="AD66" s="235">
        <f t="shared" si="150"/>
        <v>0</v>
      </c>
      <c r="AE66" s="236">
        <f t="shared" si="150"/>
        <v>3461.6800000000003</v>
      </c>
      <c r="AF66" s="235">
        <f>SUM(AF53:AF64)</f>
        <v>0</v>
      </c>
      <c r="AG66" s="237">
        <f>SUM(AG53:AG64)</f>
        <v>2300</v>
      </c>
      <c r="BL66" s="137"/>
    </row>
    <row r="67" hidden="1" outlineLevel="1">
      <c r="A67" s="263" t="s">
        <v>112</v>
      </c>
      <c r="B67" s="252">
        <f>B84</f>
        <v>4.3799999999999999</v>
      </c>
      <c r="C67" s="252"/>
      <c r="D67" s="252"/>
      <c r="E67" s="252"/>
      <c r="BL67" s="137"/>
    </row>
    <row r="68" hidden="1" outlineLevel="1">
      <c r="A68" s="137"/>
      <c r="B68" s="137"/>
      <c r="C68" s="137"/>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c r="AE68" s="137"/>
      <c r="AF68" s="137"/>
      <c r="AG68" s="137"/>
      <c r="AH68" s="137"/>
      <c r="AI68" s="137"/>
      <c r="AJ68" s="137"/>
      <c r="AK68" s="137"/>
      <c r="AL68" s="137"/>
      <c r="AM68" s="137"/>
      <c r="AN68" s="137"/>
      <c r="AO68" s="137"/>
      <c r="AP68" s="137"/>
      <c r="AQ68" s="137"/>
      <c r="AR68" s="137"/>
      <c r="AS68" s="137"/>
      <c r="AT68" s="137"/>
      <c r="AU68" s="137"/>
      <c r="AV68" s="137"/>
      <c r="AW68" s="137"/>
      <c r="AX68" s="137"/>
      <c r="AY68" s="137"/>
      <c r="AZ68" s="137"/>
      <c r="BA68" s="137"/>
      <c r="BB68" s="137"/>
      <c r="BC68" s="137"/>
      <c r="BD68" s="137"/>
      <c r="BE68" s="137"/>
      <c r="BF68" s="137"/>
      <c r="BG68" s="137"/>
      <c r="BH68" s="137"/>
      <c r="BI68" s="137"/>
      <c r="BJ68" s="137"/>
      <c r="BK68" s="137"/>
      <c r="BL68" s="137"/>
    </row>
    <row r="69" ht="14.25" collapsed="1">
      <c r="A69" s="238">
        <v>2023</v>
      </c>
      <c r="B69" s="131" t="s">
        <v>93</v>
      </c>
      <c r="C69" s="131" t="s">
        <v>94</v>
      </c>
      <c r="D69" s="131" t="s">
        <v>95</v>
      </c>
      <c r="E69" s="131" t="s">
        <v>96</v>
      </c>
      <c r="F69" s="204" t="s">
        <v>70</v>
      </c>
      <c r="G69" s="204" t="s">
        <v>71</v>
      </c>
      <c r="H69" s="204" t="s">
        <v>72</v>
      </c>
      <c r="I69" s="204" t="s">
        <v>3</v>
      </c>
      <c r="J69" s="204" t="s">
        <v>4</v>
      </c>
      <c r="K69" s="204" t="s">
        <v>5</v>
      </c>
      <c r="L69" s="204" t="s">
        <v>6</v>
      </c>
      <c r="M69" s="204" t="s">
        <v>7</v>
      </c>
      <c r="N69" s="204" t="s">
        <v>8</v>
      </c>
      <c r="O69" s="204" t="s">
        <v>9</v>
      </c>
      <c r="P69" s="204" t="s">
        <v>10</v>
      </c>
      <c r="Q69" s="204" t="s">
        <v>11</v>
      </c>
      <c r="R69" s="204" t="s">
        <v>12</v>
      </c>
      <c r="S69" s="204" t="s">
        <v>13</v>
      </c>
      <c r="T69" s="204" t="s">
        <v>19</v>
      </c>
      <c r="U69" s="204" t="s">
        <v>20</v>
      </c>
      <c r="V69" s="204" t="s">
        <v>73</v>
      </c>
      <c r="W69" s="239" t="s">
        <v>62</v>
      </c>
      <c r="X69" s="240" t="s">
        <v>50</v>
      </c>
      <c r="Y69" s="241" t="s">
        <v>13</v>
      </c>
      <c r="Z69" s="241" t="s">
        <v>11</v>
      </c>
      <c r="AA69" s="241" t="s">
        <v>51</v>
      </c>
      <c r="AB69" s="241" t="s">
        <v>52</v>
      </c>
      <c r="AC69" s="241"/>
      <c r="AD69" s="241" t="s">
        <v>54</v>
      </c>
      <c r="AE69" s="241" t="s">
        <v>55</v>
      </c>
      <c r="AF69" s="241" t="s">
        <v>61</v>
      </c>
      <c r="AG69" s="242" t="s">
        <v>74</v>
      </c>
    </row>
    <row r="70" ht="14.25">
      <c r="A70" s="264" t="s">
        <v>97</v>
      </c>
      <c r="B70" s="265">
        <f>'Янв`23'!S33/B84</f>
        <v>32155.552511415528</v>
      </c>
      <c r="C70" s="265">
        <f>'Янв`23'!S67/B84</f>
        <v>120528.17739726028</v>
      </c>
      <c r="D70" s="212">
        <f t="shared" si="147"/>
        <v>88372.624885844751</v>
      </c>
      <c r="E70" s="265">
        <f>'Фвр`23'!B36/B84</f>
        <v>125715.29680365298</v>
      </c>
      <c r="F70" s="266">
        <f>'Янв`23'!B33/B84</f>
        <v>913.24200913242009</v>
      </c>
      <c r="G70" s="182">
        <f>'Янв`23'!C33/B84</f>
        <v>7038.1278538812785</v>
      </c>
      <c r="H70" s="182">
        <f>'Янв`23'!D33/B84</f>
        <v>2585.8447488584475</v>
      </c>
      <c r="I70" s="182">
        <f>'Янв`23'!E33/B84</f>
        <v>979.90867579908684</v>
      </c>
      <c r="J70" s="174">
        <f>'Янв`23'!F33/B84</f>
        <v>0</v>
      </c>
      <c r="K70" s="174">
        <f>'Янв`23'!G33/B84</f>
        <v>0</v>
      </c>
      <c r="L70" s="174">
        <f>'Янв`23'!H33/B84</f>
        <v>0</v>
      </c>
      <c r="M70" s="174">
        <f>'Янв`23'!I33/B84</f>
        <v>0</v>
      </c>
      <c r="N70" s="182">
        <f>'Янв`23'!J33/B84</f>
        <v>316.51141552511416</v>
      </c>
      <c r="O70" s="182">
        <f>'Янв`23'!K33/B84</f>
        <v>230.59360730593608</v>
      </c>
      <c r="P70" s="182">
        <f>'Янв`23'!L33/B84</f>
        <v>20091.324200913241</v>
      </c>
      <c r="Q70" s="174">
        <f>'Янв`23'!M33/B84</f>
        <v>0</v>
      </c>
      <c r="R70" s="174">
        <f>'Янв`23'!N33/B84</f>
        <v>0</v>
      </c>
      <c r="S70" s="174">
        <f>'Янв`23'!O33/B84</f>
        <v>0</v>
      </c>
      <c r="T70" s="174">
        <f>'Янв`23'!P33/B84</f>
        <v>0</v>
      </c>
      <c r="U70" s="174">
        <f>'Янв`23'!Q33/B84</f>
        <v>0</v>
      </c>
      <c r="V70" s="174">
        <f>'Янв`23'!R33/B84</f>
        <v>0</v>
      </c>
      <c r="W70" s="175">
        <f>0/B84</f>
        <v>0</v>
      </c>
      <c r="X70" s="267">
        <f>'Янв`23'!B67/B84</f>
        <v>120026.02739726027</v>
      </c>
      <c r="Y70" s="267">
        <f>'Янв`23'!C67/B84</f>
        <v>0</v>
      </c>
      <c r="Z70" s="267">
        <f>'Янв`23'!D67/B84</f>
        <v>0</v>
      </c>
      <c r="AA70" s="267">
        <f>'Янв`23'!E67/B84</f>
        <v>424.15000000000003</v>
      </c>
      <c r="AB70" s="267">
        <f>'Янв`23'!F67/B84</f>
        <v>0</v>
      </c>
      <c r="AC70" s="267">
        <f>'Янв`23'!G67/B84</f>
        <v>0</v>
      </c>
      <c r="AD70" s="267">
        <f>'Янв`23'!H67/B84</f>
        <v>0</v>
      </c>
      <c r="AE70" s="267">
        <f>'Янв`23'!I67/B84</f>
        <v>78</v>
      </c>
      <c r="AF70" s="267">
        <f>'Янв`23'!J67/B84</f>
        <v>0</v>
      </c>
      <c r="AG70" s="267">
        <f>'Янв`23'!K67/B84</f>
        <v>0</v>
      </c>
    </row>
    <row r="71" ht="14.25">
      <c r="A71" s="268" t="s">
        <v>98</v>
      </c>
      <c r="B71" s="212">
        <f>'Фвр`23'!S33/B84</f>
        <v>69426.57534246576</v>
      </c>
      <c r="C71" s="212">
        <f>'Фвр`23'!S67/B84</f>
        <v>138749.62858447491</v>
      </c>
      <c r="D71" s="212">
        <f t="shared" si="147"/>
        <v>69323.053242009148</v>
      </c>
      <c r="E71" s="212">
        <f>'Мрт`23'!B36/B84</f>
        <v>114155.25114155251</v>
      </c>
      <c r="F71" s="250">
        <f>'Фвр`23'!B33/B84</f>
        <v>27001.917808219176</v>
      </c>
      <c r="G71" s="182">
        <f>'Фвр`23'!C33/B84</f>
        <v>9349.3150684931516</v>
      </c>
      <c r="H71" s="182">
        <f>'Фвр`23'!D33/B84</f>
        <v>856.16438356164383</v>
      </c>
      <c r="I71" s="174">
        <f>'Фвр`23'!E33/B84</f>
        <v>0</v>
      </c>
      <c r="J71" s="174">
        <f>'Фвр`23'!F33/B84</f>
        <v>0</v>
      </c>
      <c r="K71" s="174">
        <f>'Фвр`23'!G33/B84</f>
        <v>0</v>
      </c>
      <c r="L71" s="174">
        <f>'Фвр`23'!H33/B84</f>
        <v>0</v>
      </c>
      <c r="M71" s="174">
        <f>'Фвр`23'!I33/B84</f>
        <v>0</v>
      </c>
      <c r="N71" s="174">
        <f>'Фвр`23'!J33/B84</f>
        <v>0</v>
      </c>
      <c r="O71" s="182">
        <f>'Фвр`23'!K33/B84</f>
        <v>2397.2602739726026</v>
      </c>
      <c r="P71" s="182">
        <f>'Фвр`23'!L33/B84</f>
        <v>20091.324200913241</v>
      </c>
      <c r="Q71" s="182">
        <f>'Фвр`23'!M33/B84</f>
        <v>9114.1552511415521</v>
      </c>
      <c r="R71" s="182">
        <f>'Фвр`23'!N33/B84</f>
        <v>616.43835616438355</v>
      </c>
      <c r="S71" s="174">
        <f>'Фвр`23'!O33/B84</f>
        <v>0</v>
      </c>
      <c r="T71" s="174">
        <f>'Фвр`23'!P33/B84</f>
        <v>0</v>
      </c>
      <c r="U71" s="174">
        <f>'Фвр`23'!Q33/B84</f>
        <v>0</v>
      </c>
      <c r="V71" s="174">
        <f>'Фвр`23'!R33/B84</f>
        <v>0</v>
      </c>
      <c r="W71" s="175">
        <f>0/B84</f>
        <v>0</v>
      </c>
      <c r="X71" s="267">
        <f>'Фвр`23'!B67/B84</f>
        <v>125715.29680365298</v>
      </c>
      <c r="Y71" s="269">
        <f>'Фвр`23'!C67/B84</f>
        <v>0</v>
      </c>
      <c r="Z71" s="269">
        <f>'Фвр`23'!D67/B84</f>
        <v>0</v>
      </c>
      <c r="AA71" s="267">
        <f>'Фвр`23'!E67/B84</f>
        <v>1106.2217808219179</v>
      </c>
      <c r="AB71" s="269">
        <f>'Фвр`23'!F67/B84</f>
        <v>0</v>
      </c>
      <c r="AC71" s="269">
        <f>'Фвр`23'!G67/B84</f>
        <v>0</v>
      </c>
      <c r="AD71" s="269">
        <f>'Фвр`23'!H67/B84</f>
        <v>0</v>
      </c>
      <c r="AE71" s="269">
        <f>'Фвр`23'!I67/B84</f>
        <v>-89</v>
      </c>
      <c r="AF71" s="267">
        <f>'Фвр`23'!J67/B84</f>
        <v>12017.110000000001</v>
      </c>
      <c r="AG71" s="269">
        <f>'Фвр`23'!K67/B84</f>
        <v>0</v>
      </c>
    </row>
    <row r="72" ht="14.25">
      <c r="A72" s="264" t="s">
        <v>99</v>
      </c>
      <c r="B72" s="265">
        <f>'Мрт`23'!S33/B84</f>
        <v>57317.435616438364</v>
      </c>
      <c r="C72" s="265">
        <f>'Мрт`23'!S67/B84</f>
        <v>117816.51954337901</v>
      </c>
      <c r="D72" s="212">
        <f t="shared" si="147"/>
        <v>60499.083926940642</v>
      </c>
      <c r="E72" s="265">
        <f>'Апр`23'!B36/B84</f>
        <v>114155.25114155251</v>
      </c>
      <c r="F72" s="250">
        <f>'Мрт`23'!B33/B84</f>
        <v>3255.8109589041101</v>
      </c>
      <c r="G72" s="182">
        <f>'Мрт`23'!C33/B84</f>
        <v>4960.7707762557075</v>
      </c>
      <c r="H72" s="174">
        <f>'Мрт`23'!D33/B84</f>
        <v>0</v>
      </c>
      <c r="I72" s="182">
        <f>'Мрт`23'!E33/B84</f>
        <v>5785.9863013698641</v>
      </c>
      <c r="J72" s="174">
        <f>'Мрт`23'!F33/B84</f>
        <v>0</v>
      </c>
      <c r="K72" s="182">
        <f>'Мрт`23'!G33/B84</f>
        <v>8219.1780821917819</v>
      </c>
      <c r="L72" s="174">
        <f>'Мрт`23'!H33/B84</f>
        <v>0</v>
      </c>
      <c r="M72" s="174">
        <f>'Мрт`23'!I33/B84</f>
        <v>0</v>
      </c>
      <c r="N72" s="182">
        <f>'Мрт`23'!J33/B84</f>
        <v>82.191780821917817</v>
      </c>
      <c r="O72" s="174">
        <f>'Мрт`23'!K33/B84</f>
        <v>0</v>
      </c>
      <c r="P72" s="182">
        <f>'Мрт`23'!L33/B84</f>
        <v>26027.397260273974</v>
      </c>
      <c r="Q72" s="174">
        <f>'Мрт`23'!M33/B84</f>
        <v>6959</v>
      </c>
      <c r="R72" s="182">
        <f>'Мрт`23'!N33/B84</f>
        <v>1287.1004566210047</v>
      </c>
      <c r="S72" s="174">
        <f>'Мрт`23'!O33/B84</f>
        <v>0</v>
      </c>
      <c r="T72" s="174">
        <f>'Мрт`23'!P33/B84</f>
        <v>0</v>
      </c>
      <c r="U72" s="174">
        <f>'Мрт`23'!Q33/B84</f>
        <v>740</v>
      </c>
      <c r="V72" s="174">
        <f>'Мрт`23'!R33/B84</f>
        <v>0</v>
      </c>
      <c r="W72" s="175">
        <f>0/B84</f>
        <v>0</v>
      </c>
      <c r="X72" s="267">
        <f>'Мрт`23'!B67/B84</f>
        <v>114155.25114155251</v>
      </c>
      <c r="Y72" s="269">
        <f>'Мрт`23'!C67/B84</f>
        <v>0</v>
      </c>
      <c r="Z72" s="269">
        <f>'Мрт`23'!D67/B84</f>
        <v>0</v>
      </c>
      <c r="AA72" s="267">
        <f>'Мрт`23'!E67/B84</f>
        <v>1442.1451141552511</v>
      </c>
      <c r="AB72" s="269">
        <f>'Мрт`23'!F67/B84</f>
        <v>0</v>
      </c>
      <c r="AC72" s="269">
        <f>'Мрт`23'!G67/B84</f>
        <v>0</v>
      </c>
      <c r="AD72" s="269">
        <f>'Мрт`23'!H67/B84</f>
        <v>1000</v>
      </c>
      <c r="AE72" s="267">
        <f>'Мрт`23'!I67/B84</f>
        <v>1219.1232876712329</v>
      </c>
      <c r="AF72" s="269">
        <f>'Мрт`23'!J67/B84</f>
        <v>0</v>
      </c>
      <c r="AG72" s="269">
        <f>'Мрт`23'!K67/B84</f>
        <v>0</v>
      </c>
    </row>
    <row r="73" ht="14.25">
      <c r="A73" s="268" t="s">
        <v>100</v>
      </c>
      <c r="B73" s="212">
        <f>'Апр`23'!S33/B84</f>
        <v>71908.401826484012</v>
      </c>
      <c r="C73" s="212">
        <f>'Апр`23'!S67/B84</f>
        <v>188911.87890410959</v>
      </c>
      <c r="D73" s="212">
        <f t="shared" si="147"/>
        <v>117003.47707762558</v>
      </c>
      <c r="E73" s="212">
        <f>('Апр`23'!B55+'Май`23'!B40)/B84</f>
        <v>114155.25114155251</v>
      </c>
      <c r="F73" s="250">
        <f>'Апр`23'!B33/B84</f>
        <v>616.43835616438355</v>
      </c>
      <c r="G73" s="250">
        <f>'Апр`23'!C33/B84</f>
        <v>4377.8538812785391</v>
      </c>
      <c r="H73" s="182">
        <f>'Апр`23'!D33/B84</f>
        <v>1742.0091324200914</v>
      </c>
      <c r="I73" s="182">
        <f>'Апр`23'!E33/B84</f>
        <v>2168.4931506849316</v>
      </c>
      <c r="J73" s="174">
        <f>'Апр`23'!F33/B84</f>
        <v>0</v>
      </c>
      <c r="K73" s="174">
        <f>'Апр`23'!G33/B84</f>
        <v>0</v>
      </c>
      <c r="L73" s="174">
        <f>'Апр`23'!H33/B84</f>
        <v>0</v>
      </c>
      <c r="M73" s="174">
        <f>'Апр`23'!I33/B84</f>
        <v>0</v>
      </c>
      <c r="N73" s="174">
        <f>'Апр`23'!J33/B84</f>
        <v>0</v>
      </c>
      <c r="O73" s="182">
        <f>'Апр`23'!K33/B84</f>
        <v>445.20547945205482</v>
      </c>
      <c r="P73" s="182">
        <f>'Апр`23'!L33/B84</f>
        <v>60298.127853881277</v>
      </c>
      <c r="Q73" s="182">
        <f>'Апр`23'!M33/B84</f>
        <v>228.31050228310502</v>
      </c>
      <c r="R73" s="182">
        <f>'Апр`23'!N33/B84</f>
        <v>662.10045662100458</v>
      </c>
      <c r="S73" s="174">
        <f>'Апр`23'!O33/B84</f>
        <v>0</v>
      </c>
      <c r="T73" s="182">
        <f>'Апр`23'!P33/B84</f>
        <v>1369.8630136986301</v>
      </c>
      <c r="U73" s="174">
        <f>'Апр`23'!Q33/B84</f>
        <v>0</v>
      </c>
      <c r="V73" s="174">
        <f>'Апр`23'!R33/B84</f>
        <v>0</v>
      </c>
      <c r="W73" s="175">
        <f>0/B84</f>
        <v>0</v>
      </c>
      <c r="X73" s="267">
        <f>'Апр`23'!B67/B84</f>
        <v>171232.87671232878</v>
      </c>
      <c r="Y73" s="269">
        <f>'Апр`23'!C67/B84</f>
        <v>0</v>
      </c>
      <c r="Z73" s="269">
        <f>'Апр`23'!D67/B84</f>
        <v>5000</v>
      </c>
      <c r="AA73" s="267">
        <f>'Апр`23'!E67/B84</f>
        <v>297.92000000000002</v>
      </c>
      <c r="AB73" s="269">
        <f>'Апр`23'!F67/B84</f>
        <v>0</v>
      </c>
      <c r="AC73" s="269">
        <f>'Апр`23'!G67/B84</f>
        <v>0</v>
      </c>
      <c r="AD73" s="267">
        <f>'Апр`23'!H67/B84</f>
        <v>12145.082191780823</v>
      </c>
      <c r="AE73" s="269">
        <f>'Апр`23'!I67/B84</f>
        <v>236.00000000000003</v>
      </c>
      <c r="AF73" s="269">
        <f>'Апр`23'!J67/B84</f>
        <v>0</v>
      </c>
      <c r="AG73" s="269">
        <f>'Апр`23'!K67/B84</f>
        <v>0</v>
      </c>
    </row>
    <row r="74" ht="14.25">
      <c r="A74" s="264" t="s">
        <v>101</v>
      </c>
      <c r="B74" s="265">
        <f>'Май`23'!S33/B84</f>
        <v>64693.205479452052</v>
      </c>
      <c r="C74" s="265">
        <f>'Май`23'!S67/B84</f>
        <v>119770.29342465755</v>
      </c>
      <c r="D74" s="212">
        <f t="shared" si="147"/>
        <v>55077.087945205494</v>
      </c>
      <c r="E74" s="265">
        <f>('Май`23'!B54+'Июнь`23'!B40)/B84</f>
        <v>114155.25114155251</v>
      </c>
      <c r="F74" s="250">
        <f>'Май`23'!B33/B84</f>
        <v>433.78995433789953</v>
      </c>
      <c r="G74" s="182">
        <f>'Май`23'!C33/B84</f>
        <v>7315.7534246575342</v>
      </c>
      <c r="H74" s="174">
        <f>'Май`23'!D34/B84</f>
        <v>0</v>
      </c>
      <c r="I74" s="182">
        <f>'Май`23'!E33/B84</f>
        <v>4220.3196347031962</v>
      </c>
      <c r="J74" s="174">
        <f>'Май`23'!F33</f>
        <v>0</v>
      </c>
      <c r="K74" s="174"/>
      <c r="L74" s="174"/>
      <c r="M74" s="174"/>
      <c r="N74" s="174"/>
      <c r="O74" s="174"/>
      <c r="P74" s="174"/>
      <c r="Q74" s="174"/>
      <c r="R74" s="174"/>
      <c r="S74" s="174"/>
      <c r="T74" s="174"/>
      <c r="U74" s="174"/>
      <c r="V74" s="174"/>
      <c r="W74" s="175"/>
      <c r="X74" s="267">
        <f>'Май`23'!B67/B84</f>
        <v>114155.25114155251</v>
      </c>
      <c r="Y74" s="269">
        <f>'Май`23'!C67/B84</f>
        <v>0</v>
      </c>
      <c r="Z74" s="269">
        <f>'Май`23'!D67/B84</f>
        <v>0</v>
      </c>
      <c r="AA74" s="267">
        <f>'Май`23'!E67/B84</f>
        <v>2392.5263013698632</v>
      </c>
      <c r="AB74" s="269">
        <f>'Май`23'!F67/B84</f>
        <v>0</v>
      </c>
      <c r="AC74" s="269">
        <f>'Май`23'!G67/B84</f>
        <v>0</v>
      </c>
      <c r="AD74" s="267">
        <f>'Май`23'!H67/B84</f>
        <v>3218.5159817351614</v>
      </c>
      <c r="AE74" s="269">
        <f>'Май`23'!I67/B84</f>
        <v>4</v>
      </c>
      <c r="AF74" s="269">
        <f>'Май`23'!J67/B84</f>
        <v>0</v>
      </c>
      <c r="AG74" s="269">
        <f>'Май`23'!K67/B84</f>
        <v>0</v>
      </c>
    </row>
    <row r="75" ht="14.25">
      <c r="A75" s="268" t="s">
        <v>102</v>
      </c>
      <c r="B75" s="212">
        <f>'Июнь`23'!S33/B84</f>
        <v>90180.368173515992</v>
      </c>
      <c r="C75" s="212">
        <f>'Июнь`23'!S67/B84</f>
        <v>117863.59730593607</v>
      </c>
      <c r="D75" s="212">
        <f t="shared" si="147"/>
        <v>27683.229132420078</v>
      </c>
      <c r="E75" s="212">
        <f>('Июнь`23'!B55+'Июль`23'!B39)/B84</f>
        <v>114155.25114155251</v>
      </c>
      <c r="F75" s="250">
        <f>'Июнь`23'!B33/B84</f>
        <v>29011.547945205482</v>
      </c>
      <c r="G75" s="182">
        <f>'Июнь`23'!C33/B84</f>
        <v>4098.9709132420085</v>
      </c>
      <c r="H75" s="174">
        <f>'Июнь`23'!D33</f>
        <v>0</v>
      </c>
      <c r="I75" s="182">
        <f>'Июнь`23'!E33/B84</f>
        <v>8737.3515981735163</v>
      </c>
      <c r="J75" s="174">
        <f>'Июнь`23'!F33</f>
        <v>0</v>
      </c>
      <c r="K75" s="174"/>
      <c r="L75" s="174"/>
      <c r="M75" s="174"/>
      <c r="N75" s="174"/>
      <c r="O75" s="174"/>
      <c r="P75" s="174"/>
      <c r="Q75" s="174"/>
      <c r="R75" s="174"/>
      <c r="S75" s="174"/>
      <c r="T75" s="174"/>
      <c r="U75" s="174"/>
      <c r="V75" s="174"/>
      <c r="W75" s="175"/>
      <c r="X75" s="269"/>
      <c r="Y75" s="270"/>
      <c r="Z75" s="270"/>
      <c r="AA75" s="270"/>
      <c r="AB75" s="270"/>
      <c r="AC75" s="270"/>
      <c r="AD75" s="270"/>
      <c r="AE75" s="270"/>
      <c r="AF75" s="270"/>
      <c r="AG75" s="271"/>
    </row>
    <row r="76" ht="14.25">
      <c r="A76" s="264" t="s">
        <v>103</v>
      </c>
      <c r="B76" s="265">
        <f>'Июль`23'!S33/B84</f>
        <v>113105.34853881279</v>
      </c>
      <c r="C76" s="265">
        <f>'Июль`23'!S67/B84</f>
        <v>117186.61009132421</v>
      </c>
      <c r="D76" s="212">
        <f t="shared" si="147"/>
        <v>4081.2615525114234</v>
      </c>
      <c r="E76" s="265">
        <f>('Июль`23'!B55+'Авг`23'!B39)/B84</f>
        <v>114155.25114155251</v>
      </c>
      <c r="F76" s="250">
        <f>'Июль`23'!B33/B84</f>
        <v>47850.18415525114</v>
      </c>
      <c r="G76" s="250">
        <f>'Июль`23'!C33/B84</f>
        <v>6805.4794520547948</v>
      </c>
      <c r="H76" s="182">
        <f>'Июль`23'!D33/B84</f>
        <v>3188.3561643835619</v>
      </c>
      <c r="I76" s="174">
        <f>'Июль`23'!E33</f>
        <v>0</v>
      </c>
      <c r="J76" s="174">
        <f>'Июль`23'!F33/B84</f>
        <v>18000</v>
      </c>
      <c r="K76" s="174"/>
      <c r="L76" s="174"/>
      <c r="M76" s="174"/>
      <c r="N76" s="174"/>
      <c r="O76" s="174"/>
      <c r="P76" s="174"/>
      <c r="Q76" s="174"/>
      <c r="R76" s="174"/>
      <c r="S76" s="174"/>
      <c r="T76" s="174"/>
      <c r="U76" s="174"/>
      <c r="V76" s="174"/>
      <c r="W76" s="175"/>
      <c r="X76" s="269"/>
      <c r="Y76" s="270"/>
      <c r="Z76" s="270"/>
      <c r="AA76" s="270"/>
      <c r="AB76" s="270"/>
      <c r="AC76" s="270"/>
      <c r="AD76" s="270"/>
      <c r="AE76" s="270"/>
      <c r="AF76" s="270"/>
      <c r="AG76" s="271"/>
    </row>
    <row r="77" ht="14.25">
      <c r="A77" s="268" t="s">
        <v>104</v>
      </c>
      <c r="B77" s="212">
        <f>'Авг`23'!S33/B84</f>
        <v>111133.88812785388</v>
      </c>
      <c r="C77" s="212">
        <f>'Авг`23'!S67/B84</f>
        <v>151092.3102739726</v>
      </c>
      <c r="D77" s="212">
        <f t="shared" si="147"/>
        <v>39958.422146118726</v>
      </c>
      <c r="E77" s="212">
        <f>('Авг`23'!B36+'Авг`23'!B53+'Сен`23'!B40)/B84</f>
        <v>121199.08675799087</v>
      </c>
      <c r="F77" s="250">
        <f>'Авг`23'!B33/B84</f>
        <v>5414.8538812785391</v>
      </c>
      <c r="G77" s="250">
        <f>'Авг`23'!C33/B84</f>
        <v>12177.853881278539</v>
      </c>
      <c r="H77" s="182">
        <f>'Авг`23'!D33/B84</f>
        <v>2103.6529680365297</v>
      </c>
      <c r="I77" s="182">
        <f>'Авг`23'!E33/B84</f>
        <v>15235.159817351598</v>
      </c>
      <c r="J77" s="182">
        <f>'Авг`23'!F33/B84</f>
        <v>12931.5</v>
      </c>
      <c r="K77" s="174"/>
      <c r="L77" s="174"/>
      <c r="M77" s="174"/>
      <c r="N77" s="174"/>
      <c r="O77" s="174"/>
      <c r="P77" s="174"/>
      <c r="Q77" s="174"/>
      <c r="R77" s="174"/>
      <c r="S77" s="174"/>
      <c r="T77" s="174"/>
      <c r="U77" s="174"/>
      <c r="V77" s="174"/>
      <c r="W77" s="175"/>
      <c r="X77" s="269"/>
      <c r="Y77" s="270"/>
      <c r="Z77" s="270"/>
      <c r="AA77" s="270"/>
      <c r="AB77" s="270"/>
      <c r="AC77" s="270"/>
      <c r="AD77" s="270"/>
      <c r="AE77" s="270"/>
      <c r="AF77" s="270"/>
      <c r="AG77" s="271"/>
    </row>
    <row r="78" ht="14.25">
      <c r="A78" s="264" t="s">
        <v>105</v>
      </c>
      <c r="B78" s="265">
        <f>'Сен`23'!S33/B84</f>
        <v>48593.507442922375</v>
      </c>
      <c r="C78" s="265">
        <f>'Сен`23'!S67/B84</f>
        <v>92380.884885844745</v>
      </c>
      <c r="D78" s="212">
        <f t="shared" si="147"/>
        <v>43787.37744292237</v>
      </c>
      <c r="E78" s="265">
        <f>('Сен`23'!B55+'Окт`23'!B40)/B84</f>
        <v>114155.25114155251</v>
      </c>
      <c r="F78" s="250">
        <f>'Сен`23'!B33/B84</f>
        <v>867.70150684931514</v>
      </c>
      <c r="G78" s="250">
        <f>'Сен`23'!C33/B84</f>
        <v>7102.1255707762557</v>
      </c>
      <c r="H78" s="182">
        <f>'Сен`23'!D33/B84</f>
        <v>3188.5844748858449</v>
      </c>
      <c r="I78" s="182">
        <f>'Сен`23'!E33/B84</f>
        <v>1274.6575342465753</v>
      </c>
      <c r="J78" s="174">
        <f>'Сен`23'!F33/B84</f>
        <v>8600</v>
      </c>
      <c r="K78" s="174"/>
      <c r="L78" s="174"/>
      <c r="M78" s="174"/>
      <c r="N78" s="174"/>
      <c r="O78" s="174"/>
      <c r="P78" s="174"/>
      <c r="Q78" s="174"/>
      <c r="R78" s="174"/>
      <c r="S78" s="174"/>
      <c r="T78" s="174"/>
      <c r="U78" s="174"/>
      <c r="V78" s="174"/>
      <c r="W78" s="175"/>
      <c r="X78" s="269"/>
      <c r="Y78" s="270"/>
      <c r="Z78" s="270"/>
      <c r="AA78" s="270"/>
      <c r="AB78" s="270"/>
      <c r="AC78" s="270"/>
      <c r="AD78" s="270"/>
      <c r="AE78" s="270"/>
      <c r="AF78" s="270"/>
      <c r="AG78" s="271"/>
    </row>
    <row r="79" ht="14.25">
      <c r="A79" s="268" t="s">
        <v>106</v>
      </c>
      <c r="B79" s="212">
        <f>'Окт`23'!S33/B84</f>
        <v>77439.4191780822</v>
      </c>
      <c r="C79" s="212">
        <f>'Окт`23'!S67/B84</f>
        <v>184070.85388127854</v>
      </c>
      <c r="D79" s="212">
        <f t="shared" si="147"/>
        <v>106631.43470319634</v>
      </c>
      <c r="E79" s="212">
        <f>('Окт`23'!B55)/B84+'Ноя`23'!B38</f>
        <v>114155.25114155251</v>
      </c>
      <c r="F79" s="246"/>
      <c r="G79" s="174"/>
      <c r="H79" s="174"/>
      <c r="I79" s="174"/>
      <c r="J79" s="174"/>
      <c r="K79" s="174"/>
      <c r="L79" s="174"/>
      <c r="M79" s="174"/>
      <c r="N79" s="174"/>
      <c r="O79" s="174"/>
      <c r="P79" s="174"/>
      <c r="Q79" s="174"/>
      <c r="R79" s="174"/>
      <c r="S79" s="174"/>
      <c r="T79" s="174"/>
      <c r="U79" s="174"/>
      <c r="V79" s="174"/>
      <c r="W79" s="175"/>
      <c r="X79" s="269"/>
      <c r="Y79" s="270"/>
      <c r="Z79" s="270"/>
      <c r="AA79" s="270"/>
      <c r="AB79" s="270"/>
      <c r="AC79" s="270"/>
      <c r="AD79" s="270"/>
      <c r="AE79" s="270"/>
      <c r="AF79" s="270"/>
      <c r="AG79" s="271"/>
    </row>
    <row r="80" ht="14.25">
      <c r="A80" s="264" t="s">
        <v>107</v>
      </c>
      <c r="B80" s="272">
        <f>'Ноя`23'!S33</f>
        <v>25420.300091324199</v>
      </c>
      <c r="C80" s="265">
        <f>'Ноя`23'!S67</f>
        <v>138592.91059360729</v>
      </c>
      <c r="D80" s="212">
        <f t="shared" si="147"/>
        <v>113172.61050228309</v>
      </c>
      <c r="E80" s="265">
        <f>('Окт`23'!B65)/B84+'Ноя`23'!B39+'Дек`23'!B36</f>
        <v>155234.98607305935</v>
      </c>
      <c r="F80" s="246"/>
      <c r="G80" s="174"/>
      <c r="H80" s="174"/>
      <c r="I80" s="174"/>
      <c r="J80" s="174"/>
      <c r="K80" s="174"/>
      <c r="L80" s="174"/>
      <c r="M80" s="174"/>
      <c r="N80" s="174"/>
      <c r="O80" s="174"/>
      <c r="P80" s="174"/>
      <c r="Q80" s="174"/>
      <c r="R80" s="174"/>
      <c r="S80" s="174"/>
      <c r="T80" s="174"/>
      <c r="U80" s="174"/>
      <c r="V80" s="174"/>
      <c r="W80" s="175"/>
      <c r="X80" s="269"/>
      <c r="Y80" s="270"/>
      <c r="Z80" s="270"/>
      <c r="AA80" s="270"/>
      <c r="AB80" s="270"/>
      <c r="AC80" s="270"/>
      <c r="AD80" s="270"/>
      <c r="AE80" s="270"/>
      <c r="AF80" s="270"/>
      <c r="AG80" s="271"/>
    </row>
    <row r="81" ht="14.25">
      <c r="A81" s="268" t="s">
        <v>108</v>
      </c>
      <c r="B81" s="268">
        <f>'Дек`23'!S33</f>
        <v>52039.75</v>
      </c>
      <c r="C81" s="268">
        <f>'Дек`23'!S67</f>
        <v>35396.279999999999</v>
      </c>
      <c r="D81" s="212">
        <f t="shared" si="147"/>
        <v>-16643.470000000001</v>
      </c>
      <c r="E81" s="268"/>
      <c r="F81" s="246"/>
      <c r="G81" s="174"/>
      <c r="H81" s="174"/>
      <c r="I81" s="174"/>
      <c r="J81" s="174"/>
      <c r="K81" s="174"/>
      <c r="L81" s="174"/>
      <c r="M81" s="174"/>
      <c r="N81" s="174"/>
      <c r="O81" s="174"/>
      <c r="P81" s="174"/>
      <c r="Q81" s="174"/>
      <c r="R81" s="174"/>
      <c r="S81" s="174"/>
      <c r="T81" s="174"/>
      <c r="U81" s="174"/>
      <c r="V81" s="174"/>
      <c r="W81" s="175"/>
      <c r="X81" s="269"/>
      <c r="Y81" s="270"/>
      <c r="Z81" s="270"/>
      <c r="AA81" s="270"/>
      <c r="AB81" s="270"/>
      <c r="AC81" s="270"/>
      <c r="AD81" s="270"/>
      <c r="AE81" s="270"/>
      <c r="AF81" s="270"/>
      <c r="AG81" s="271"/>
    </row>
    <row r="82" ht="14.25">
      <c r="A82" s="264" t="s">
        <v>109</v>
      </c>
      <c r="B82" s="265">
        <f>AVERAGE(B70:B81)</f>
        <v>67784.479360730576</v>
      </c>
      <c r="C82" s="265">
        <f>AVERAGE(C70:C81)</f>
        <v>126863.32874048706</v>
      </c>
      <c r="D82" s="265">
        <f>AVERAGE(D70:D81)</f>
        <v>59078.849379756466</v>
      </c>
      <c r="E82" s="265">
        <f>AVERAGE(E70:E81)</f>
        <v>119581.03443337482</v>
      </c>
      <c r="F82" s="273">
        <f>AVERAGE(F70:F81)</f>
        <v>12818.387397260276</v>
      </c>
      <c r="G82" s="273">
        <f>AVERAGE(G70:G81)</f>
        <v>7025.1389802130907</v>
      </c>
      <c r="H82" s="273">
        <f>AVERAGE(H70:H81)</f>
        <v>1518.2902080162355</v>
      </c>
      <c r="I82" s="273">
        <f>AVERAGE(I70:I81)</f>
        <v>4266.875190258751</v>
      </c>
      <c r="J82" s="274">
        <f>AVERAGE(J70:J81)</f>
        <v>4392.3888888888887</v>
      </c>
      <c r="K82" s="273">
        <f>AVERAGE(K70:K81)</f>
        <v>2054.7945205479455</v>
      </c>
      <c r="L82" s="274">
        <f>AVERAGE(L70:L81)</f>
        <v>0</v>
      </c>
      <c r="M82" s="274">
        <f>AVERAGE(M70:M81)</f>
        <v>0</v>
      </c>
      <c r="N82" s="273">
        <f>AVERAGE(N70:N81)</f>
        <v>99.675799086757991</v>
      </c>
      <c r="O82" s="273">
        <f>AVERAGE(O70:O81)</f>
        <v>768.26484018264841</v>
      </c>
      <c r="P82" s="273">
        <f>AVERAGE(P70:P81)</f>
        <v>31627.043378995433</v>
      </c>
      <c r="Q82" s="273">
        <f>AVERAGE(Q70:Q81)</f>
        <v>4075.3664383561641</v>
      </c>
      <c r="R82" s="273">
        <f>AVERAGE(R70:R81)</f>
        <v>641.40981735159824</v>
      </c>
      <c r="S82" s="274">
        <f>AVERAGE(S70:S81)</f>
        <v>0</v>
      </c>
      <c r="T82" s="274">
        <f>AVERAGE(T70:T81)</f>
        <v>342.46575342465752</v>
      </c>
      <c r="U82" s="273">
        <f>AVERAGE(U70:U81)</f>
        <v>185</v>
      </c>
      <c r="V82" s="274">
        <f>AVERAGE(V70:V81)</f>
        <v>0</v>
      </c>
      <c r="W82" s="274">
        <f>AVERAGE(W70:W81)</f>
        <v>0</v>
      </c>
      <c r="X82" s="269"/>
      <c r="Y82" s="270"/>
      <c r="Z82" s="270"/>
      <c r="AA82" s="270"/>
      <c r="AB82" s="270"/>
      <c r="AC82" s="270"/>
      <c r="AD82" s="270"/>
      <c r="AE82" s="270"/>
      <c r="AF82" s="270"/>
      <c r="AG82" s="271"/>
    </row>
    <row r="83" ht="14.25">
      <c r="A83" s="275" t="s">
        <v>110</v>
      </c>
      <c r="B83" s="276">
        <f>SUM(B70:B81)</f>
        <v>813413.75232876698</v>
      </c>
      <c r="C83" s="276">
        <f>SUM(C70:C81)</f>
        <v>1522359.9448858448</v>
      </c>
      <c r="D83" s="276">
        <f>SUM(D70:D81)</f>
        <v>708946.19255707762</v>
      </c>
      <c r="E83" s="276">
        <f>SUM(E70:E81)</f>
        <v>1315391.378767123</v>
      </c>
      <c r="F83" s="277">
        <f>SUM(F70:F81)</f>
        <v>115365.48657534248</v>
      </c>
      <c r="G83" s="277">
        <f t="shared" si="149"/>
        <v>63226.250821917813</v>
      </c>
      <c r="H83" s="277">
        <f>SUM(H70:H81)</f>
        <v>13664.611872146119</v>
      </c>
      <c r="I83" s="277">
        <f>SUM(I70:I81)</f>
        <v>38401.876712328762</v>
      </c>
      <c r="J83" s="277">
        <f>SUM(J70:J81)</f>
        <v>39531.5</v>
      </c>
      <c r="K83" s="277">
        <f>SUM(K70:K81)</f>
        <v>8219.1780821917819</v>
      </c>
      <c r="L83" s="277">
        <f>SUM(L70:L81)</f>
        <v>0</v>
      </c>
      <c r="M83" s="277">
        <f>SUM(M70:M81)</f>
        <v>0</v>
      </c>
      <c r="N83" s="277">
        <f>SUM(N70:N81)</f>
        <v>398.70319634703196</v>
      </c>
      <c r="O83" s="277">
        <f>SUM(O70:O81)</f>
        <v>3073.0593607305937</v>
      </c>
      <c r="P83" s="277">
        <f>SUM(P70:P81)</f>
        <v>126508.17351598173</v>
      </c>
      <c r="Q83" s="277">
        <f>SUM(Q70:Q81)</f>
        <v>16301.465753424656</v>
      </c>
      <c r="R83" s="277">
        <f>SUM(R70:R81)</f>
        <v>2565.6392694063929</v>
      </c>
      <c r="S83" s="277">
        <f>SUM(S70:S81)</f>
        <v>0</v>
      </c>
      <c r="T83" s="277">
        <f>SUM(T70:T81)</f>
        <v>1369.8630136986301</v>
      </c>
      <c r="U83" s="277">
        <f>SUM(U70:U81)</f>
        <v>740</v>
      </c>
      <c r="V83" s="277">
        <f>SUM(V70:V81)</f>
        <v>0</v>
      </c>
      <c r="W83" s="277">
        <f>SUM(W70:W81)</f>
        <v>0</v>
      </c>
      <c r="X83" s="278">
        <f>SUM(X70:X81)</f>
        <v>645284.70319634699</v>
      </c>
      <c r="Y83" s="278">
        <f>SUM(Y70:Y81)</f>
        <v>0</v>
      </c>
      <c r="Z83" s="278">
        <f>SUM(Z70:Z81)</f>
        <v>5000</v>
      </c>
      <c r="AA83" s="278">
        <f>SUM(AA70:AA81)</f>
        <v>5662.9631963470329</v>
      </c>
      <c r="AB83" s="278">
        <f>SUM(AB70:AB81)</f>
        <v>0</v>
      </c>
      <c r="AC83" s="278">
        <f>SUM(AC70:AC81)</f>
        <v>0</v>
      </c>
      <c r="AD83" s="278">
        <f>SUM(AD70:AD81)</f>
        <v>16363.598173515984</v>
      </c>
      <c r="AE83" s="278">
        <f>SUM(AE70:AE81)</f>
        <v>1448.1232876712329</v>
      </c>
      <c r="AF83" s="278">
        <f>SUM(AF70:AF81)</f>
        <v>12017.110000000001</v>
      </c>
      <c r="AG83" s="278">
        <f>SUM(AG70:AG81)</f>
        <v>0</v>
      </c>
    </row>
    <row r="84" ht="14.25">
      <c r="A84" s="279" t="s">
        <v>112</v>
      </c>
      <c r="B84" s="268">
        <v>4.3799999999999999</v>
      </c>
      <c r="C84" s="268"/>
      <c r="D84" s="268"/>
      <c r="E84" s="280">
        <f>500000/B84</f>
        <v>114155.25114155251</v>
      </c>
    </row>
  </sheetData>
  <mergeCells count="4">
    <mergeCell ref="U1:W1"/>
    <mergeCell ref="U15:W15"/>
    <mergeCell ref="U18:W18"/>
    <mergeCell ref="U32:W3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10" operator="greaterThan" id="{007500A4-00B3-4B84-A0F1-000600F60042}">
            <xm:f>0</xm:f>
            <x14:dxf>
              <font>
                <color rgb="FF006100"/>
              </font>
              <fill>
                <patternFill patternType="solid">
                  <fgColor rgb="FFC6EFCE"/>
                  <bgColor rgb="FFC6EFCE"/>
                </patternFill>
              </fill>
            </x14:dxf>
          </x14:cfRule>
          <xm:sqref>D53:D61 D62 D63 D64</xm:sqref>
        </x14:conditionalFormatting>
        <x14:conditionalFormatting xmlns:xm="http://schemas.microsoft.com/office/excel/2006/main">
          <x14:cfRule type="cellIs" priority="9" operator="lessThan" id="{00040052-00E8-4696-8055-0000000F00E7}">
            <xm:f>0</xm:f>
            <x14:dxf>
              <font>
                <color rgb="FF9C0006"/>
              </font>
              <fill>
                <patternFill patternType="solid">
                  <fgColor rgb="FFFFC7CE"/>
                  <bgColor rgb="FFFFC7CE"/>
                </patternFill>
              </fill>
            </x14:dxf>
          </x14:cfRule>
          <xm:sqref>D53:D61 D62 D63 D64</xm:sqref>
        </x14:conditionalFormatting>
        <x14:conditionalFormatting xmlns:xm="http://schemas.microsoft.com/office/excel/2006/main">
          <x14:cfRule type="cellIs" priority="8" operator="greaterThan" id="{00140073-0040-4725-845D-00AA006C00D8}">
            <xm:f>0</xm:f>
            <x14:dxf>
              <font>
                <color rgb="FF006100"/>
              </font>
              <fill>
                <patternFill patternType="solid">
                  <fgColor rgb="FFC6EFCE"/>
                  <bgColor rgb="FFC6EFCE"/>
                </patternFill>
              </fill>
            </x14:dxf>
          </x14:cfRule>
          <xm:sqref>D36:D47</xm:sqref>
        </x14:conditionalFormatting>
        <x14:conditionalFormatting xmlns:xm="http://schemas.microsoft.com/office/excel/2006/main">
          <x14:cfRule type="cellIs" priority="7" operator="lessThan" id="{00680091-00D5-4926-A18C-00D9001F00DC}">
            <xm:f>0</xm:f>
            <x14:dxf>
              <font>
                <color rgb="FF9C0006"/>
              </font>
              <fill>
                <patternFill patternType="solid">
                  <fgColor rgb="FFFFC7CE"/>
                  <bgColor rgb="FFFFC7CE"/>
                </patternFill>
              </fill>
            </x14:dxf>
          </x14:cfRule>
          <xm:sqref>D36:D47</xm:sqref>
        </x14:conditionalFormatting>
        <x14:conditionalFormatting xmlns:xm="http://schemas.microsoft.com/office/excel/2006/main">
          <x14:cfRule type="cellIs" priority="6" operator="lessThan" id="{003200C5-00EC-4F4A-A9D9-0048009700CB}">
            <xm:f>0</xm:f>
            <x14:dxf>
              <font>
                <color rgb="FF9C0006"/>
              </font>
              <fill>
                <patternFill patternType="solid">
                  <fgColor rgb="FFFFC7CE"/>
                  <bgColor rgb="FFFFC7CE"/>
                </patternFill>
              </fill>
            </x14:dxf>
          </x14:cfRule>
          <xm:sqref>D19:D30</xm:sqref>
        </x14:conditionalFormatting>
        <x14:conditionalFormatting xmlns:xm="http://schemas.microsoft.com/office/excel/2006/main">
          <x14:cfRule type="cellIs" priority="5" operator="greaterThan" id="{00850096-00E9-41AD-8336-009700C500FB}">
            <xm:f>0</xm:f>
            <x14:dxf>
              <font>
                <color rgb="FF006100"/>
              </font>
              <fill>
                <patternFill patternType="solid">
                  <fgColor rgb="FFC6EFCE"/>
                  <bgColor rgb="FFC6EFCE"/>
                </patternFill>
              </fill>
            </x14:dxf>
          </x14:cfRule>
          <xm:sqref>D19:D30</xm:sqref>
        </x14:conditionalFormatting>
        <x14:conditionalFormatting xmlns:xm="http://schemas.microsoft.com/office/excel/2006/main">
          <x14:cfRule type="cellIs" priority="4" operator="greaterThan" id="{005C008F-00E1-4680-A5B6-006E00400056}">
            <xm:f>0</xm:f>
            <x14:dxf>
              <font>
                <color rgb="FF006100"/>
              </font>
              <fill>
                <patternFill patternType="solid">
                  <fgColor rgb="FFC6EFCE"/>
                  <bgColor rgb="FFC6EFCE"/>
                </patternFill>
              </fill>
            </x14:dxf>
          </x14:cfRule>
          <xm:sqref>D2:D13</xm:sqref>
        </x14:conditionalFormatting>
        <x14:conditionalFormatting xmlns:xm="http://schemas.microsoft.com/office/excel/2006/main">
          <x14:cfRule type="cellIs" priority="3" operator="lessThan" id="{0009008F-004D-4E3D-AAC3-00BC00680000}">
            <xm:f>0</xm:f>
            <x14:dxf>
              <font>
                <color rgb="FF9C0006"/>
              </font>
              <fill>
                <patternFill patternType="solid">
                  <fgColor rgb="FFFFC7CE"/>
                  <bgColor rgb="FFFFC7CE"/>
                </patternFill>
              </fill>
            </x14:dxf>
          </x14:cfRule>
          <xm:sqref>D2:D13</xm:sqref>
        </x14:conditionalFormatting>
        <x14:conditionalFormatting xmlns:xm="http://schemas.microsoft.com/office/excel/2006/main">
          <x14:cfRule type="cellIs" priority="2" operator="greaterThan" id="{00BE0061-001D-4CC3-BEC3-005800D700E5}">
            <xm:f>0</xm:f>
            <x14:dxf>
              <font>
                <color rgb="FF006100"/>
              </font>
              <fill>
                <patternFill patternType="solid">
                  <fgColor rgb="FFC6EFCE"/>
                  <bgColor rgb="FFC6EFCE"/>
                </patternFill>
              </fill>
            </x14:dxf>
          </x14:cfRule>
          <xm:sqref>D70 D75 D71 D72 D73 D74 D76 D77 D78 D79 D80 D81</xm:sqref>
        </x14:conditionalFormatting>
        <x14:conditionalFormatting xmlns:xm="http://schemas.microsoft.com/office/excel/2006/main">
          <x14:cfRule type="cellIs" priority="1" operator="lessThan" id="{00380014-00E5-40E2-B4BF-004F00F800E2}">
            <xm:f>0</xm:f>
            <x14:dxf>
              <font>
                <color rgb="FF9C0006"/>
              </font>
              <fill>
                <patternFill patternType="solid">
                  <fgColor rgb="FFFFC7CE"/>
                  <bgColor rgb="FFFFC7CE"/>
                </patternFill>
              </fill>
            </x14:dxf>
          </x14:cfRule>
          <xm:sqref>D70 D75 D71 D72 D73 D74 D76 D77 D78 D79 D80 D81</xm:sqref>
        </x14:conditionalFormatting>
      </x14:conditionalFormattings>
    </ext>
  </extLst>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6" zoomScale="85" workbookViewId="0">
      <selection activeCell="E27" activeCellId="0" sqref="E27"/>
    </sheetView>
  </sheetViews>
  <sheetFormatPr defaultRowHeight="14.25"/>
  <cols>
    <col bestFit="1" customWidth="1" min="2" max="2" width="12.42578125"/>
    <col bestFit="1" customWidth="1" min="3" max="3" width="15.140625"/>
    <col bestFit="1" customWidth="1" min="4" max="4" width="20.140625"/>
    <col customWidth="1" min="5" max="5" width="14"/>
  </cols>
  <sheetData>
    <row r="1">
      <c r="A1" s="281">
        <v>2021</v>
      </c>
      <c r="B1" s="282" t="s">
        <v>113</v>
      </c>
      <c r="C1" s="282" t="s">
        <v>114</v>
      </c>
      <c r="D1" s="282" t="s">
        <v>115</v>
      </c>
      <c r="E1" s="282" t="s">
        <v>96</v>
      </c>
    </row>
    <row r="2">
      <c r="A2" s="5" t="s">
        <v>97</v>
      </c>
      <c r="B2" s="5"/>
      <c r="C2" s="5">
        <f>'Янв `21'!AE67</f>
        <v>20058.540000000001</v>
      </c>
      <c r="D2" s="5">
        <f t="shared" ref="D2:D13" si="151">C2-B2</f>
        <v>20058.540000000001</v>
      </c>
      <c r="E2" s="5">
        <f>'Янв `21'!X61+'Фвр `21'!V43</f>
        <v>23555.380000000001</v>
      </c>
    </row>
    <row r="3">
      <c r="A3" s="5" t="s">
        <v>98</v>
      </c>
      <c r="B3" s="5">
        <f>'Фвр `21'!AL30</f>
        <v>20427.930000000004</v>
      </c>
      <c r="C3" s="5">
        <f>'Фвр `21'!AC61</f>
        <v>40451.380000000005</v>
      </c>
      <c r="D3" s="5">
        <f t="shared" si="151"/>
        <v>20023.450000000001</v>
      </c>
      <c r="E3" s="5">
        <f>'Фвр `21'!V58+'Мрт `21'!V46</f>
        <v>25017.880000000001</v>
      </c>
    </row>
    <row r="4">
      <c r="A4" s="5" t="s">
        <v>99</v>
      </c>
      <c r="B4" s="5"/>
      <c r="C4" s="5">
        <f>'Мрт `21'!AL67</f>
        <v>24200.880000000001</v>
      </c>
      <c r="D4" s="5">
        <f t="shared" si="151"/>
        <v>24200.880000000001</v>
      </c>
      <c r="E4" s="5">
        <f>'Мрт `21'!V61+'Апр `21'!V44</f>
        <v>25666.630000000001</v>
      </c>
    </row>
    <row r="5">
      <c r="A5" s="5" t="s">
        <v>100</v>
      </c>
      <c r="B5" s="5"/>
      <c r="C5" s="5">
        <f>'Апр `21'!AL67</f>
        <v>26224.630000000001</v>
      </c>
      <c r="D5" s="5">
        <f t="shared" si="151"/>
        <v>26224.630000000001</v>
      </c>
      <c r="E5" s="5">
        <f>'Апр `21'!V61+'Май `21'!V46</f>
        <v>25114.200000000001</v>
      </c>
    </row>
    <row r="6">
      <c r="A6" s="5" t="s">
        <v>101</v>
      </c>
      <c r="B6" s="5"/>
      <c r="C6" s="5">
        <f>'Май `21'!AL67</f>
        <v>41001.510000000002</v>
      </c>
      <c r="D6" s="5">
        <f t="shared" si="151"/>
        <v>41001.510000000002</v>
      </c>
      <c r="E6" s="5">
        <f>'Май `21'!V61+'Июнь `21'!V45</f>
        <v>27341.029999999999</v>
      </c>
    </row>
    <row r="7">
      <c r="A7" s="5" t="s">
        <v>102</v>
      </c>
      <c r="B7" s="5"/>
      <c r="C7" s="5">
        <f>'Июнь `21'!AL67</f>
        <v>23612.029999999999</v>
      </c>
      <c r="D7" s="5">
        <f t="shared" si="151"/>
        <v>23612.029999999999</v>
      </c>
      <c r="E7" s="5">
        <f>'Май `21'!V63+'Июнь `21'!V53+'Июль `21'!X44</f>
        <v>33207.389999999999</v>
      </c>
    </row>
    <row r="8">
      <c r="A8" s="5" t="s">
        <v>103</v>
      </c>
      <c r="B8" s="5"/>
      <c r="C8" s="5">
        <f>'Июль `21'!AO67</f>
        <v>22800.919999999998</v>
      </c>
      <c r="D8" s="5">
        <f t="shared" si="151"/>
        <v>22800.919999999998</v>
      </c>
      <c r="E8" s="5">
        <f>'Июль `21'!X58+'Авг `21'!X48</f>
        <v>24372.630000000001</v>
      </c>
    </row>
    <row r="9">
      <c r="A9" s="5" t="s">
        <v>104</v>
      </c>
      <c r="B9" s="5"/>
      <c r="C9" s="5">
        <f>'Авг `21'!AO67</f>
        <v>24015.080000000002</v>
      </c>
      <c r="D9" s="5">
        <f t="shared" si="151"/>
        <v>24015.080000000002</v>
      </c>
      <c r="E9" s="5">
        <f>'Сен `21'!X49</f>
        <v>24872.389999999999</v>
      </c>
    </row>
    <row r="10">
      <c r="A10" s="5" t="s">
        <v>105</v>
      </c>
      <c r="B10" s="5"/>
      <c r="C10" s="5">
        <f>'Сен `21'!AO67</f>
        <v>32736.329999999998</v>
      </c>
      <c r="D10" s="5">
        <f t="shared" si="151"/>
        <v>32736.329999999998</v>
      </c>
      <c r="E10" s="5">
        <f>'Сен `21'!X63+'Окт`21'!X49</f>
        <v>31941.23</v>
      </c>
    </row>
    <row r="11">
      <c r="A11" s="5" t="s">
        <v>106</v>
      </c>
      <c r="B11" s="5"/>
      <c r="C11" s="5">
        <f>'Окт`21'!AO67</f>
        <v>30822.25</v>
      </c>
      <c r="D11" s="5">
        <f t="shared" si="151"/>
        <v>30822.25</v>
      </c>
      <c r="E11" s="5">
        <f>'Окт`21'!X63+'Ноя`21'!X47</f>
        <v>40712.269999999997</v>
      </c>
    </row>
    <row r="12">
      <c r="A12" s="5" t="s">
        <v>107</v>
      </c>
      <c r="B12" s="5"/>
      <c r="C12" s="5">
        <f>'Ноя`21'!AO67</f>
        <v>39762.129999999997</v>
      </c>
      <c r="D12" s="5">
        <f t="shared" si="151"/>
        <v>39762.129999999997</v>
      </c>
      <c r="E12" s="5">
        <f>'Ноя`21'!X61+'Дек`21'!X49</f>
        <v>37984.349999999999</v>
      </c>
    </row>
    <row r="13">
      <c r="A13" s="5" t="s">
        <v>108</v>
      </c>
      <c r="B13" s="5"/>
      <c r="C13" s="5">
        <f>'Дек`21'!AO67</f>
        <v>64966.699999999997</v>
      </c>
      <c r="D13" s="5">
        <f t="shared" si="151"/>
        <v>64966.699999999997</v>
      </c>
      <c r="E13" s="5">
        <f>'Дек`21'!X41+'Дек`21'!X62+'Янв`22'!X49</f>
        <v>37980.059999999998</v>
      </c>
    </row>
    <row r="14">
      <c r="A14" s="5" t="s">
        <v>109</v>
      </c>
      <c r="B14" s="5">
        <f>AVERAGE(B2:B13)</f>
        <v>20427.930000000004</v>
      </c>
      <c r="C14" s="5">
        <f>AVERAGE(C2:C13)</f>
        <v>32554.365000000005</v>
      </c>
      <c r="D14" s="5">
        <f>AVERAGE(D2:D13)</f>
        <v>30852.037500000002</v>
      </c>
      <c r="E14" s="5">
        <f>AVERAGE(E2:E13)</f>
        <v>29813.786666666667</v>
      </c>
    </row>
    <row r="15">
      <c r="A15" s="5" t="s">
        <v>110</v>
      </c>
      <c r="B15" s="5">
        <f>SUM(B2:B13)</f>
        <v>20427.930000000004</v>
      </c>
      <c r="C15" s="5">
        <f>SUM(C2:C13)</f>
        <v>390652.38000000006</v>
      </c>
      <c r="D15" s="5">
        <f>SUM(D2:D13)</f>
        <v>370224.45000000001</v>
      </c>
      <c r="E15" s="5">
        <f>SUM(E2:E13)</f>
        <v>357765.44</v>
      </c>
    </row>
    <row r="18">
      <c r="A18" s="281">
        <v>2022</v>
      </c>
      <c r="B18" s="282" t="s">
        <v>113</v>
      </c>
      <c r="C18" s="282" t="s">
        <v>114</v>
      </c>
      <c r="D18" s="282" t="s">
        <v>115</v>
      </c>
      <c r="E18" s="282" t="s">
        <v>96</v>
      </c>
    </row>
    <row r="19">
      <c r="A19" s="283" t="s">
        <v>97</v>
      </c>
      <c r="B19" s="268"/>
      <c r="C19" s="268">
        <f>'Янв`22'!AO67</f>
        <v>22860.209999999999</v>
      </c>
      <c r="D19" s="268">
        <f t="shared" ref="D19:D27" si="152">C19-B19</f>
        <v>22860.209999999999</v>
      </c>
      <c r="E19" s="284">
        <f>'Янв`22'!X57+'Фвр`22'!X49</f>
        <v>34037.040000000001</v>
      </c>
    </row>
    <row r="20">
      <c r="A20" s="285" t="s">
        <v>98</v>
      </c>
      <c r="B20" s="268"/>
      <c r="C20" s="268">
        <f>'Фвр`22'!AO67</f>
        <v>46050.789999999994</v>
      </c>
      <c r="D20" s="268">
        <f t="shared" si="152"/>
        <v>46050.789999999994</v>
      </c>
      <c r="E20" s="284">
        <f>'Фвр`22'!X63+'Мрт`22'!X49</f>
        <v>31640.309999999998</v>
      </c>
    </row>
    <row r="21">
      <c r="A21" s="283" t="s">
        <v>99</v>
      </c>
      <c r="B21" s="268"/>
      <c r="C21" s="268">
        <f>'Мрт`22'!AO67</f>
        <v>34071.159999999996</v>
      </c>
      <c r="D21" s="268">
        <f t="shared" si="152"/>
        <v>34071.159999999996</v>
      </c>
      <c r="E21" s="284">
        <f>'Мрт`22'!X63+'Апр`22'!X49</f>
        <v>33821.889999999999</v>
      </c>
    </row>
    <row r="22">
      <c r="A22" s="285" t="s">
        <v>100</v>
      </c>
      <c r="B22" s="268"/>
      <c r="C22" s="268">
        <f>'Апр`22'!AO67</f>
        <v>35336.410000000003</v>
      </c>
      <c r="D22" s="268">
        <f t="shared" si="152"/>
        <v>35336.410000000003</v>
      </c>
      <c r="E22" s="284">
        <f>'Апр`22'!X63+'Май`22'!X48</f>
        <v>32233.82</v>
      </c>
    </row>
    <row r="23">
      <c r="A23" s="283" t="s">
        <v>101</v>
      </c>
      <c r="B23" s="268">
        <f>'Май`22'!AO33</f>
        <v>31378.879999999997</v>
      </c>
      <c r="C23" s="268">
        <f>'Май`22'!AO67</f>
        <v>26091.57</v>
      </c>
      <c r="D23" s="268">
        <f t="shared" si="152"/>
        <v>-5287.3099999999977</v>
      </c>
      <c r="E23" s="284">
        <f>'Май`22'!X62+'Июнь`22'!X49</f>
        <v>28125.07</v>
      </c>
    </row>
    <row r="24">
      <c r="A24" s="285" t="s">
        <v>102</v>
      </c>
      <c r="B24" s="268">
        <f>'Июнь`22'!AO33</f>
        <v>45456.589999999997</v>
      </c>
      <c r="C24" s="268">
        <f>'Июнь`22'!AO67</f>
        <v>54263.319999999992</v>
      </c>
      <c r="D24" s="268">
        <f t="shared" si="152"/>
        <v>8806.7299999999959</v>
      </c>
      <c r="E24" s="284">
        <f>'Июнь`22'!X63+'Июль`22'!X49</f>
        <v>25649.52</v>
      </c>
    </row>
    <row r="25">
      <c r="A25" s="283" t="s">
        <v>103</v>
      </c>
      <c r="B25" s="268">
        <f>'Июль`22'!AO33</f>
        <v>16971.799999999999</v>
      </c>
      <c r="C25" s="268">
        <f>'Июль`22'!AO67</f>
        <v>22847.580000000002</v>
      </c>
      <c r="D25" s="268">
        <f t="shared" si="152"/>
        <v>5875.7800000000025</v>
      </c>
      <c r="E25" s="284">
        <f>'Июнь`22'!X62+'Июль`22'!X63+'Авг`22'!X47</f>
        <v>39359.610000000001</v>
      </c>
    </row>
    <row r="26">
      <c r="A26" s="285" t="s">
        <v>104</v>
      </c>
      <c r="B26" s="268">
        <f>'Авг`22'!AO33</f>
        <v>22824.800000000003</v>
      </c>
      <c r="C26" s="268">
        <f>'Авг`22'!AO67</f>
        <v>24557.010000000002</v>
      </c>
      <c r="D26" s="268">
        <f t="shared" si="152"/>
        <v>1732.2099999999991</v>
      </c>
      <c r="E26" s="284">
        <f>'Авг`22'!X61</f>
        <v>8406.6000000000004</v>
      </c>
    </row>
    <row r="27">
      <c r="A27" s="283" t="s">
        <v>105</v>
      </c>
      <c r="B27" s="268">
        <f>'Сен`22'!AO33</f>
        <v>10746.92</v>
      </c>
      <c r="C27" s="268">
        <f>'Сен`22'!AO67</f>
        <v>1800</v>
      </c>
      <c r="D27" s="268">
        <f t="shared" si="152"/>
        <v>-8946.9200000000001</v>
      </c>
      <c r="E27" s="284"/>
    </row>
    <row r="28">
      <c r="A28" s="285" t="s">
        <v>106</v>
      </c>
      <c r="B28" s="268"/>
      <c r="C28" s="268"/>
      <c r="D28" s="268"/>
      <c r="E28" s="284"/>
    </row>
    <row r="29">
      <c r="A29" s="283" t="s">
        <v>107</v>
      </c>
      <c r="B29" s="268"/>
      <c r="C29" s="268"/>
      <c r="D29" s="268"/>
      <c r="E29" s="284"/>
    </row>
    <row r="30">
      <c r="A30" s="285" t="s">
        <v>108</v>
      </c>
      <c r="B30" s="268"/>
      <c r="C30" s="268"/>
      <c r="D30" s="268"/>
      <c r="E30" s="284"/>
    </row>
    <row r="31">
      <c r="A31" s="283" t="s">
        <v>109</v>
      </c>
      <c r="B31" s="286">
        <f>AVERAGE(B19:B30)</f>
        <v>25475.798000000003</v>
      </c>
      <c r="C31" s="286">
        <f>AVERAGE(C19:C30)</f>
        <v>29764.227777777782</v>
      </c>
      <c r="D31" s="286">
        <f>AVERAGE(D19:D30)</f>
        <v>15611.006666666663</v>
      </c>
      <c r="E31" s="287">
        <f>AVERAGE(E19:E30)</f>
        <v>29159.232500000002</v>
      </c>
    </row>
    <row r="32">
      <c r="A32" s="288" t="s">
        <v>110</v>
      </c>
      <c r="B32" s="289">
        <f>SUM(B19:B30)</f>
        <v>127378.99000000001</v>
      </c>
      <c r="C32" s="289">
        <f>SUM(C19:C30)</f>
        <v>267878.05000000005</v>
      </c>
      <c r="D32" s="289">
        <f>C32-B32</f>
        <v>140499.06000000006</v>
      </c>
      <c r="E32" s="289">
        <f>SUM(E19:E31)</f>
        <v>262433.09250000003</v>
      </c>
    </row>
    <row r="35" ht="14.25">
      <c r="A35" s="238">
        <v>2023</v>
      </c>
      <c r="B35" s="131" t="s">
        <v>93</v>
      </c>
      <c r="C35" s="131" t="s">
        <v>94</v>
      </c>
      <c r="D35" s="131" t="s">
        <v>95</v>
      </c>
      <c r="E35" s="131" t="s">
        <v>96</v>
      </c>
    </row>
    <row r="36" ht="14.25">
      <c r="A36" s="264" t="s">
        <v>97</v>
      </c>
      <c r="B36" s="265"/>
      <c r="C36" s="265"/>
      <c r="D36" s="212"/>
      <c r="E36" s="265"/>
    </row>
    <row r="37" ht="14.25">
      <c r="A37" s="268" t="s">
        <v>98</v>
      </c>
      <c r="B37" s="212"/>
      <c r="C37" s="212"/>
      <c r="D37" s="212"/>
      <c r="E37" s="212"/>
    </row>
    <row r="38" ht="14.25">
      <c r="A38" s="264" t="s">
        <v>99</v>
      </c>
      <c r="B38" s="265"/>
      <c r="C38" s="265"/>
      <c r="D38" s="212"/>
      <c r="E38" s="265"/>
    </row>
    <row r="39" ht="14.25">
      <c r="A39" s="268" t="s">
        <v>100</v>
      </c>
      <c r="B39" s="212"/>
      <c r="C39" s="212"/>
      <c r="D39" s="212"/>
      <c r="E39" s="212"/>
    </row>
    <row r="40" ht="14.25">
      <c r="A40" s="264" t="s">
        <v>101</v>
      </c>
      <c r="B40" s="265"/>
      <c r="C40" s="265"/>
      <c r="D40" s="212"/>
      <c r="E40" s="265"/>
    </row>
    <row r="41" ht="14.25">
      <c r="A41" s="268" t="s">
        <v>102</v>
      </c>
      <c r="B41" s="212"/>
      <c r="C41" s="212"/>
      <c r="D41" s="212"/>
      <c r="E41" s="212"/>
    </row>
    <row r="42" ht="14.25">
      <c r="A42" s="264" t="s">
        <v>103</v>
      </c>
      <c r="B42" s="265"/>
      <c r="C42" s="265"/>
      <c r="D42" s="212"/>
      <c r="E42" s="265"/>
    </row>
    <row r="43" ht="14.25">
      <c r="A43" s="268" t="s">
        <v>104</v>
      </c>
      <c r="B43" s="212"/>
      <c r="C43" s="212"/>
      <c r="D43" s="212"/>
      <c r="E43" s="212"/>
    </row>
    <row r="44" ht="14.25">
      <c r="A44" s="264" t="s">
        <v>105</v>
      </c>
      <c r="B44" s="265"/>
      <c r="C44" s="265"/>
      <c r="D44" s="212"/>
      <c r="E44" s="265"/>
    </row>
    <row r="45" ht="14.25">
      <c r="A45" s="268" t="s">
        <v>106</v>
      </c>
      <c r="B45" s="212"/>
      <c r="C45" s="212"/>
      <c r="D45" s="212"/>
      <c r="E45" s="212"/>
    </row>
    <row r="46" ht="14.25">
      <c r="A46" s="264" t="s">
        <v>107</v>
      </c>
      <c r="B46" s="272">
        <f>'Ноя`23'!AP33</f>
        <v>34875.57</v>
      </c>
      <c r="C46" s="265">
        <f>'Ноя`23'!AP67</f>
        <v>83154</v>
      </c>
      <c r="D46" s="212">
        <f t="shared" ref="D46:D47" si="153">C46-B46</f>
        <v>48278.43</v>
      </c>
      <c r="E46" s="265"/>
    </row>
    <row r="47" ht="14.25">
      <c r="A47" s="268" t="s">
        <v>108</v>
      </c>
      <c r="B47" s="268">
        <f>'Дек`23'!AP33</f>
        <v>16517.459999999999</v>
      </c>
      <c r="C47" s="268">
        <f>'Дек`23'!AP67</f>
        <v>2000</v>
      </c>
      <c r="D47" s="212">
        <f t="shared" si="153"/>
        <v>-14517.459999999999</v>
      </c>
      <c r="E47" s="268"/>
    </row>
    <row r="48" ht="14.25">
      <c r="A48" s="264" t="s">
        <v>109</v>
      </c>
      <c r="B48" s="265">
        <f>AVERAGE(B36:B47)</f>
        <v>25696.514999999999</v>
      </c>
      <c r="C48" s="265">
        <f>AVERAGE(C36:C47)</f>
        <v>42577</v>
      </c>
      <c r="D48" s="265">
        <f>AVERAGE(D36:D47)</f>
        <v>16880.485000000001</v>
      </c>
      <c r="E48" s="265" t="e">
        <f>AVERAGE(E36:E47)</f>
        <v>#NUM!</v>
      </c>
    </row>
    <row r="49" ht="14.25">
      <c r="A49" s="275" t="s">
        <v>110</v>
      </c>
      <c r="B49" s="276">
        <f>SUM(B36:B47)</f>
        <v>51393.029999999999</v>
      </c>
      <c r="C49" s="276">
        <f>SUM(C36:C47)</f>
        <v>85154</v>
      </c>
      <c r="D49" s="276">
        <f>SUM(D36:D47)</f>
        <v>33760.970000000001</v>
      </c>
      <c r="E49" s="276">
        <f>SUM(E36:E47)</f>
        <v>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x14:cfRule type="cellIs" priority="4" operator="greaterThan" id="{00640002-0042-4663-824E-00B300820025}">
            <xm:f>0</xm:f>
            <x14:dxf>
              <font>
                <color rgb="FF006100"/>
              </font>
              <fill>
                <patternFill patternType="solid">
                  <fgColor rgb="FFC6EFCE"/>
                  <bgColor rgb="FFC6EFCE"/>
                </patternFill>
              </fill>
            </x14:dxf>
          </x14:cfRule>
          <xm:sqref>D19:D30</xm:sqref>
        </x14:conditionalFormatting>
        <x14:conditionalFormatting xmlns:xm="http://schemas.microsoft.com/office/excel/2006/main">
          <x14:cfRule type="cellIs" priority="3" operator="lessThan" id="{00F100F0-0019-440C-A677-008A00BE00AA}">
            <xm:f>0</xm:f>
            <x14:dxf>
              <font>
                <color rgb="FF9C0006"/>
              </font>
              <fill>
                <patternFill patternType="solid">
                  <fgColor rgb="FFFFC7CE"/>
                  <bgColor rgb="FFFFC7CE"/>
                </patternFill>
              </fill>
            </x14:dxf>
          </x14:cfRule>
          <xm:sqref>D19:D30</xm:sqref>
        </x14:conditionalFormatting>
        <x14:conditionalFormatting xmlns:xm="http://schemas.microsoft.com/office/excel/2006/main">
          <x14:cfRule type="cellIs" priority="2" operator="greaterThan" id="{00490071-0082-4766-9E2B-0020004900F0}">
            <xm:f>0</xm:f>
            <x14:dxf>
              <font>
                <color rgb="FF006100"/>
              </font>
              <fill>
                <patternFill patternType="solid">
                  <fgColor rgb="FFC6EFCE"/>
                  <bgColor rgb="FFC6EFCE"/>
                </patternFill>
              </fill>
            </x14:dxf>
          </x14:cfRule>
          <xm:sqref>D2:D13</xm:sqref>
        </x14:conditionalFormatting>
        <x14:conditionalFormatting xmlns:xm="http://schemas.microsoft.com/office/excel/2006/main">
          <x14:cfRule type="cellIs" priority="2" operator="greaterThan" id="{00CC0094-00ED-49A6-95F4-00D800C1007A}">
            <xm:f>0</xm:f>
            <x14:dxf>
              <font>
                <color rgb="FF006100"/>
              </font>
              <fill>
                <patternFill patternType="solid">
                  <fgColor rgb="FFC6EFCE"/>
                  <bgColor rgb="FFC6EFCE"/>
                </patternFill>
              </fill>
            </x14:dxf>
          </x14:cfRule>
          <xm:sqref>D36 D41 D37 D38 D39 D40 D42 D43 D44 D45 D46 D47</xm:sqref>
        </x14:conditionalFormatting>
        <x14:conditionalFormatting xmlns:xm="http://schemas.microsoft.com/office/excel/2006/main">
          <x14:cfRule type="cellIs" priority="1" operator="lessThan" id="{00330037-0074-4489-A499-00720047006F}">
            <xm:f>0</xm:f>
            <x14:dxf>
              <font>
                <color rgb="FF9C0006"/>
              </font>
              <fill>
                <patternFill patternType="solid">
                  <fgColor rgb="FFFFC7CE"/>
                  <bgColor rgb="FFFFC7CE"/>
                </patternFill>
              </fill>
            </x14:dxf>
          </x14:cfRule>
          <xm:sqref>D2:D13</xm:sqref>
        </x14:conditionalFormatting>
        <x14:conditionalFormatting xmlns:xm="http://schemas.microsoft.com/office/excel/2006/main">
          <x14:cfRule type="cellIs" priority="1" operator="lessThan" id="{00CB0030-000B-41DB-BEA7-001B00C10033}">
            <xm:f>0</xm:f>
            <x14:dxf>
              <font>
                <color rgb="FF9C0006"/>
              </font>
              <fill>
                <patternFill patternType="solid">
                  <fgColor rgb="FFFFC7CE"/>
                  <bgColor rgb="FFFFC7CE"/>
                </patternFill>
              </fill>
            </x14:dxf>
          </x14:cfRule>
          <xm:sqref>D36 D41 D37 D38 D39 D40 D42 D43 D44 D45 D46 D47</xm:sqref>
        </x14:conditionalFormatting>
      </x14:conditionalFormattings>
    </ext>
  </extLst>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D61" zoomScale="100" workbookViewId="0">
      <selection activeCell="C17" activeCellId="0" sqref="C17"/>
    </sheetView>
  </sheetViews>
  <sheetFormatPr defaultRowHeight="14.25"/>
  <cols>
    <col bestFit="1" customWidth="1" min="1" max="1" width="26"/>
    <col bestFit="1" customWidth="1" min="3" max="3" width="11.7109375"/>
    <col customWidth="1" min="5" max="5" width="19.7109375"/>
    <col customWidth="1" min="6" max="6" width="15.28125"/>
    <col customWidth="1" min="7" max="7" width="33.8515625"/>
    <col customWidth="1" min="8" max="8" width="13.57421875"/>
    <col customWidth="1" min="9" max="9" width="17.7109375"/>
    <col bestFit="1" customWidth="1" min="10" max="10" width="15.7109375"/>
    <col bestFit="1" customWidth="1" min="12" max="12" width="11"/>
    <col customWidth="1" min="13" max="13" width="22.00390625"/>
  </cols>
  <sheetData>
    <row r="1">
      <c r="A1" s="49" t="s">
        <v>116</v>
      </c>
      <c r="B1" s="49"/>
      <c r="C1" s="49"/>
      <c r="D1" s="49"/>
    </row>
    <row r="2">
      <c r="A2" t="s">
        <v>117</v>
      </c>
      <c r="B2" t="s">
        <v>118</v>
      </c>
      <c r="C2" t="s">
        <v>119</v>
      </c>
      <c r="D2" t="s">
        <v>120</v>
      </c>
      <c r="J2" s="5" t="s">
        <v>117</v>
      </c>
      <c r="K2" s="5" t="s">
        <v>118</v>
      </c>
      <c r="L2" s="5"/>
    </row>
    <row r="3">
      <c r="B3">
        <f>SUM(B4:B13)</f>
        <v>143045.37649999998</v>
      </c>
      <c r="C3">
        <f>B3/D3</f>
        <v>6.1444455188369487</v>
      </c>
      <c r="D3">
        <f>SUM(D4:D102)</f>
        <v>23280.436950977528</v>
      </c>
      <c r="J3" s="5"/>
      <c r="K3" s="290">
        <f>SUM(K4:K101)</f>
        <v>126237.8156517537</v>
      </c>
      <c r="L3" s="5"/>
    </row>
    <row r="4">
      <c r="A4" s="291">
        <v>43922</v>
      </c>
      <c r="B4">
        <v>150000</v>
      </c>
      <c r="C4">
        <v>78.280000000000001</v>
      </c>
      <c r="D4">
        <f t="shared" ref="D4:D10" si="154">B4/C4</f>
        <v>1916.1982626469085</v>
      </c>
      <c r="J4" s="4">
        <v>44171</v>
      </c>
      <c r="K4" s="5">
        <v>120</v>
      </c>
      <c r="L4" s="5" t="s">
        <v>121</v>
      </c>
    </row>
    <row r="5">
      <c r="A5" s="291">
        <v>44140</v>
      </c>
      <c r="B5">
        <v>50000</v>
      </c>
      <c r="C5">
        <v>77.879999999999995</v>
      </c>
      <c r="D5">
        <f t="shared" si="154"/>
        <v>642.01335387776066</v>
      </c>
      <c r="J5" s="4">
        <v>44171</v>
      </c>
      <c r="K5" s="5">
        <v>2113</v>
      </c>
      <c r="L5" s="5"/>
    </row>
    <row r="6">
      <c r="A6" s="291">
        <v>44144</v>
      </c>
      <c r="B6">
        <v>50000</v>
      </c>
      <c r="C6">
        <v>77.75</v>
      </c>
      <c r="D6">
        <f t="shared" si="154"/>
        <v>643.08681672025727</v>
      </c>
      <c r="J6" s="4">
        <v>44172</v>
      </c>
      <c r="K6" s="5">
        <v>2500</v>
      </c>
      <c r="L6" s="5"/>
    </row>
    <row r="7">
      <c r="A7" s="291">
        <v>44144</v>
      </c>
      <c r="B7">
        <v>50000</v>
      </c>
      <c r="C7">
        <v>77.510000000000005</v>
      </c>
      <c r="D7">
        <f t="shared" si="154"/>
        <v>645.07805444458779</v>
      </c>
      <c r="J7" s="4">
        <v>44175</v>
      </c>
      <c r="K7" s="5">
        <v>8000</v>
      </c>
      <c r="L7" s="5"/>
    </row>
    <row r="8">
      <c r="A8" s="291">
        <v>44144</v>
      </c>
      <c r="B8">
        <v>50000</v>
      </c>
      <c r="C8">
        <v>76.659999999999997</v>
      </c>
      <c r="D8">
        <f t="shared" si="154"/>
        <v>652.2306287503261</v>
      </c>
      <c r="J8" s="4">
        <v>44175</v>
      </c>
      <c r="K8" s="5">
        <f>40.33+378.9+56.47+279.38+573.87+1635.1+232.5</f>
        <v>3196.5499999999997</v>
      </c>
      <c r="L8" s="5" t="s">
        <v>122</v>
      </c>
    </row>
    <row r="9">
      <c r="A9" s="291">
        <v>44160</v>
      </c>
      <c r="B9">
        <v>15000</v>
      </c>
      <c r="C9">
        <v>76.390000000000001</v>
      </c>
      <c r="D9">
        <f t="shared" si="154"/>
        <v>196.36078020683334</v>
      </c>
      <c r="J9" s="4">
        <v>44183</v>
      </c>
      <c r="K9" s="5">
        <v>300</v>
      </c>
      <c r="L9" s="5"/>
    </row>
    <row r="10">
      <c r="A10" s="291">
        <v>44239</v>
      </c>
      <c r="B10">
        <v>45000</v>
      </c>
      <c r="C10">
        <v>74.560000000000002</v>
      </c>
      <c r="D10">
        <f t="shared" si="154"/>
        <v>603.54077253218884</v>
      </c>
      <c r="J10" s="4">
        <v>44188</v>
      </c>
      <c r="K10" s="5">
        <v>300</v>
      </c>
      <c r="L10" s="5"/>
    </row>
    <row r="11">
      <c r="A11" s="291">
        <v>44244</v>
      </c>
      <c r="B11">
        <f t="shared" ref="B11:B13" si="155">(D11*C11)</f>
        <v>-36981.150000000001</v>
      </c>
      <c r="C11">
        <v>73.230000000000004</v>
      </c>
      <c r="D11">
        <f>505*-1</f>
        <v>-505</v>
      </c>
      <c r="J11" s="4">
        <v>44194</v>
      </c>
      <c r="K11" s="5">
        <v>2000</v>
      </c>
      <c r="L11" s="5"/>
    </row>
    <row r="12">
      <c r="B12" s="31">
        <f t="shared" si="155"/>
        <v>-87499.755000000005</v>
      </c>
      <c r="C12">
        <v>72.780000000000001</v>
      </c>
      <c r="D12">
        <v>-1202.25</v>
      </c>
      <c r="J12" s="4">
        <v>44195</v>
      </c>
      <c r="K12" s="5">
        <v>6001</v>
      </c>
      <c r="L12" s="5"/>
    </row>
    <row r="13">
      <c r="A13" s="291">
        <v>44587</v>
      </c>
      <c r="B13" s="31">
        <f t="shared" si="155"/>
        <v>-142473.71849999999</v>
      </c>
      <c r="C13">
        <v>79.349999999999994</v>
      </c>
      <c r="D13">
        <v>-1795.51</v>
      </c>
      <c r="J13" s="4">
        <v>44197</v>
      </c>
      <c r="K13" s="5"/>
      <c r="L13" s="5"/>
    </row>
    <row r="14">
      <c r="J14" s="4">
        <v>44201</v>
      </c>
      <c r="K14" s="5">
        <v>5048.8000000000002</v>
      </c>
      <c r="L14" s="5" t="s">
        <v>121</v>
      </c>
    </row>
    <row r="15">
      <c r="J15" s="4">
        <v>44203</v>
      </c>
      <c r="K15" s="5">
        <v>1000</v>
      </c>
      <c r="L15" s="5"/>
    </row>
    <row r="16">
      <c r="J16" s="4">
        <v>44211</v>
      </c>
      <c r="K16" s="5">
        <f>128.6-17</f>
        <v>111.59999999999999</v>
      </c>
      <c r="L16" s="5" t="s">
        <v>123</v>
      </c>
    </row>
    <row r="17">
      <c r="J17" s="4">
        <v>44223</v>
      </c>
      <c r="K17" s="5">
        <v>2000</v>
      </c>
      <c r="L17" s="5"/>
    </row>
    <row r="18">
      <c r="J18" s="4">
        <v>44223</v>
      </c>
      <c r="K18" s="5">
        <v>400</v>
      </c>
      <c r="L18" s="5"/>
      <c r="Q18">
        <v>153.25</v>
      </c>
      <c r="R18">
        <v>78.409999999999997</v>
      </c>
      <c r="S18">
        <f>Q18*R18</f>
        <v>12016.332499999999</v>
      </c>
    </row>
    <row r="19">
      <c r="J19" s="4">
        <v>44224</v>
      </c>
      <c r="K19" s="5">
        <f>239.1-31</f>
        <v>208.09999999999999</v>
      </c>
      <c r="L19" s="5" t="s">
        <v>123</v>
      </c>
    </row>
    <row r="20">
      <c r="A20" t="s">
        <v>124</v>
      </c>
      <c r="B20" s="107">
        <v>765759</v>
      </c>
      <c r="D20" s="107">
        <v>9472</v>
      </c>
      <c r="F20" t="s">
        <v>125</v>
      </c>
      <c r="G20" t="s">
        <v>126</v>
      </c>
      <c r="J20" s="4">
        <v>44230</v>
      </c>
      <c r="K20" s="5">
        <v>2001</v>
      </c>
      <c r="L20" s="5"/>
    </row>
    <row r="21">
      <c r="A21" t="s">
        <v>127</v>
      </c>
      <c r="B21">
        <v>16115.4</v>
      </c>
      <c r="C21">
        <v>89.530000000000001</v>
      </c>
      <c r="D21" s="292">
        <f t="shared" ref="D21:D30" si="156">B21/C21</f>
        <v>180</v>
      </c>
      <c r="F21">
        <v>93</v>
      </c>
      <c r="G21">
        <v>82</v>
      </c>
      <c r="J21" s="4">
        <v>44232</v>
      </c>
      <c r="K21" s="5">
        <f>108.96+52.5+1067</f>
        <v>1228.46</v>
      </c>
      <c r="L21" s="5" t="s">
        <v>121</v>
      </c>
    </row>
    <row r="22">
      <c r="A22" t="s">
        <v>127</v>
      </c>
      <c r="B22">
        <v>16978</v>
      </c>
      <c r="C22">
        <v>84.890000000000001</v>
      </c>
      <c r="D22" s="292">
        <f t="shared" si="156"/>
        <v>200</v>
      </c>
      <c r="J22" s="4">
        <v>44232</v>
      </c>
      <c r="K22" s="5">
        <v>829</v>
      </c>
      <c r="L22" s="5" t="s">
        <v>121</v>
      </c>
    </row>
    <row r="23">
      <c r="A23" t="s">
        <v>127</v>
      </c>
      <c r="B23">
        <v>47900</v>
      </c>
      <c r="C23">
        <v>84.030000000000001</v>
      </c>
      <c r="D23" s="292">
        <f t="shared" si="156"/>
        <v>570.03451148399381</v>
      </c>
      <c r="J23" s="4">
        <v>44253</v>
      </c>
      <c r="K23" s="5">
        <v>77003</v>
      </c>
      <c r="L23" s="5"/>
    </row>
    <row r="24">
      <c r="A24" t="s">
        <v>127</v>
      </c>
      <c r="B24">
        <v>50000</v>
      </c>
      <c r="C24">
        <v>83.920000000000002</v>
      </c>
      <c r="D24" s="292">
        <f t="shared" si="156"/>
        <v>595.80552907530978</v>
      </c>
      <c r="J24" s="4">
        <v>44232</v>
      </c>
      <c r="K24" s="5">
        <v>1975.47</v>
      </c>
      <c r="L24" s="5" t="s">
        <v>55</v>
      </c>
    </row>
    <row r="25">
      <c r="A25" t="s">
        <v>127</v>
      </c>
      <c r="B25">
        <v>50000</v>
      </c>
      <c r="C25">
        <v>83.540000000000006</v>
      </c>
      <c r="D25" s="292">
        <f t="shared" si="156"/>
        <v>598.51568111084509</v>
      </c>
      <c r="J25" s="4">
        <v>44267</v>
      </c>
      <c r="K25" s="5">
        <f>0.35*73</f>
        <v>25.549999999999997</v>
      </c>
      <c r="L25" s="5" t="s">
        <v>123</v>
      </c>
    </row>
    <row r="26">
      <c r="A26" t="s">
        <v>127</v>
      </c>
      <c r="B26">
        <v>1500</v>
      </c>
      <c r="C26">
        <v>81.25</v>
      </c>
      <c r="D26" s="292">
        <f t="shared" si="156"/>
        <v>18.46153846153846</v>
      </c>
      <c r="J26" s="4">
        <v>44264</v>
      </c>
      <c r="K26" s="5">
        <f>0.1*73</f>
        <v>7.3000000000000007</v>
      </c>
      <c r="L26" s="5" t="s">
        <v>123</v>
      </c>
    </row>
    <row r="27">
      <c r="A27" t="s">
        <v>127</v>
      </c>
      <c r="B27">
        <v>800</v>
      </c>
      <c r="C27">
        <v>83.75</v>
      </c>
      <c r="D27" s="292">
        <f t="shared" si="156"/>
        <v>9.5522388059701484</v>
      </c>
      <c r="J27" s="4">
        <v>44291</v>
      </c>
      <c r="K27" s="5">
        <v>190.44999999999999</v>
      </c>
      <c r="L27" s="5" t="s">
        <v>55</v>
      </c>
    </row>
    <row r="28">
      <c r="A28" t="s">
        <v>127</v>
      </c>
      <c r="B28">
        <v>1500</v>
      </c>
      <c r="C28">
        <v>84.769999999999996</v>
      </c>
      <c r="D28" s="292">
        <f t="shared" si="156"/>
        <v>17.694939247375252</v>
      </c>
      <c r="J28" s="4">
        <v>44300</v>
      </c>
      <c r="K28" s="5">
        <f>0.63*75</f>
        <v>47.25</v>
      </c>
      <c r="L28" s="5" t="s">
        <v>123</v>
      </c>
    </row>
    <row r="29">
      <c r="A29" t="s">
        <v>127</v>
      </c>
      <c r="B29">
        <v>1000</v>
      </c>
      <c r="C29">
        <v>84.790000000000006</v>
      </c>
      <c r="D29" s="292">
        <f t="shared" si="156"/>
        <v>11.793843613633681</v>
      </c>
      <c r="J29" s="293">
        <v>44321</v>
      </c>
      <c r="K29" s="23">
        <f>'Май `21'!E39+'Май `21'!I39</f>
        <v>786.63</v>
      </c>
      <c r="L29" s="23" t="s">
        <v>121</v>
      </c>
    </row>
    <row r="30">
      <c r="A30" s="31"/>
      <c r="B30" s="31">
        <v>60182.459999999999</v>
      </c>
      <c r="C30" s="31">
        <v>78</v>
      </c>
      <c r="D30" s="292">
        <f t="shared" si="156"/>
        <v>771.56999999999994</v>
      </c>
      <c r="J30" s="293"/>
      <c r="K30" s="23"/>
      <c r="L30" s="23"/>
    </row>
    <row r="31">
      <c r="D31">
        <v>25.68</v>
      </c>
      <c r="E31">
        <v>342</v>
      </c>
      <c r="J31" s="293">
        <v>44322</v>
      </c>
      <c r="K31" s="23">
        <v>3500</v>
      </c>
      <c r="L31" s="23"/>
    </row>
    <row r="32">
      <c r="A32" t="s">
        <v>128</v>
      </c>
      <c r="D32" s="292">
        <v>-1100.4200000000001</v>
      </c>
      <c r="J32" s="4">
        <v>44337</v>
      </c>
      <c r="K32" s="5">
        <f>0.39*74</f>
        <v>28.859999999999999</v>
      </c>
      <c r="L32" s="5" t="s">
        <v>123</v>
      </c>
    </row>
    <row r="33">
      <c r="A33" t="s">
        <v>129</v>
      </c>
      <c r="B33">
        <v>24966</v>
      </c>
      <c r="D33">
        <v>342</v>
      </c>
      <c r="E33">
        <v>-300</v>
      </c>
      <c r="J33" s="4">
        <v>44352</v>
      </c>
      <c r="K33" s="5">
        <v>1665.1500000000001</v>
      </c>
      <c r="L33" s="5" t="s">
        <v>121</v>
      </c>
      <c r="O33">
        <f>(3028.57+12+5300)</f>
        <v>8340.5699999999997</v>
      </c>
    </row>
    <row r="34">
      <c r="E34">
        <v>300</v>
      </c>
      <c r="J34" s="4">
        <v>44355</v>
      </c>
      <c r="K34" s="5">
        <f>0.29*73</f>
        <v>21.169999999999998</v>
      </c>
      <c r="L34" s="5" t="s">
        <v>123</v>
      </c>
    </row>
    <row r="35">
      <c r="J35" s="293">
        <v>44370</v>
      </c>
      <c r="K35" s="23">
        <f>0.69*72.74</f>
        <v>50.190599999999989</v>
      </c>
      <c r="L35" s="23" t="s">
        <v>123</v>
      </c>
    </row>
    <row r="36">
      <c r="J36" s="4">
        <v>44382</v>
      </c>
      <c r="K36" s="5">
        <v>2003.3399999999999</v>
      </c>
      <c r="L36" s="5" t="s">
        <v>55</v>
      </c>
    </row>
    <row r="37">
      <c r="J37" s="293">
        <v>44383</v>
      </c>
      <c r="K37" s="23">
        <f>0.22*73.45</f>
        <v>16.159000000000002</v>
      </c>
      <c r="L37" s="23" t="s">
        <v>123</v>
      </c>
    </row>
    <row r="38">
      <c r="J38" s="293">
        <v>44415</v>
      </c>
      <c r="K38" s="23">
        <f>804.77+388</f>
        <v>1192.77</v>
      </c>
      <c r="L38" s="23" t="s">
        <v>130</v>
      </c>
    </row>
    <row r="39">
      <c r="J39" s="4">
        <v>44424</v>
      </c>
      <c r="K39" s="5">
        <v>57</v>
      </c>
      <c r="L39" s="5" t="s">
        <v>55</v>
      </c>
    </row>
    <row r="40">
      <c r="J40" s="4">
        <v>44425</v>
      </c>
      <c r="K40" s="5">
        <v>38</v>
      </c>
      <c r="L40" s="5" t="s">
        <v>55</v>
      </c>
    </row>
    <row r="41">
      <c r="A41" t="s">
        <v>131</v>
      </c>
      <c r="B41">
        <f>SUM(B21:B40)</f>
        <v>270941.85999999999</v>
      </c>
      <c r="D41">
        <f>SUM(D21:D40)</f>
        <v>2240.6882817986666</v>
      </c>
      <c r="J41" s="4">
        <v>44432</v>
      </c>
      <c r="K41" s="5">
        <f>0.39*73</f>
        <v>28.470000000000002</v>
      </c>
      <c r="L41" s="5" t="s">
        <v>123</v>
      </c>
    </row>
    <row r="42">
      <c r="A42" t="s">
        <v>132</v>
      </c>
      <c r="B42">
        <f>B20-B41</f>
        <v>494817.14000000001</v>
      </c>
      <c r="D42">
        <f>D20-D41</f>
        <v>7231.3117182013339</v>
      </c>
      <c r="J42" s="4">
        <v>44447</v>
      </c>
      <c r="K42" s="5">
        <f>0.29*73</f>
        <v>21.169999999999998</v>
      </c>
      <c r="L42" s="5" t="s">
        <v>123</v>
      </c>
    </row>
    <row r="43">
      <c r="A43" t="s">
        <v>133</v>
      </c>
      <c r="B43">
        <f>D43*G21</f>
        <v>24600</v>
      </c>
      <c r="D43">
        <v>300</v>
      </c>
      <c r="J43" s="4">
        <v>44462</v>
      </c>
      <c r="K43" s="5">
        <f>0.16*73</f>
        <v>11.68</v>
      </c>
      <c r="L43" s="5" t="s">
        <v>123</v>
      </c>
    </row>
    <row r="44">
      <c r="A44" t="s">
        <v>134</v>
      </c>
      <c r="B44" s="31">
        <f>D42*F21+B43</f>
        <v>697111.98979272402</v>
      </c>
      <c r="J44" s="293">
        <v>44463</v>
      </c>
      <c r="K44" s="23">
        <f>0.65*73</f>
        <v>47.450000000000003</v>
      </c>
      <c r="L44" s="23" t="s">
        <v>123</v>
      </c>
    </row>
    <row r="45">
      <c r="A45" t="s">
        <v>135</v>
      </c>
      <c r="B45">
        <f>(B41+B43+B44)-B20</f>
        <v>226894.84979272401</v>
      </c>
      <c r="J45" s="294">
        <v>44516</v>
      </c>
      <c r="K45" s="268">
        <f>0.4*72</f>
        <v>28.800000000000001</v>
      </c>
      <c r="L45" s="268" t="s">
        <v>123</v>
      </c>
    </row>
    <row r="46">
      <c r="J46" s="294">
        <v>44522</v>
      </c>
      <c r="K46" s="268">
        <f>0.4*73</f>
        <v>29.200000000000003</v>
      </c>
      <c r="L46" s="268" t="s">
        <v>123</v>
      </c>
    </row>
    <row r="47">
      <c r="A47" s="31"/>
      <c r="D47" s="107"/>
      <c r="J47" s="294">
        <v>44526</v>
      </c>
      <c r="K47" s="268">
        <f>0.11*73</f>
        <v>8.0299999999999994</v>
      </c>
      <c r="L47" s="268" t="s">
        <v>123</v>
      </c>
    </row>
    <row r="48">
      <c r="D48" s="31"/>
      <c r="J48" s="294">
        <v>44540</v>
      </c>
      <c r="K48" s="268">
        <f>0.27*73</f>
        <v>19.710000000000001</v>
      </c>
      <c r="L48" s="268" t="s">
        <v>123</v>
      </c>
    </row>
    <row r="49">
      <c r="D49" s="31"/>
      <c r="J49" s="294">
        <v>44544</v>
      </c>
      <c r="K49" s="268">
        <f>0.68*73</f>
        <v>49.640000000000001</v>
      </c>
      <c r="L49" s="268" t="s">
        <v>123</v>
      </c>
    </row>
    <row r="50">
      <c r="D50" s="31"/>
    </row>
    <row r="51">
      <c r="D51" s="31"/>
    </row>
    <row r="52">
      <c r="D52" s="31"/>
    </row>
    <row r="53">
      <c r="D53" s="31"/>
    </row>
    <row r="54">
      <c r="D54" s="31"/>
    </row>
    <row r="55">
      <c r="D55" s="31"/>
      <c r="M55" s="295" t="s">
        <v>136</v>
      </c>
      <c r="N55" s="296">
        <v>881500</v>
      </c>
    </row>
    <row r="56">
      <c r="D56" s="31"/>
      <c r="F56">
        <f>640+7+16+78</f>
        <v>741</v>
      </c>
      <c r="M56" s="297" t="s">
        <v>137</v>
      </c>
      <c r="N56" s="298">
        <v>4.3799999999999999</v>
      </c>
    </row>
    <row r="57">
      <c r="D57" s="31"/>
      <c r="F57">
        <f>1307396/5.11</f>
        <v>255850.4892367906</v>
      </c>
      <c r="M57" s="297" t="s">
        <v>138</v>
      </c>
      <c r="N57" s="298">
        <v>410</v>
      </c>
    </row>
    <row r="58">
      <c r="D58" s="31"/>
      <c r="M58" s="297" t="s">
        <v>139</v>
      </c>
      <c r="N58" s="298">
        <v>95.159999999999997</v>
      </c>
    </row>
    <row r="59">
      <c r="D59" s="31"/>
      <c r="E59" t="s">
        <v>140</v>
      </c>
      <c r="F59" t="s">
        <v>141</v>
      </c>
      <c r="G59" t="s">
        <v>142</v>
      </c>
      <c r="H59" t="s">
        <v>143</v>
      </c>
      <c r="I59" t="s">
        <v>142</v>
      </c>
      <c r="J59" t="s">
        <v>144</v>
      </c>
      <c r="K59" t="s">
        <v>145</v>
      </c>
      <c r="M59" s="297" t="s">
        <v>146</v>
      </c>
      <c r="N59" s="298">
        <f>G66</f>
        <v>201255.70776255708</v>
      </c>
    </row>
    <row r="60">
      <c r="D60" s="31" t="s">
        <v>147</v>
      </c>
      <c r="E60">
        <v>393.55000000000001</v>
      </c>
      <c r="F60">
        <v>60.090000000000003</v>
      </c>
      <c r="G60">
        <f>(E60*F60)/4.75</f>
        <v>4978.6146315789483</v>
      </c>
      <c r="H60">
        <v>83.299999999999997</v>
      </c>
      <c r="I60">
        <f t="shared" ref="I60:I61" si="157">H60*F60</f>
        <v>5005.4970000000003</v>
      </c>
      <c r="J60">
        <f t="shared" ref="J60:J61" si="158">I60/G60</f>
        <v>1.0053995680345571</v>
      </c>
      <c r="K60">
        <f>I60-G60</f>
        <v>26.882368421051979</v>
      </c>
      <c r="M60" s="297" t="s">
        <v>148</v>
      </c>
      <c r="N60" s="298">
        <f>I64</f>
        <v>204594</v>
      </c>
    </row>
    <row r="61">
      <c r="D61" s="31" t="s">
        <v>149</v>
      </c>
      <c r="E61">
        <v>400</v>
      </c>
      <c r="F61">
        <v>1</v>
      </c>
      <c r="G61">
        <f>(E61*F61)/5.11</f>
        <v>78.277886497064571</v>
      </c>
      <c r="H61">
        <v>79.090000000000003</v>
      </c>
      <c r="I61">
        <f t="shared" si="157"/>
        <v>79.090000000000003</v>
      </c>
      <c r="J61">
        <f t="shared" si="158"/>
        <v>1.0103747500000002</v>
      </c>
      <c r="M61" s="299" t="s">
        <v>150</v>
      </c>
      <c r="N61" s="300">
        <f>N60-N59</f>
        <v>3338.2922374429181</v>
      </c>
    </row>
    <row r="62">
      <c r="D62" s="31"/>
    </row>
    <row r="63">
      <c r="D63" s="295"/>
      <c r="E63" s="301" t="s">
        <v>136</v>
      </c>
      <c r="F63" s="301" t="s">
        <v>151</v>
      </c>
      <c r="G63" s="301" t="s">
        <v>152</v>
      </c>
      <c r="H63" s="301" t="s">
        <v>153</v>
      </c>
      <c r="I63" s="301" t="s">
        <v>154</v>
      </c>
      <c r="J63" s="301" t="s">
        <v>155</v>
      </c>
      <c r="K63" s="296" t="s">
        <v>156</v>
      </c>
      <c r="M63" s="295" t="s">
        <v>157</v>
      </c>
      <c r="N63" s="296">
        <v>46000</v>
      </c>
    </row>
    <row r="64">
      <c r="D64" s="297" t="s">
        <v>158</v>
      </c>
      <c r="E64">
        <f>N55</f>
        <v>881500</v>
      </c>
      <c r="F64" s="302">
        <f>N57</f>
        <v>410</v>
      </c>
      <c r="G64">
        <f>E64/F64</f>
        <v>2150</v>
      </c>
      <c r="H64" s="302">
        <f>N58</f>
        <v>95.159999999999997</v>
      </c>
      <c r="I64">
        <f>G64*H64</f>
        <v>204594</v>
      </c>
      <c r="J64">
        <f>E64/I64</f>
        <v>4.3085329970575872</v>
      </c>
      <c r="K64" s="298">
        <f>J64/J65</f>
        <v>0.98368333266154961</v>
      </c>
      <c r="M64" s="297" t="s">
        <v>139</v>
      </c>
      <c r="N64" s="298">
        <v>95.469999999999999</v>
      </c>
    </row>
    <row r="65">
      <c r="D65" s="297"/>
      <c r="E65" t="s">
        <v>136</v>
      </c>
      <c r="F65" t="s">
        <v>159</v>
      </c>
      <c r="G65" t="s">
        <v>160</v>
      </c>
      <c r="I65" t="s">
        <v>161</v>
      </c>
      <c r="J65">
        <f>N56</f>
        <v>4.3799999999999999</v>
      </c>
      <c r="K65" s="298"/>
      <c r="M65" s="297" t="s">
        <v>162</v>
      </c>
      <c r="N65" s="298">
        <v>409.49000000000001</v>
      </c>
    </row>
    <row r="66">
      <c r="D66" s="299" t="s">
        <v>163</v>
      </c>
      <c r="E66" s="303">
        <f>N55</f>
        <v>881500</v>
      </c>
      <c r="F66" s="303">
        <f>N56</f>
        <v>4.3799999999999999</v>
      </c>
      <c r="G66" s="303">
        <f>E66/F66</f>
        <v>201255.70776255708</v>
      </c>
      <c r="H66" s="303"/>
      <c r="I66" s="303"/>
      <c r="J66" s="303"/>
      <c r="K66" s="300"/>
      <c r="M66" s="297" t="s">
        <v>137</v>
      </c>
      <c r="N66" s="298">
        <v>4.3799999999999999</v>
      </c>
    </row>
    <row r="67">
      <c r="D67" s="31">
        <f>SUM(D48:D66)</f>
        <v>0</v>
      </c>
      <c r="M67" s="297" t="s">
        <v>164</v>
      </c>
      <c r="N67" s="298">
        <f>I70</f>
        <v>197303.23661883315</v>
      </c>
    </row>
    <row r="68">
      <c r="D68" s="31">
        <f>D47-D67</f>
        <v>0</v>
      </c>
      <c r="M68" s="297" t="s">
        <v>165</v>
      </c>
      <c r="N68" s="298">
        <f>G72</f>
        <v>201480</v>
      </c>
    </row>
    <row r="69" ht="14.25">
      <c r="E69" t="s">
        <v>157</v>
      </c>
      <c r="F69" t="s">
        <v>166</v>
      </c>
      <c r="G69" t="s">
        <v>167</v>
      </c>
      <c r="H69" t="s">
        <v>168</v>
      </c>
      <c r="I69" t="s">
        <v>136</v>
      </c>
      <c r="M69" s="299" t="s">
        <v>150</v>
      </c>
      <c r="N69" s="300">
        <f>N68-N67</f>
        <v>4176.7633811668493</v>
      </c>
      <c r="O69" t="s">
        <v>169</v>
      </c>
    </row>
    <row r="70" ht="14.25">
      <c r="E70">
        <f>N63</f>
        <v>46000</v>
      </c>
      <c r="F70">
        <f>N64</f>
        <v>95.469999999999999</v>
      </c>
      <c r="G70">
        <f>E70/F70</f>
        <v>481.82675185922278</v>
      </c>
      <c r="H70">
        <f>N65</f>
        <v>409.49000000000001</v>
      </c>
      <c r="I70">
        <f>G70*H70</f>
        <v>197303.23661883315</v>
      </c>
    </row>
    <row r="71" ht="14.25">
      <c r="E71" t="s">
        <v>157</v>
      </c>
      <c r="F71" t="s">
        <v>159</v>
      </c>
      <c r="G71" t="s">
        <v>170</v>
      </c>
    </row>
    <row r="72" ht="14.25">
      <c r="E72">
        <f>N63</f>
        <v>46000</v>
      </c>
      <c r="F72">
        <f>N66</f>
        <v>4.3799999999999999</v>
      </c>
      <c r="G72">
        <f>E72*F72</f>
        <v>201480</v>
      </c>
    </row>
    <row r="73" ht="14.25"/>
    <row r="74" ht="14.25"/>
    <row r="75" ht="14.25"/>
    <row r="76" ht="14.25"/>
    <row r="77" ht="14.25"/>
    <row r="78" ht="14.25"/>
    <row r="79" ht="14.25"/>
    <row r="80" ht="14.25">
      <c r="F80">
        <f>5000+40+2400+700+1800</f>
        <v>9940</v>
      </c>
    </row>
    <row r="81" ht="14.25"/>
    <row r="82" ht="14.25">
      <c r="E82" t="s">
        <v>171</v>
      </c>
      <c r="F82" t="s">
        <v>172</v>
      </c>
      <c r="G82" t="s">
        <v>173</v>
      </c>
      <c r="H82" t="s">
        <v>174</v>
      </c>
      <c r="I82" t="s">
        <v>175</v>
      </c>
      <c r="J82" t="s">
        <v>174</v>
      </c>
    </row>
    <row r="83" ht="14.25">
      <c r="A83" t="s">
        <v>176</v>
      </c>
      <c r="B83">
        <f>78384.49+29304.09</f>
        <v>107688.58</v>
      </c>
      <c r="C83">
        <f>78384.49+29304.09</f>
        <v>107688.58</v>
      </c>
      <c r="E83" s="126" t="s">
        <v>176</v>
      </c>
      <c r="F83" s="126">
        <f>324552+58000+30000+46000+35000+205000+11700</f>
        <v>710252</v>
      </c>
      <c r="G83" s="126">
        <f>F83</f>
        <v>710252</v>
      </c>
      <c r="H83">
        <f>G83/G87</f>
        <v>0.44521264085667128</v>
      </c>
      <c r="I83">
        <f>G83/91.58</f>
        <v>7755.5361432627215</v>
      </c>
      <c r="J83">
        <f>I83/I87</f>
        <v>0.60516673329659321</v>
      </c>
    </row>
    <row r="84" ht="14.25">
      <c r="A84" t="s">
        <v>177</v>
      </c>
      <c r="B84">
        <f>22385+3146+1548152</f>
        <v>1573683</v>
      </c>
      <c r="C84">
        <f>B84/4.74</f>
        <v>332000.63291139237</v>
      </c>
      <c r="E84" s="126" t="s">
        <v>177</v>
      </c>
      <c r="F84" s="126">
        <v>0</v>
      </c>
      <c r="G84" s="126">
        <f>F84/'Сводная таблица'!B84</f>
        <v>0</v>
      </c>
      <c r="H84">
        <f>G84/G87</f>
        <v>0</v>
      </c>
      <c r="I84">
        <f>F84/387</f>
        <v>0</v>
      </c>
      <c r="J84">
        <f>I84/I87</f>
        <v>0</v>
      </c>
    </row>
    <row r="85" ht="14.25">
      <c r="A85" t="s">
        <v>178</v>
      </c>
      <c r="B85">
        <v>300</v>
      </c>
      <c r="C85">
        <f>89.7*B85</f>
        <v>26910</v>
      </c>
      <c r="E85" s="126" t="s">
        <v>178</v>
      </c>
      <c r="F85" s="126">
        <v>0</v>
      </c>
      <c r="G85" s="126">
        <f>107*F85</f>
        <v>0</v>
      </c>
      <c r="H85">
        <f>G85/G87</f>
        <v>0</v>
      </c>
    </row>
    <row r="86" ht="14.25">
      <c r="A86" t="s">
        <v>179</v>
      </c>
      <c r="B86">
        <f>8028+60</f>
        <v>8088</v>
      </c>
      <c r="C86">
        <f>B86*81.7</f>
        <v>660789.59999999998</v>
      </c>
      <c r="E86" s="126" t="s">
        <v>180</v>
      </c>
      <c r="F86" s="126">
        <v>9940</v>
      </c>
      <c r="G86" s="126">
        <f>F86*89.04</f>
        <v>885057.60000000009</v>
      </c>
      <c r="H86">
        <f>G86/G87</f>
        <v>0.55478735914332866</v>
      </c>
      <c r="I86">
        <v>5060</v>
      </c>
      <c r="J86">
        <f>I86/I87</f>
        <v>0.39483326670340685</v>
      </c>
    </row>
    <row r="87" ht="14.25">
      <c r="C87">
        <f>SUM(C83:C86)</f>
        <v>1127388.8129113924</v>
      </c>
      <c r="E87" s="126" t="s">
        <v>14</v>
      </c>
      <c r="F87" s="126"/>
      <c r="G87" s="304">
        <f>SUM(G83:G86)</f>
        <v>1595309.6000000001</v>
      </c>
      <c r="I87">
        <f>SUM(I83:I86)</f>
        <v>12815.536143262721</v>
      </c>
    </row>
    <row r="107" ht="14.25"/>
    <row r="108" ht="14.25"/>
    <row r="109" ht="14.25"/>
    <row r="110" ht="14.25">
      <c r="E110" s="302"/>
    </row>
    <row r="111" ht="14.25">
      <c r="E111" s="302"/>
    </row>
    <row r="112" ht="14.25">
      <c r="E112" s="302"/>
      <c r="G112" t="s">
        <v>181</v>
      </c>
    </row>
    <row r="113" ht="14.25"/>
    <row r="114" ht="14.25"/>
    <row r="115" ht="14.25"/>
    <row r="116" ht="14.25"/>
    <row r="117" ht="14.25"/>
    <row r="123" ht="14.25"/>
    <row r="124" ht="14.25"/>
    <row r="125" ht="14.25"/>
  </sheetData>
  <mergeCells count="1">
    <mergeCell ref="A1:D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7" workbookViewId="0">
      <selection activeCell="B33" activeCellId="0" sqref="B33"/>
    </sheetView>
  </sheetViews>
  <sheetFormatPr defaultRowHeight="14.25"/>
  <cols>
    <col bestFit="1" customWidth="1" min="1" max="1" width="10.7109375"/>
    <col bestFit="1" customWidth="1" min="6" max="6" width="20.7109375"/>
    <col bestFit="1" customWidth="1" min="7" max="7" width="10.85546875"/>
    <col bestFit="1" customWidth="1" min="8" max="8" width="12.85546875"/>
    <col bestFit="1" customWidth="1" min="16" max="16" width="12.5703125"/>
  </cols>
  <sheetData>
    <row r="1">
      <c r="A1" s="10" t="s">
        <v>0</v>
      </c>
      <c r="B1" s="10" t="s">
        <v>1</v>
      </c>
      <c r="C1" s="10" t="s">
        <v>2</v>
      </c>
      <c r="D1" s="10" t="s">
        <v>3</v>
      </c>
      <c r="E1" s="10" t="s">
        <v>4</v>
      </c>
      <c r="F1" s="10" t="s">
        <v>25</v>
      </c>
      <c r="G1" s="10" t="s">
        <v>6</v>
      </c>
      <c r="H1" s="10" t="s">
        <v>7</v>
      </c>
      <c r="I1" s="10" t="s">
        <v>8</v>
      </c>
      <c r="J1" s="10" t="s">
        <v>9</v>
      </c>
      <c r="K1" s="10" t="s">
        <v>10</v>
      </c>
      <c r="L1" s="10" t="s">
        <v>11</v>
      </c>
      <c r="M1" s="10" t="s">
        <v>12</v>
      </c>
      <c r="N1" s="10" t="s">
        <v>13</v>
      </c>
      <c r="O1" s="10" t="s">
        <v>19</v>
      </c>
      <c r="P1" s="10" t="s">
        <v>20</v>
      </c>
      <c r="Q1" s="1"/>
      <c r="R1" s="1"/>
      <c r="S1" s="1"/>
    </row>
    <row r="2">
      <c r="A2" s="11">
        <v>43739</v>
      </c>
      <c r="B2" s="3">
        <f>1213-432</f>
        <v>781</v>
      </c>
      <c r="C2" s="3">
        <v>268.88</v>
      </c>
      <c r="D2" s="3">
        <v>326</v>
      </c>
      <c r="E2" s="3"/>
      <c r="F2" s="3"/>
      <c r="G2" s="3"/>
      <c r="H2" s="3"/>
      <c r="I2" s="3"/>
      <c r="J2" s="3"/>
      <c r="K2" s="3"/>
      <c r="L2" s="3">
        <v>913</v>
      </c>
      <c r="M2" s="3"/>
      <c r="N2" s="3"/>
      <c r="O2" s="3"/>
      <c r="P2" s="3"/>
      <c r="Q2" s="3"/>
      <c r="R2" s="3"/>
      <c r="S2" s="3"/>
    </row>
    <row r="3">
      <c r="A3" s="11">
        <v>43740</v>
      </c>
      <c r="B3" s="5"/>
      <c r="C3" s="5">
        <v>35</v>
      </c>
      <c r="D3" s="5">
        <v>202</v>
      </c>
      <c r="E3" s="5"/>
      <c r="F3" s="5"/>
      <c r="G3" s="5"/>
      <c r="H3" s="5"/>
      <c r="I3" s="5"/>
      <c r="J3" s="5"/>
      <c r="K3" s="5"/>
      <c r="L3" s="5"/>
      <c r="M3" s="5"/>
      <c r="N3" s="5"/>
      <c r="O3" s="5"/>
      <c r="P3" s="5"/>
      <c r="Q3" s="5"/>
      <c r="R3" s="5"/>
      <c r="S3" s="5"/>
    </row>
    <row r="4">
      <c r="A4" s="11">
        <v>43741</v>
      </c>
      <c r="B4" s="3">
        <v>20</v>
      </c>
      <c r="C4" s="3">
        <f>144.98+19.99</f>
        <v>164.97</v>
      </c>
      <c r="D4" s="3">
        <v>205</v>
      </c>
      <c r="E4" s="3"/>
      <c r="F4" s="3"/>
      <c r="G4" s="3"/>
      <c r="H4" s="3"/>
      <c r="I4" s="3"/>
      <c r="J4" s="3"/>
      <c r="K4" s="3"/>
      <c r="L4" s="3">
        <v>950</v>
      </c>
      <c r="M4" s="3"/>
      <c r="N4" s="3"/>
      <c r="O4" s="3">
        <v>800</v>
      </c>
      <c r="P4" s="3"/>
      <c r="Q4" s="3"/>
      <c r="R4" s="3"/>
      <c r="S4" s="3"/>
    </row>
    <row r="5">
      <c r="A5" s="11">
        <v>43742</v>
      </c>
      <c r="B5" s="5">
        <v>90</v>
      </c>
      <c r="C5" s="5"/>
      <c r="D5" s="5"/>
      <c r="E5" s="5"/>
      <c r="F5" s="5"/>
      <c r="G5" s="5"/>
      <c r="H5" s="5"/>
      <c r="I5" s="5"/>
      <c r="J5" s="5"/>
      <c r="K5" s="5"/>
      <c r="L5" s="5">
        <v>2600</v>
      </c>
      <c r="M5" s="5"/>
      <c r="N5" s="5"/>
      <c r="O5" s="5"/>
      <c r="P5" s="5"/>
      <c r="Q5" s="5"/>
      <c r="R5" s="5"/>
      <c r="S5" s="5"/>
    </row>
    <row r="6">
      <c r="A6" s="11">
        <v>43743</v>
      </c>
      <c r="B6" s="3"/>
      <c r="C6" s="3">
        <v>269.39999999999998</v>
      </c>
      <c r="D6" s="3"/>
      <c r="E6" s="3"/>
      <c r="F6" s="3"/>
      <c r="G6" s="3"/>
      <c r="H6" s="3"/>
      <c r="I6" s="3"/>
      <c r="J6" s="3"/>
      <c r="K6" s="3"/>
      <c r="L6" s="3"/>
      <c r="M6" s="3">
        <v>280</v>
      </c>
      <c r="N6" s="3"/>
      <c r="O6" s="3"/>
      <c r="P6" s="3"/>
      <c r="Q6" s="3"/>
      <c r="R6" s="3"/>
      <c r="S6" s="3"/>
    </row>
    <row r="7">
      <c r="A7" s="11">
        <v>43744</v>
      </c>
      <c r="B7" s="5">
        <f>177+154</f>
        <v>331</v>
      </c>
      <c r="C7" s="5"/>
      <c r="D7" s="5"/>
      <c r="E7" s="5"/>
      <c r="F7" s="5"/>
      <c r="G7" s="5"/>
      <c r="H7" s="5"/>
      <c r="I7" s="5"/>
      <c r="J7" s="5"/>
      <c r="K7" s="5">
        <f>9666+1800</f>
        <v>11466</v>
      </c>
      <c r="L7" s="5"/>
      <c r="M7" s="5"/>
      <c r="N7" s="5"/>
      <c r="O7" s="5"/>
      <c r="P7" s="5"/>
      <c r="Q7" s="5"/>
      <c r="R7" s="5"/>
      <c r="S7" s="5"/>
    </row>
    <row r="8">
      <c r="A8" s="11">
        <v>43745</v>
      </c>
      <c r="B8" s="3"/>
      <c r="C8" s="3"/>
      <c r="D8" s="3">
        <f>205+189</f>
        <v>394</v>
      </c>
      <c r="E8" s="3"/>
      <c r="F8" s="3"/>
      <c r="G8" s="3"/>
      <c r="H8" s="3"/>
      <c r="I8" s="3"/>
      <c r="J8" s="3"/>
      <c r="K8" s="3"/>
      <c r="L8" s="3"/>
      <c r="M8" s="3"/>
      <c r="N8" s="3"/>
      <c r="O8" s="3"/>
      <c r="P8" s="3"/>
      <c r="Q8" s="3"/>
      <c r="R8" s="3"/>
      <c r="S8" s="3"/>
    </row>
    <row r="9">
      <c r="A9" s="11">
        <v>43746</v>
      </c>
      <c r="B9" s="5"/>
      <c r="C9" s="5">
        <v>780</v>
      </c>
      <c r="D9" s="5"/>
      <c r="E9" s="5">
        <v>2039</v>
      </c>
      <c r="F9" s="5"/>
      <c r="G9" s="5"/>
      <c r="H9" s="5"/>
      <c r="I9" s="5"/>
      <c r="J9" s="5"/>
      <c r="K9" s="5"/>
      <c r="L9" s="5"/>
      <c r="M9" s="5"/>
      <c r="N9" s="5"/>
      <c r="O9" s="5"/>
      <c r="P9" s="5"/>
      <c r="Q9" s="5"/>
      <c r="R9" s="5"/>
      <c r="S9" s="5"/>
    </row>
    <row r="10">
      <c r="A10" s="11">
        <v>43747</v>
      </c>
      <c r="B10" s="3"/>
      <c r="C10" s="3">
        <v>77.980000000000004</v>
      </c>
      <c r="D10" s="3"/>
      <c r="E10" s="3"/>
      <c r="F10" s="3"/>
      <c r="G10" s="3"/>
      <c r="H10" s="3"/>
      <c r="I10" s="3"/>
      <c r="J10" s="3"/>
      <c r="K10" s="3"/>
      <c r="L10" s="3"/>
      <c r="M10" s="3"/>
      <c r="N10" s="3"/>
      <c r="O10" s="3"/>
      <c r="P10" s="3"/>
      <c r="Q10" s="3"/>
      <c r="R10" s="3"/>
      <c r="S10" s="3"/>
    </row>
    <row r="11">
      <c r="A11" s="11">
        <v>43748</v>
      </c>
      <c r="B11" s="5"/>
      <c r="C11" s="5">
        <f>260.47+283.45+397.6-300</f>
        <v>641.5200000000001</v>
      </c>
      <c r="D11" s="5">
        <v>163</v>
      </c>
      <c r="E11" s="5"/>
      <c r="F11" s="5"/>
      <c r="G11" s="5"/>
      <c r="H11" s="5">
        <v>2519</v>
      </c>
      <c r="I11" s="5">
        <v>72</v>
      </c>
      <c r="J11" s="5"/>
      <c r="K11" s="5"/>
      <c r="L11" s="5"/>
      <c r="M11" s="5"/>
      <c r="N11" s="5"/>
      <c r="O11" s="5"/>
      <c r="P11" s="5"/>
      <c r="Q11" s="5"/>
      <c r="R11" s="5"/>
      <c r="S11" s="5"/>
    </row>
    <row r="12">
      <c r="A12" s="11">
        <v>43749</v>
      </c>
      <c r="B12" s="3"/>
      <c r="C12" s="3"/>
      <c r="D12" s="3"/>
      <c r="E12" s="3"/>
      <c r="F12" s="3"/>
      <c r="G12" s="3"/>
      <c r="H12" s="3"/>
      <c r="I12" s="3"/>
      <c r="J12" s="3"/>
      <c r="K12" s="3"/>
      <c r="L12" s="3"/>
      <c r="M12" s="3"/>
      <c r="N12" s="3"/>
      <c r="O12" s="3"/>
      <c r="P12" s="3"/>
      <c r="Q12" s="3"/>
      <c r="R12" s="3"/>
      <c r="S12" s="3"/>
    </row>
    <row r="13">
      <c r="A13" s="11">
        <v>43750</v>
      </c>
      <c r="B13" s="5"/>
      <c r="C13" s="5"/>
      <c r="D13" s="5"/>
      <c r="E13" s="5"/>
      <c r="F13" s="5"/>
      <c r="G13" s="5"/>
      <c r="H13" s="5"/>
      <c r="I13" s="5"/>
      <c r="J13" s="5"/>
      <c r="K13" s="5"/>
      <c r="L13" s="5"/>
      <c r="M13" s="5"/>
      <c r="N13" s="5">
        <v>304</v>
      </c>
      <c r="O13" s="5"/>
      <c r="P13" s="5"/>
      <c r="Q13" s="5"/>
      <c r="R13" s="5"/>
      <c r="S13" s="5"/>
    </row>
    <row r="14">
      <c r="A14" s="11">
        <v>43751</v>
      </c>
      <c r="B14" s="3"/>
      <c r="C14" s="3"/>
      <c r="D14" s="3"/>
      <c r="E14" s="3"/>
      <c r="F14" s="3"/>
      <c r="G14" s="3"/>
      <c r="H14" s="3"/>
      <c r="I14" s="3"/>
      <c r="J14" s="3"/>
      <c r="K14" s="3"/>
      <c r="L14" s="3"/>
      <c r="M14" s="3"/>
      <c r="N14" s="3"/>
      <c r="O14" s="3"/>
      <c r="P14" s="3"/>
      <c r="Q14" s="3"/>
      <c r="R14" s="3"/>
      <c r="S14" s="3"/>
    </row>
    <row r="15">
      <c r="A15" s="11">
        <v>43752</v>
      </c>
      <c r="B15" s="5"/>
      <c r="C15" s="5">
        <f>107+57.8</f>
        <v>164.80000000000001</v>
      </c>
      <c r="D15" s="5"/>
      <c r="E15" s="5"/>
      <c r="F15" s="5"/>
      <c r="G15" s="5"/>
      <c r="H15" s="5"/>
      <c r="J15" s="5"/>
      <c r="K15" s="5"/>
      <c r="L15" s="5"/>
      <c r="M15" s="5"/>
      <c r="N15" s="5"/>
      <c r="O15" s="5"/>
      <c r="P15" s="5"/>
      <c r="Q15" s="5"/>
      <c r="R15" s="5"/>
      <c r="S15" s="5"/>
    </row>
    <row r="16">
      <c r="A16" s="11">
        <v>43753</v>
      </c>
      <c r="B16" s="3">
        <v>1000</v>
      </c>
      <c r="C16" s="3">
        <f>300+88.98</f>
        <v>388.98000000000002</v>
      </c>
      <c r="D16" s="3"/>
      <c r="E16" s="3"/>
      <c r="F16" s="3"/>
      <c r="G16" s="3"/>
      <c r="H16" s="3"/>
      <c r="I16" s="3"/>
      <c r="J16" s="3"/>
      <c r="K16" s="3"/>
      <c r="L16" s="3"/>
      <c r="M16" s="3"/>
      <c r="N16" s="3"/>
      <c r="O16" s="3"/>
      <c r="P16" s="3"/>
      <c r="Q16" s="3"/>
      <c r="R16" s="3"/>
      <c r="S16" s="3"/>
    </row>
    <row r="17">
      <c r="A17" s="11">
        <v>43754</v>
      </c>
      <c r="B17" s="5">
        <f>1343.8+1343.8</f>
        <v>2687.5999999999999</v>
      </c>
      <c r="C17" s="5"/>
      <c r="D17" s="5">
        <v>199.97999999999999</v>
      </c>
      <c r="E17" s="5">
        <v>20000</v>
      </c>
      <c r="F17" s="5"/>
      <c r="G17" s="5"/>
      <c r="H17" s="5"/>
      <c r="I17" s="5"/>
      <c r="J17" s="5"/>
      <c r="K17" s="5"/>
      <c r="L17" s="5"/>
      <c r="M17" s="5"/>
      <c r="N17" s="5"/>
      <c r="O17" s="5"/>
      <c r="P17" s="5"/>
      <c r="Q17" s="5"/>
      <c r="R17" s="5"/>
      <c r="S17" s="5"/>
    </row>
    <row r="18">
      <c r="A18" s="11">
        <v>43755</v>
      </c>
      <c r="B18" s="3"/>
      <c r="C18" s="3">
        <v>99.900000000000006</v>
      </c>
      <c r="D18" s="3"/>
      <c r="E18" s="3"/>
      <c r="F18" s="3"/>
      <c r="G18" s="3"/>
      <c r="H18" s="3"/>
      <c r="I18" s="3"/>
      <c r="J18" s="3"/>
      <c r="K18" s="3"/>
      <c r="L18" s="3"/>
      <c r="M18" s="3"/>
      <c r="N18" s="3"/>
      <c r="O18" s="3"/>
      <c r="P18" s="3"/>
      <c r="Q18" s="3"/>
      <c r="R18" s="3"/>
      <c r="S18" s="3"/>
    </row>
    <row r="19">
      <c r="A19" s="11">
        <v>43756</v>
      </c>
      <c r="B19" s="5"/>
      <c r="C19" s="5"/>
      <c r="D19" s="5"/>
      <c r="E19" s="5"/>
      <c r="F19" s="5"/>
      <c r="G19" s="5"/>
      <c r="H19" s="5"/>
      <c r="I19" s="5"/>
      <c r="J19" s="5"/>
      <c r="K19" s="5"/>
      <c r="L19" s="5"/>
      <c r="M19" s="5"/>
      <c r="N19" s="5"/>
      <c r="O19" s="5"/>
      <c r="P19" s="5"/>
      <c r="Q19" s="5"/>
      <c r="R19" s="5"/>
      <c r="S19" s="5"/>
    </row>
    <row r="20">
      <c r="A20" s="11">
        <v>43757</v>
      </c>
      <c r="B20" s="3"/>
      <c r="C20" s="3">
        <v>219.5</v>
      </c>
      <c r="D20" s="3"/>
      <c r="E20" s="3"/>
      <c r="F20" s="3"/>
      <c r="G20" s="3"/>
      <c r="H20" s="3"/>
      <c r="I20" s="3"/>
      <c r="J20" s="3"/>
      <c r="K20" s="3"/>
      <c r="L20" s="3">
        <v>350</v>
      </c>
      <c r="M20" s="3"/>
      <c r="N20" s="3"/>
      <c r="O20" s="3"/>
      <c r="P20" s="3"/>
      <c r="Q20" s="3"/>
      <c r="R20" s="3"/>
      <c r="S20" s="3"/>
    </row>
    <row r="21">
      <c r="A21" s="11">
        <v>43758</v>
      </c>
      <c r="B21" s="5"/>
      <c r="C21" s="5">
        <v>59.990000000000002</v>
      </c>
      <c r="D21" s="5">
        <v>195</v>
      </c>
      <c r="E21" s="5"/>
      <c r="F21" s="5"/>
      <c r="G21" s="5"/>
      <c r="H21" s="5"/>
      <c r="I21" s="5"/>
      <c r="J21" s="5"/>
      <c r="K21" s="5"/>
      <c r="L21" s="5"/>
      <c r="M21" s="5">
        <v>50</v>
      </c>
      <c r="N21" s="5"/>
      <c r="O21" s="5"/>
      <c r="P21" s="5"/>
      <c r="Q21" s="5"/>
      <c r="R21" s="5"/>
      <c r="S21" s="5"/>
    </row>
    <row r="22">
      <c r="A22" s="11">
        <v>43759</v>
      </c>
      <c r="B22" s="3"/>
      <c r="C22" s="3"/>
      <c r="D22" s="3">
        <v>261</v>
      </c>
      <c r="E22" s="3"/>
      <c r="F22" s="3"/>
      <c r="G22" s="3"/>
      <c r="H22" s="3"/>
      <c r="I22" s="3"/>
      <c r="J22" s="3"/>
      <c r="K22" s="3"/>
      <c r="L22" s="3"/>
      <c r="M22" s="3"/>
      <c r="N22" s="3"/>
      <c r="O22" s="3"/>
      <c r="P22" s="3"/>
      <c r="Q22" s="3"/>
      <c r="R22" s="3"/>
      <c r="S22" s="3"/>
    </row>
    <row r="23">
      <c r="A23" s="11">
        <v>43760</v>
      </c>
      <c r="B23" s="5"/>
      <c r="C23" s="5">
        <v>18.300000000000001</v>
      </c>
      <c r="D23" s="5">
        <f>511-389</f>
        <v>122</v>
      </c>
      <c r="E23" s="5"/>
      <c r="F23" s="5"/>
      <c r="G23" s="5"/>
      <c r="H23" s="5"/>
      <c r="I23" s="5"/>
      <c r="J23" s="5"/>
      <c r="K23" s="5"/>
      <c r="L23" s="5"/>
      <c r="M23" s="5"/>
      <c r="N23" s="5"/>
      <c r="O23" s="5"/>
      <c r="P23" s="5"/>
      <c r="Q23" s="5"/>
      <c r="R23" s="5"/>
      <c r="S23" s="5"/>
    </row>
    <row r="24">
      <c r="A24" s="11">
        <v>43761</v>
      </c>
      <c r="B24" s="3"/>
      <c r="C24" s="3">
        <f>303.1+29.89</f>
        <v>332.99000000000001</v>
      </c>
      <c r="D24" s="3">
        <v>400</v>
      </c>
      <c r="E24" s="3"/>
      <c r="F24" s="3"/>
      <c r="G24" s="3"/>
      <c r="H24" s="3"/>
      <c r="I24" s="3"/>
      <c r="J24" s="3"/>
      <c r="K24" s="3"/>
      <c r="L24" s="3"/>
      <c r="M24" s="3"/>
      <c r="N24" s="3"/>
      <c r="O24" s="3"/>
      <c r="P24" s="3">
        <v>340</v>
      </c>
      <c r="Q24" s="3"/>
      <c r="R24" s="3"/>
      <c r="S24" s="3"/>
    </row>
    <row r="25">
      <c r="A25" s="11">
        <v>43762</v>
      </c>
      <c r="C25" s="5"/>
      <c r="D25" s="5">
        <v>285</v>
      </c>
      <c r="E25" s="5"/>
      <c r="F25" s="5"/>
      <c r="G25" s="5"/>
      <c r="H25" s="5"/>
      <c r="I25" s="5"/>
      <c r="J25" s="5"/>
      <c r="K25" s="5"/>
      <c r="L25" s="5"/>
      <c r="M25" s="5"/>
      <c r="N25" s="5"/>
      <c r="O25" s="5"/>
      <c r="P25" s="5"/>
      <c r="Q25" s="5"/>
      <c r="R25" s="5"/>
      <c r="S25" s="5"/>
    </row>
    <row r="26">
      <c r="A26" s="11">
        <v>43763</v>
      </c>
      <c r="B26" s="3">
        <f>1559.5+2142.4+60</f>
        <v>3761.9000000000001</v>
      </c>
      <c r="C26" s="3">
        <v>59.899999999999999</v>
      </c>
      <c r="D26" s="3">
        <v>205</v>
      </c>
      <c r="E26" s="3"/>
      <c r="F26" s="3">
        <v>450</v>
      </c>
      <c r="G26" s="3"/>
      <c r="H26" s="3"/>
      <c r="I26" s="3"/>
      <c r="J26" s="3"/>
      <c r="K26" s="3"/>
      <c r="L26" s="3"/>
      <c r="M26" s="3"/>
      <c r="N26" s="3"/>
      <c r="O26" s="3"/>
      <c r="P26" s="3"/>
      <c r="Q26" s="3"/>
      <c r="R26" s="3"/>
      <c r="S26" s="3"/>
    </row>
    <row r="27">
      <c r="A27" s="11">
        <v>43764</v>
      </c>
      <c r="B27" s="5"/>
      <c r="C27" s="5">
        <f>89.8+189.25</f>
        <v>279.05000000000001</v>
      </c>
      <c r="D27" s="5">
        <v>160</v>
      </c>
      <c r="E27" s="5">
        <v>100</v>
      </c>
      <c r="F27" s="5"/>
      <c r="G27" s="5"/>
      <c r="H27" s="5"/>
      <c r="I27" s="5"/>
      <c r="J27" s="5"/>
      <c r="K27" s="5"/>
      <c r="L27" s="5"/>
      <c r="M27" s="5"/>
      <c r="N27" s="5"/>
      <c r="O27" s="5"/>
      <c r="P27" s="5"/>
      <c r="Q27" s="5"/>
      <c r="R27" s="5"/>
      <c r="S27" s="5"/>
    </row>
    <row r="28">
      <c r="A28" s="11">
        <v>43765</v>
      </c>
      <c r="B28" s="3"/>
      <c r="C28" s="3">
        <v>378.36000000000001</v>
      </c>
      <c r="D28" s="3"/>
      <c r="E28" s="3"/>
      <c r="F28" s="3"/>
      <c r="G28" s="3"/>
      <c r="H28" s="3"/>
      <c r="I28" s="3"/>
      <c r="J28" s="3"/>
      <c r="K28" s="3"/>
      <c r="L28" s="3"/>
      <c r="M28" s="3"/>
      <c r="N28" s="3"/>
      <c r="O28" s="3"/>
      <c r="P28" s="3"/>
      <c r="Q28" s="3"/>
      <c r="R28" s="3"/>
      <c r="S28" s="3"/>
    </row>
    <row r="29">
      <c r="A29" s="11">
        <v>43766</v>
      </c>
      <c r="B29" s="5"/>
      <c r="C29" s="5"/>
      <c r="D29" s="5"/>
      <c r="E29" s="5"/>
      <c r="F29" s="5"/>
      <c r="G29" s="5"/>
      <c r="H29" s="5"/>
      <c r="I29" s="5"/>
      <c r="J29" s="5"/>
      <c r="K29" s="5"/>
      <c r="L29" s="5"/>
      <c r="M29" s="5"/>
      <c r="N29" s="5"/>
      <c r="O29" s="5"/>
      <c r="P29" s="5"/>
      <c r="Q29" s="5"/>
      <c r="R29" s="5"/>
      <c r="S29" s="5"/>
    </row>
    <row r="30">
      <c r="A30" s="11">
        <v>43767</v>
      </c>
      <c r="B30" s="3"/>
      <c r="C30" s="3">
        <v>191.97</v>
      </c>
      <c r="D30" s="3"/>
      <c r="E30" s="3"/>
      <c r="F30" s="3"/>
      <c r="G30" s="3"/>
      <c r="H30" s="3"/>
      <c r="I30" s="3"/>
      <c r="J30" s="3"/>
      <c r="K30" s="3">
        <f>30.52+1565</f>
        <v>1595.52</v>
      </c>
      <c r="L30" s="3"/>
      <c r="M30" s="3"/>
      <c r="N30" s="3"/>
      <c r="O30" s="3"/>
      <c r="P30" s="3"/>
      <c r="Q30" s="3"/>
      <c r="R30" s="3"/>
      <c r="S30" s="3"/>
    </row>
    <row r="31">
      <c r="A31" s="11">
        <v>43768</v>
      </c>
      <c r="B31" s="3"/>
      <c r="C31" s="3"/>
      <c r="D31" s="3"/>
      <c r="E31" s="3"/>
      <c r="F31" s="3"/>
      <c r="G31" s="3"/>
      <c r="H31" s="3"/>
      <c r="I31" s="3"/>
      <c r="J31" s="3"/>
      <c r="K31" s="3"/>
      <c r="L31" s="3"/>
      <c r="M31" s="3"/>
      <c r="N31" s="3"/>
      <c r="O31" s="3"/>
      <c r="P31" s="3"/>
      <c r="Q31" s="3"/>
      <c r="R31" s="3"/>
      <c r="S31" s="3"/>
    </row>
    <row r="32">
      <c r="A32" s="11">
        <v>43769</v>
      </c>
      <c r="B32" s="3"/>
      <c r="C32" s="3"/>
      <c r="D32" s="3">
        <f>249+50</f>
        <v>299</v>
      </c>
      <c r="E32" s="3"/>
      <c r="F32" s="3"/>
      <c r="G32" s="3"/>
      <c r="H32" s="3"/>
      <c r="I32" s="3"/>
      <c r="J32" s="3"/>
      <c r="K32" s="3"/>
      <c r="L32" s="3"/>
      <c r="M32" s="3"/>
      <c r="N32" s="3"/>
      <c r="O32" s="3"/>
      <c r="P32" s="3"/>
      <c r="Q32" s="3"/>
      <c r="R32" s="3"/>
      <c r="S32" s="3"/>
    </row>
    <row r="33">
      <c r="A33" s="7"/>
      <c r="B33" s="7">
        <f t="shared" ref="B33:Q33" si="9">SUM(B2:B32)</f>
        <v>8671.5</v>
      </c>
      <c r="C33" s="7">
        <f t="shared" si="9"/>
        <v>4431.4900000000007</v>
      </c>
      <c r="D33" s="7">
        <f t="shared" si="9"/>
        <v>3416.98</v>
      </c>
      <c r="E33" s="7">
        <f t="shared" si="9"/>
        <v>22139</v>
      </c>
      <c r="F33" s="7">
        <f t="shared" si="9"/>
        <v>450</v>
      </c>
      <c r="G33" s="7">
        <f t="shared" si="9"/>
        <v>0</v>
      </c>
      <c r="H33" s="7">
        <f t="shared" si="9"/>
        <v>2519</v>
      </c>
      <c r="I33" s="7">
        <f t="shared" si="9"/>
        <v>72</v>
      </c>
      <c r="J33" s="7">
        <f t="shared" si="9"/>
        <v>0</v>
      </c>
      <c r="K33" s="7">
        <f t="shared" si="9"/>
        <v>13061.52</v>
      </c>
      <c r="L33" s="7">
        <f t="shared" si="9"/>
        <v>4813</v>
      </c>
      <c r="M33" s="7">
        <f t="shared" si="9"/>
        <v>330</v>
      </c>
      <c r="N33" s="7">
        <f t="shared" si="9"/>
        <v>304</v>
      </c>
      <c r="O33" s="7">
        <f t="shared" si="9"/>
        <v>800</v>
      </c>
      <c r="P33" s="7">
        <f t="shared" si="9"/>
        <v>340</v>
      </c>
      <c r="Q33" s="7">
        <f t="shared" si="9"/>
        <v>0</v>
      </c>
      <c r="R33" s="7" t="s">
        <v>14</v>
      </c>
      <c r="S33" s="7">
        <f>SUM(B33:Q33)</f>
        <v>61348.490000000005</v>
      </c>
    </row>
    <row r="34">
      <c r="A34" s="8"/>
      <c r="B34" s="8"/>
      <c r="C34" s="8"/>
      <c r="D34" s="8"/>
      <c r="E34" s="8"/>
      <c r="F34" s="8"/>
      <c r="G34" s="8"/>
      <c r="H34" s="8"/>
      <c r="I34" s="8"/>
      <c r="J34" s="9"/>
      <c r="K34" s="9"/>
      <c r="L34" s="9"/>
      <c r="M34" s="9"/>
      <c r="N34" s="9"/>
      <c r="O34" s="9"/>
      <c r="P34" s="9"/>
      <c r="Q34" s="9"/>
      <c r="R34" s="9"/>
      <c r="S34" s="9"/>
    </row>
    <row r="35">
      <c r="A35" s="10" t="s">
        <v>0</v>
      </c>
      <c r="B35" s="10" t="s">
        <v>15</v>
      </c>
      <c r="C35" s="10" t="s">
        <v>16</v>
      </c>
      <c r="D35" s="10" t="s">
        <v>17</v>
      </c>
      <c r="E35" s="10" t="s">
        <v>18</v>
      </c>
      <c r="F35" s="10" t="s">
        <v>21</v>
      </c>
      <c r="G35" s="10" t="s">
        <v>26</v>
      </c>
      <c r="H35" s="1" t="s">
        <v>27</v>
      </c>
      <c r="I35" s="1"/>
    </row>
    <row r="36">
      <c r="A36" s="11">
        <v>43739</v>
      </c>
      <c r="B36" s="3"/>
      <c r="C36" s="3"/>
      <c r="D36" s="3"/>
      <c r="E36" s="3"/>
      <c r="F36" s="3"/>
      <c r="G36" s="3"/>
      <c r="H36" s="3"/>
      <c r="I36" s="3"/>
      <c r="N36" s="13">
        <f>3100-850-2000+399+130-475-304+2529-1800</f>
        <v>729</v>
      </c>
      <c r="O36" s="13" t="s">
        <v>23</v>
      </c>
    </row>
    <row r="37">
      <c r="A37" s="11">
        <v>43740</v>
      </c>
      <c r="B37" s="5"/>
      <c r="C37" s="5"/>
      <c r="D37" s="5"/>
      <c r="E37" s="5"/>
      <c r="F37" s="5"/>
      <c r="G37" s="5"/>
      <c r="H37" s="5"/>
      <c r="I37" s="5"/>
    </row>
    <row r="38">
      <c r="A38" s="11">
        <v>43741</v>
      </c>
      <c r="B38" s="3"/>
      <c r="C38" s="3"/>
      <c r="D38" s="3"/>
      <c r="E38" s="3"/>
      <c r="F38" s="3"/>
      <c r="G38" s="3"/>
      <c r="H38" s="3"/>
      <c r="I38" s="3"/>
      <c r="N38">
        <v>1213</v>
      </c>
      <c r="O38" t="s">
        <v>28</v>
      </c>
    </row>
    <row r="39">
      <c r="A39" s="11">
        <v>43742</v>
      </c>
      <c r="B39" s="5"/>
      <c r="C39" s="5"/>
      <c r="D39" s="5"/>
      <c r="E39" s="5"/>
      <c r="F39" s="5"/>
      <c r="G39" s="5"/>
      <c r="H39" s="5"/>
      <c r="I39" s="5"/>
      <c r="N39">
        <v>2030</v>
      </c>
      <c r="O39" t="s">
        <v>29</v>
      </c>
    </row>
    <row r="40">
      <c r="A40" s="11">
        <v>43743</v>
      </c>
      <c r="B40" s="3"/>
      <c r="C40" s="3"/>
      <c r="D40" s="3"/>
      <c r="E40" s="3"/>
      <c r="F40" s="3"/>
      <c r="G40" s="3"/>
      <c r="H40" s="3"/>
      <c r="I40" s="3"/>
      <c r="N40">
        <v>100</v>
      </c>
      <c r="O40" t="s">
        <v>30</v>
      </c>
    </row>
    <row r="41">
      <c r="A41" s="11">
        <v>43744</v>
      </c>
      <c r="B41" s="5"/>
      <c r="C41" s="5"/>
      <c r="D41" s="5"/>
      <c r="E41" s="5"/>
      <c r="F41" s="5"/>
      <c r="G41" s="5"/>
      <c r="H41" s="5"/>
      <c r="I41" s="5"/>
      <c r="N41">
        <f>20000</f>
        <v>20000</v>
      </c>
      <c r="O41" t="s">
        <v>31</v>
      </c>
    </row>
    <row r="42">
      <c r="A42" s="11">
        <v>43745</v>
      </c>
      <c r="B42" s="3"/>
      <c r="C42" s="3"/>
      <c r="D42" s="3"/>
      <c r="E42" s="3"/>
      <c r="F42" s="3"/>
      <c r="G42" s="3"/>
      <c r="H42" s="3"/>
      <c r="I42" s="3"/>
      <c r="N42">
        <v>1600</v>
      </c>
      <c r="O42" t="s">
        <v>32</v>
      </c>
    </row>
    <row r="43">
      <c r="A43" s="11">
        <v>43746</v>
      </c>
      <c r="B43" s="5"/>
      <c r="C43" s="5"/>
      <c r="D43" s="5"/>
      <c r="E43" s="5"/>
      <c r="F43" s="5"/>
      <c r="G43" s="5">
        <v>500</v>
      </c>
      <c r="H43" s="5"/>
      <c r="I43" s="5"/>
    </row>
    <row r="44">
      <c r="A44" s="11">
        <v>43747</v>
      </c>
      <c r="B44" s="12"/>
      <c r="C44" s="3"/>
      <c r="D44" s="3"/>
      <c r="E44" s="3"/>
      <c r="F44" s="3"/>
      <c r="G44" s="3"/>
      <c r="H44" s="3"/>
      <c r="I44" s="3"/>
    </row>
    <row r="45">
      <c r="A45" s="11">
        <v>43748</v>
      </c>
      <c r="B45" s="5">
        <v>41201.18</v>
      </c>
      <c r="C45" s="5"/>
      <c r="D45" s="5"/>
      <c r="E45" s="5"/>
      <c r="F45" s="5"/>
      <c r="G45" s="5"/>
      <c r="H45" s="5"/>
      <c r="I45" s="5"/>
    </row>
    <row r="46">
      <c r="A46" s="11">
        <v>43749</v>
      </c>
      <c r="B46" s="3"/>
      <c r="C46" s="3"/>
      <c r="D46" s="3"/>
      <c r="E46" s="3"/>
      <c r="F46" s="3"/>
      <c r="G46" s="3"/>
      <c r="H46" s="3">
        <v>1100</v>
      </c>
      <c r="I46" s="3"/>
    </row>
    <row r="47">
      <c r="A47" s="11">
        <v>43750</v>
      </c>
      <c r="B47" s="5"/>
      <c r="C47" s="5"/>
      <c r="D47" s="5"/>
      <c r="E47" s="5"/>
      <c r="F47" s="5"/>
      <c r="G47" s="5">
        <v>50</v>
      </c>
      <c r="H47" s="5"/>
      <c r="I47" s="5"/>
    </row>
    <row r="48">
      <c r="A48" s="11">
        <v>43751</v>
      </c>
      <c r="B48" s="3"/>
      <c r="C48" s="3"/>
      <c r="D48" s="3"/>
      <c r="E48" s="3"/>
      <c r="F48" s="3"/>
      <c r="G48" s="3"/>
      <c r="H48" s="3"/>
      <c r="I48" s="3"/>
    </row>
    <row r="49">
      <c r="A49" s="11">
        <v>43752</v>
      </c>
      <c r="B49" s="5"/>
      <c r="C49" s="5"/>
      <c r="D49" s="5"/>
      <c r="E49" s="5"/>
      <c r="F49" s="5"/>
      <c r="G49" s="5"/>
      <c r="H49" s="5"/>
      <c r="I49" s="5"/>
    </row>
    <row r="50">
      <c r="A50" s="11">
        <v>43753</v>
      </c>
      <c r="B50" s="3"/>
      <c r="C50" s="3"/>
      <c r="D50" s="3"/>
      <c r="E50" s="3"/>
      <c r="F50" s="3"/>
      <c r="G50" s="3"/>
      <c r="H50" s="3"/>
      <c r="I50" s="3"/>
    </row>
    <row r="51">
      <c r="A51" s="11">
        <v>43754</v>
      </c>
      <c r="B51" s="5"/>
      <c r="C51" s="5"/>
      <c r="D51" s="5"/>
      <c r="E51" s="5"/>
      <c r="F51" s="5"/>
      <c r="G51" s="5"/>
      <c r="H51" s="5"/>
      <c r="I51" s="5"/>
    </row>
    <row r="52">
      <c r="A52" s="11">
        <v>43755</v>
      </c>
      <c r="B52" s="3"/>
      <c r="C52" s="3"/>
      <c r="D52" s="3"/>
      <c r="E52" s="3"/>
      <c r="F52" s="3"/>
      <c r="G52" s="3"/>
      <c r="H52" s="3"/>
      <c r="I52" s="3"/>
    </row>
    <row r="53">
      <c r="A53" s="11">
        <v>43756</v>
      </c>
      <c r="B53" s="5"/>
      <c r="C53" s="5"/>
      <c r="D53" s="5"/>
      <c r="E53" s="5"/>
      <c r="F53" s="5"/>
      <c r="G53" s="5"/>
      <c r="H53" s="5"/>
      <c r="I53" s="5"/>
    </row>
    <row r="54">
      <c r="A54" s="11">
        <v>43757</v>
      </c>
      <c r="B54" s="3"/>
      <c r="C54" s="3"/>
      <c r="D54" s="3"/>
      <c r="E54" s="3"/>
      <c r="F54" s="3"/>
      <c r="G54" s="3"/>
      <c r="H54" s="3"/>
      <c r="I54" s="3"/>
    </row>
    <row r="55">
      <c r="A55" s="11">
        <v>43758</v>
      </c>
      <c r="B55" s="5"/>
      <c r="C55" s="5"/>
      <c r="D55" s="5"/>
      <c r="E55" s="5"/>
      <c r="F55" s="5"/>
      <c r="G55" s="5"/>
      <c r="H55" s="5"/>
      <c r="I55" s="5"/>
    </row>
    <row r="56">
      <c r="A56" s="11">
        <v>43759</v>
      </c>
      <c r="B56" s="3"/>
      <c r="C56" s="3"/>
      <c r="D56" s="3"/>
      <c r="E56" s="3"/>
      <c r="F56" s="3"/>
      <c r="G56" s="3"/>
      <c r="H56" s="3"/>
      <c r="I56" s="3"/>
    </row>
    <row r="57">
      <c r="A57" s="11">
        <v>43760</v>
      </c>
      <c r="B57" s="5"/>
      <c r="C57" s="5"/>
      <c r="D57" s="5"/>
      <c r="E57" s="5"/>
      <c r="F57" s="5"/>
      <c r="G57" s="5"/>
      <c r="H57" s="5"/>
      <c r="I57" s="5"/>
    </row>
    <row r="58">
      <c r="A58" s="11">
        <v>43761</v>
      </c>
      <c r="B58" s="3"/>
      <c r="C58" s="3"/>
      <c r="D58" s="3"/>
      <c r="E58" s="3"/>
      <c r="F58" s="3"/>
      <c r="G58" s="3"/>
      <c r="H58" s="3"/>
      <c r="I58" s="3"/>
    </row>
    <row r="59">
      <c r="A59" s="11">
        <v>43762</v>
      </c>
      <c r="B59" s="5"/>
      <c r="C59" s="5"/>
      <c r="D59" s="5"/>
      <c r="E59" s="5"/>
      <c r="F59" s="5"/>
      <c r="G59" s="5"/>
      <c r="H59" s="5"/>
      <c r="I59" s="5"/>
    </row>
    <row r="60">
      <c r="A60" s="11">
        <v>43763</v>
      </c>
      <c r="B60" s="3">
        <v>8700</v>
      </c>
      <c r="C60" s="3"/>
      <c r="D60" s="3"/>
      <c r="E60" s="3"/>
      <c r="F60" s="3"/>
      <c r="G60" s="3"/>
      <c r="H60" s="3"/>
      <c r="I60" s="3"/>
    </row>
    <row r="61">
      <c r="A61" s="11">
        <v>43764</v>
      </c>
      <c r="B61" s="5"/>
      <c r="C61" s="5"/>
      <c r="D61" s="5"/>
      <c r="E61" s="5"/>
      <c r="F61" s="5"/>
      <c r="G61" s="5"/>
      <c r="H61" s="5"/>
      <c r="I61" s="5"/>
    </row>
    <row r="62">
      <c r="A62" s="11">
        <v>43765</v>
      </c>
      <c r="B62" s="3"/>
      <c r="C62" s="3"/>
      <c r="D62" s="3"/>
      <c r="E62" s="3"/>
      <c r="F62" s="3"/>
      <c r="G62" s="3"/>
      <c r="H62" s="3"/>
      <c r="I62" s="3"/>
    </row>
    <row r="63">
      <c r="A63" s="11">
        <v>43766</v>
      </c>
      <c r="B63" s="5"/>
      <c r="C63" s="5"/>
      <c r="D63" s="5"/>
      <c r="E63" s="5"/>
      <c r="F63" s="5"/>
      <c r="G63" s="5"/>
      <c r="H63" s="5"/>
      <c r="I63" s="5"/>
    </row>
    <row r="64">
      <c r="A64" s="11">
        <v>43767</v>
      </c>
      <c r="B64" s="3"/>
      <c r="C64" s="3"/>
      <c r="D64" s="3"/>
      <c r="E64" s="3"/>
      <c r="F64" s="3"/>
      <c r="G64" s="3"/>
      <c r="H64" s="3"/>
      <c r="I64" s="3"/>
    </row>
    <row r="65">
      <c r="A65" s="11">
        <v>43768</v>
      </c>
      <c r="B65" s="3"/>
      <c r="C65" s="3"/>
      <c r="D65" s="3"/>
      <c r="E65" s="3"/>
      <c r="F65" s="3"/>
      <c r="G65" s="3"/>
      <c r="H65" s="3"/>
      <c r="I65" s="3"/>
    </row>
    <row r="66">
      <c r="A66" s="11">
        <v>43769</v>
      </c>
      <c r="B66" s="5"/>
      <c r="C66" s="5"/>
      <c r="D66" s="5"/>
      <c r="E66" s="5">
        <f>1299.43+25.7</f>
        <v>1325.1300000000001</v>
      </c>
      <c r="F66" s="5"/>
      <c r="G66" s="5">
        <v>50</v>
      </c>
      <c r="H66" s="5"/>
      <c r="I66" s="5"/>
    </row>
    <row r="67">
      <c r="A67" s="7"/>
      <c r="B67" s="7">
        <f t="shared" ref="B67:H67" si="10">SUM(B36:B66)</f>
        <v>49901.18</v>
      </c>
      <c r="C67" s="7">
        <f t="shared" si="10"/>
        <v>0</v>
      </c>
      <c r="D67" s="7">
        <f t="shared" si="10"/>
        <v>0</v>
      </c>
      <c r="E67" s="7">
        <f t="shared" si="10"/>
        <v>1325.1300000000001</v>
      </c>
      <c r="F67" s="7">
        <f t="shared" si="10"/>
        <v>0</v>
      </c>
      <c r="G67" s="7">
        <f t="shared" si="10"/>
        <v>600</v>
      </c>
      <c r="H67" s="7">
        <f t="shared" si="10"/>
        <v>1100</v>
      </c>
      <c r="I67" s="7">
        <f>SUM(B67:H67)</f>
        <v>52926.309999999998</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2" activeCellId="0" sqref="B32"/>
    </sheetView>
  </sheetViews>
  <sheetFormatPr defaultRowHeight="14.25"/>
  <cols>
    <col bestFit="1" customWidth="1" min="1" max="1" width="11.5703125"/>
    <col bestFit="1" customWidth="1" min="7" max="7" width="10.140625"/>
    <col bestFit="1" customWidth="1" min="15" max="15" width="15.4257812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19</v>
      </c>
      <c r="P1" s="10" t="s">
        <v>20</v>
      </c>
      <c r="Q1" s="1"/>
      <c r="R1" s="1"/>
      <c r="S1" s="1"/>
    </row>
    <row r="2">
      <c r="A2" s="11">
        <v>43770</v>
      </c>
      <c r="B2" s="3">
        <v>40</v>
      </c>
      <c r="C2" s="3"/>
      <c r="D2" s="3"/>
      <c r="E2" s="3"/>
      <c r="F2" s="3"/>
      <c r="G2" s="3"/>
      <c r="H2" s="3"/>
      <c r="I2" s="3"/>
      <c r="J2" s="3"/>
      <c r="K2" s="3"/>
      <c r="L2" s="3"/>
      <c r="M2" s="3"/>
      <c r="N2" s="3"/>
      <c r="O2" s="3"/>
      <c r="P2" s="3"/>
      <c r="Q2" s="3"/>
      <c r="R2" s="3"/>
      <c r="S2" s="3"/>
    </row>
    <row r="3">
      <c r="A3" s="11">
        <v>43771</v>
      </c>
      <c r="B3" s="5"/>
      <c r="C3" s="5">
        <v>129.24000000000001</v>
      </c>
      <c r="D3" s="5">
        <v>99</v>
      </c>
      <c r="E3" s="5"/>
      <c r="F3" s="5"/>
      <c r="G3" s="5"/>
      <c r="H3" s="5"/>
      <c r="I3" s="5"/>
      <c r="J3" s="5"/>
      <c r="K3" s="5"/>
      <c r="L3" s="5"/>
      <c r="M3" s="5"/>
      <c r="N3" s="5"/>
      <c r="O3" s="5"/>
      <c r="P3" s="5">
        <v>460</v>
      </c>
      <c r="Q3" s="5"/>
      <c r="R3" s="5"/>
      <c r="S3" s="5"/>
    </row>
    <row r="4">
      <c r="A4" s="11">
        <v>43772</v>
      </c>
      <c r="B4" s="3"/>
      <c r="C4" s="3"/>
      <c r="D4" s="3"/>
      <c r="E4" s="3"/>
      <c r="F4" s="3"/>
      <c r="G4" s="3"/>
      <c r="H4" s="3"/>
      <c r="I4" s="3"/>
      <c r="J4" s="3"/>
      <c r="K4" s="3"/>
      <c r="L4" s="3"/>
      <c r="M4" s="3"/>
      <c r="N4" s="3"/>
      <c r="O4" s="3"/>
      <c r="P4" s="3"/>
      <c r="Q4" s="3"/>
      <c r="R4" s="3"/>
      <c r="S4" s="3"/>
    </row>
    <row r="5">
      <c r="A5" s="11">
        <v>43773</v>
      </c>
      <c r="B5" s="5">
        <v>112</v>
      </c>
      <c r="C5" s="5"/>
      <c r="D5" s="5">
        <v>547.94000000000005</v>
      </c>
      <c r="E5" s="5"/>
      <c r="F5" s="5"/>
      <c r="G5" s="5"/>
      <c r="H5" s="5"/>
      <c r="I5" s="5"/>
      <c r="J5" s="5"/>
      <c r="K5" s="5"/>
      <c r="L5" s="5">
        <v>488.39999999999998</v>
      </c>
      <c r="M5" s="5"/>
      <c r="N5" s="5"/>
      <c r="O5" s="5"/>
      <c r="P5" s="5"/>
      <c r="Q5" s="5"/>
      <c r="R5" s="5"/>
      <c r="S5" s="5"/>
    </row>
    <row r="6">
      <c r="A6" s="11">
        <v>43774</v>
      </c>
      <c r="B6" s="3"/>
      <c r="C6" s="3">
        <f>59.9+952.8</f>
        <v>1012.6999999999999</v>
      </c>
      <c r="D6" s="3">
        <v>200</v>
      </c>
      <c r="E6" s="3"/>
      <c r="F6" s="3"/>
      <c r="G6" s="3"/>
      <c r="H6" s="3"/>
      <c r="I6" s="3"/>
      <c r="J6" s="3"/>
      <c r="K6" s="3">
        <v>14500</v>
      </c>
      <c r="L6" s="3"/>
      <c r="M6" s="3">
        <v>280</v>
      </c>
      <c r="N6" s="3"/>
      <c r="O6" s="3"/>
      <c r="P6" s="3"/>
      <c r="Q6" s="3"/>
      <c r="R6" s="3"/>
      <c r="S6" s="3"/>
    </row>
    <row r="7">
      <c r="A7" s="11">
        <v>43775</v>
      </c>
      <c r="B7" s="5"/>
      <c r="C7" s="5"/>
      <c r="D7" s="5"/>
      <c r="E7" s="5"/>
      <c r="F7" s="5"/>
      <c r="G7" s="5"/>
      <c r="H7" s="5"/>
      <c r="I7" s="5"/>
      <c r="J7" s="5"/>
      <c r="K7" s="5"/>
      <c r="L7" s="5"/>
      <c r="M7" s="5"/>
      <c r="N7" s="5"/>
      <c r="O7" s="5"/>
      <c r="P7" s="5">
        <v>199</v>
      </c>
      <c r="Q7" s="5"/>
      <c r="R7" s="5"/>
      <c r="S7" s="5"/>
    </row>
    <row r="8">
      <c r="A8" s="11">
        <v>43776</v>
      </c>
      <c r="B8" s="3"/>
      <c r="C8" s="3"/>
      <c r="D8" s="3"/>
      <c r="E8" s="3"/>
      <c r="F8" s="3"/>
      <c r="G8" s="3"/>
      <c r="H8" s="3"/>
      <c r="I8" s="3"/>
      <c r="J8" s="3"/>
      <c r="K8" s="3"/>
      <c r="L8" s="3"/>
      <c r="M8" s="3"/>
      <c r="N8" s="3"/>
      <c r="O8" s="3"/>
      <c r="P8" s="3"/>
      <c r="Q8" s="3"/>
      <c r="R8" s="3"/>
      <c r="S8" s="3"/>
    </row>
    <row r="9">
      <c r="A9" s="11">
        <v>43777</v>
      </c>
      <c r="B9" s="5"/>
      <c r="C9" s="5">
        <v>109</v>
      </c>
      <c r="D9" s="5"/>
      <c r="E9" s="5">
        <v>100</v>
      </c>
      <c r="F9" s="5"/>
      <c r="G9" s="5"/>
      <c r="H9" s="5"/>
      <c r="I9" s="5"/>
      <c r="J9" s="5"/>
      <c r="K9" s="5"/>
      <c r="L9" s="5"/>
      <c r="M9" s="5"/>
      <c r="N9" s="5">
        <v>490</v>
      </c>
      <c r="O9" s="5"/>
      <c r="P9" s="5"/>
      <c r="Q9" s="5"/>
      <c r="R9" s="5"/>
      <c r="S9" s="5"/>
    </row>
    <row r="10">
      <c r="A10" s="11">
        <v>43778</v>
      </c>
      <c r="B10" s="3"/>
      <c r="C10" s="3"/>
      <c r="D10" s="3">
        <f>468-309</f>
        <v>159</v>
      </c>
      <c r="E10" s="3">
        <v>-100</v>
      </c>
      <c r="F10" s="3"/>
      <c r="G10" s="3"/>
      <c r="H10" s="3"/>
      <c r="I10" s="3"/>
      <c r="J10" s="3"/>
      <c r="K10" s="3"/>
      <c r="L10" s="3">
        <v>1799</v>
      </c>
      <c r="M10" s="3"/>
      <c r="N10" s="3"/>
      <c r="O10" s="3"/>
      <c r="P10" s="3"/>
      <c r="Q10" s="3"/>
      <c r="R10" s="3"/>
      <c r="S10" s="3"/>
    </row>
    <row r="11">
      <c r="A11" s="11">
        <v>43779</v>
      </c>
      <c r="B11" s="5"/>
      <c r="C11" s="5"/>
      <c r="D11" s="5"/>
      <c r="E11" s="5"/>
      <c r="F11" s="5"/>
      <c r="G11" s="5"/>
      <c r="H11" s="5"/>
      <c r="I11" s="5"/>
      <c r="J11" s="5"/>
      <c r="K11" s="5"/>
      <c r="L11" s="5"/>
      <c r="M11" s="5"/>
      <c r="N11" s="5"/>
      <c r="O11" s="5"/>
      <c r="P11" s="5"/>
      <c r="Q11" s="5"/>
      <c r="R11" s="5"/>
      <c r="S11" s="5"/>
    </row>
    <row r="12">
      <c r="A12" s="11">
        <v>43780</v>
      </c>
      <c r="B12" s="3"/>
      <c r="C12" s="3">
        <v>146.97999999999999</v>
      </c>
      <c r="D12" s="3"/>
      <c r="E12" s="3"/>
      <c r="F12" s="3"/>
      <c r="G12" s="3"/>
      <c r="H12" s="3"/>
      <c r="I12" s="3"/>
      <c r="J12" s="3"/>
      <c r="K12" s="3"/>
      <c r="L12" s="3"/>
      <c r="M12" s="3"/>
      <c r="N12" s="3"/>
      <c r="O12" s="3"/>
      <c r="P12" s="3"/>
      <c r="Q12" s="3"/>
      <c r="R12" s="3"/>
      <c r="S12" s="3"/>
    </row>
    <row r="13">
      <c r="A13" s="11">
        <v>43781</v>
      </c>
      <c r="B13" s="5">
        <f>1465.8+741</f>
        <v>2206.8000000000002</v>
      </c>
      <c r="C13" s="5"/>
      <c r="D13" s="5"/>
      <c r="E13" s="5"/>
      <c r="F13" s="5"/>
      <c r="G13" s="5"/>
      <c r="H13" s="5"/>
      <c r="I13" s="5">
        <v>1171.1700000000001</v>
      </c>
      <c r="J13" s="5"/>
      <c r="K13" s="5"/>
      <c r="L13" s="5"/>
      <c r="M13" s="5"/>
      <c r="N13" s="5"/>
      <c r="O13" s="5"/>
      <c r="P13" s="5"/>
      <c r="Q13" s="5"/>
      <c r="R13" s="5"/>
      <c r="S13" s="5"/>
    </row>
    <row r="14">
      <c r="A14" s="11">
        <v>43782</v>
      </c>
      <c r="B14" s="3"/>
      <c r="C14" s="3">
        <v>476.23000000000002</v>
      </c>
      <c r="D14" s="3"/>
      <c r="E14" s="3"/>
      <c r="F14" s="3"/>
      <c r="G14" s="3"/>
      <c r="H14" s="3"/>
      <c r="I14" s="3"/>
      <c r="J14" s="3"/>
      <c r="K14" s="3"/>
      <c r="L14" s="3"/>
      <c r="M14" s="3"/>
      <c r="N14" s="3"/>
      <c r="O14" s="3"/>
      <c r="P14" s="3"/>
      <c r="Q14" s="3"/>
      <c r="R14" s="3"/>
      <c r="S14" s="3"/>
    </row>
    <row r="15">
      <c r="A15" s="11">
        <v>43783</v>
      </c>
      <c r="B15" s="5"/>
      <c r="C15" s="5"/>
      <c r="D15" s="5"/>
      <c r="E15" s="5"/>
      <c r="F15" s="5"/>
      <c r="G15" s="5"/>
      <c r="H15" s="5"/>
      <c r="J15" s="5"/>
      <c r="K15" s="5"/>
      <c r="L15" s="5"/>
      <c r="M15" s="5">
        <v>200</v>
      </c>
      <c r="N15" s="5"/>
      <c r="O15" s="5"/>
      <c r="P15" s="5"/>
      <c r="Q15" s="5"/>
      <c r="R15" s="5"/>
      <c r="S15" s="5"/>
    </row>
    <row r="16">
      <c r="A16" s="11">
        <v>43784</v>
      </c>
      <c r="B16" s="3"/>
      <c r="C16" s="3"/>
      <c r="D16" s="3"/>
      <c r="E16" s="3"/>
      <c r="F16" s="3"/>
      <c r="G16" s="3"/>
      <c r="H16" s="3"/>
      <c r="I16" s="3"/>
      <c r="J16" s="3"/>
      <c r="K16" s="3"/>
      <c r="L16" s="3"/>
      <c r="M16" s="3"/>
      <c r="N16" s="3"/>
      <c r="O16" s="3"/>
      <c r="P16" s="3"/>
      <c r="Q16" s="3"/>
      <c r="R16" s="3"/>
      <c r="S16" s="3"/>
    </row>
    <row r="17">
      <c r="A17" s="11">
        <v>43785</v>
      </c>
      <c r="B17" s="5">
        <f>100+432-38</f>
        <v>494</v>
      </c>
      <c r="C17" s="5">
        <v>836.89999999999998</v>
      </c>
      <c r="D17" s="5">
        <v>798</v>
      </c>
      <c r="E17" s="5"/>
      <c r="F17" s="5"/>
      <c r="G17" s="5"/>
      <c r="H17" s="5"/>
      <c r="I17" s="5"/>
      <c r="J17" s="5"/>
      <c r="K17" s="5"/>
      <c r="L17" s="5"/>
      <c r="M17" s="5"/>
      <c r="N17" s="5"/>
      <c r="O17" s="5"/>
      <c r="P17" s="5"/>
      <c r="Q17" s="5"/>
      <c r="R17" s="5"/>
      <c r="S17" s="5"/>
    </row>
    <row r="18">
      <c r="A18" s="11">
        <v>43786</v>
      </c>
      <c r="B18" s="3"/>
      <c r="C18" s="3"/>
      <c r="D18" s="3"/>
      <c r="E18" s="3"/>
      <c r="F18" s="3"/>
      <c r="G18" s="3"/>
      <c r="H18" s="3"/>
      <c r="I18" s="3"/>
      <c r="J18" s="3"/>
      <c r="K18" s="3"/>
      <c r="L18" s="3"/>
      <c r="M18" s="3"/>
      <c r="N18" s="3"/>
      <c r="O18" s="3"/>
      <c r="P18" s="3"/>
      <c r="Q18" s="3"/>
      <c r="R18" s="3"/>
      <c r="S18" s="3"/>
    </row>
    <row r="19">
      <c r="A19" s="11">
        <v>43787</v>
      </c>
      <c r="B19" s="5"/>
      <c r="C19" s="5">
        <v>622.54999999999995</v>
      </c>
      <c r="D19" s="5"/>
      <c r="E19" s="5"/>
      <c r="F19" s="5"/>
      <c r="G19" s="5"/>
      <c r="H19" s="5"/>
      <c r="I19" s="5"/>
      <c r="J19" s="5"/>
      <c r="K19" s="5"/>
      <c r="L19" s="5"/>
      <c r="M19" s="5"/>
      <c r="N19" s="5"/>
      <c r="O19" s="5"/>
      <c r="P19" s="5"/>
      <c r="Q19" s="5"/>
      <c r="R19" s="5"/>
      <c r="S19" s="5"/>
    </row>
    <row r="20">
      <c r="A20" s="11">
        <v>43788</v>
      </c>
      <c r="B20" s="3"/>
      <c r="C20" s="3">
        <f>120+41</f>
        <v>161</v>
      </c>
      <c r="D20" s="3"/>
      <c r="E20" s="3"/>
      <c r="F20" s="3"/>
      <c r="G20" s="3"/>
      <c r="H20" s="3"/>
      <c r="I20" s="3"/>
      <c r="J20" s="3"/>
      <c r="K20" s="3"/>
      <c r="L20" s="3"/>
      <c r="M20" s="3"/>
      <c r="N20" s="3"/>
      <c r="O20" s="3"/>
      <c r="P20" s="3"/>
      <c r="Q20" s="3"/>
      <c r="R20" s="3"/>
      <c r="S20" s="3"/>
    </row>
    <row r="21">
      <c r="A21" s="11">
        <v>43789</v>
      </c>
      <c r="B21" s="5"/>
      <c r="C21" s="5"/>
      <c r="D21" s="5"/>
      <c r="E21" s="5"/>
      <c r="F21" s="5"/>
      <c r="G21" s="5"/>
      <c r="H21" s="5"/>
      <c r="I21" s="5"/>
      <c r="J21" s="5"/>
      <c r="K21" s="5"/>
      <c r="L21" s="5"/>
      <c r="M21" s="5"/>
      <c r="N21" s="5"/>
      <c r="O21" s="5"/>
      <c r="P21" s="5"/>
      <c r="Q21" s="5"/>
      <c r="R21" s="5"/>
      <c r="S21" s="5"/>
    </row>
    <row r="22">
      <c r="A22" s="11">
        <v>43790</v>
      </c>
      <c r="B22" s="3"/>
      <c r="C22" s="3"/>
      <c r="D22" s="3">
        <f>198+202+50</f>
        <v>450</v>
      </c>
      <c r="E22" s="3"/>
      <c r="F22" s="3"/>
      <c r="G22" s="3"/>
      <c r="H22" s="3"/>
      <c r="I22" s="3"/>
      <c r="J22" s="3"/>
      <c r="K22" s="3"/>
      <c r="L22" s="3"/>
      <c r="M22" s="3"/>
      <c r="N22" s="3"/>
      <c r="O22" s="3"/>
      <c r="P22" s="3"/>
      <c r="Q22" s="3"/>
      <c r="R22" s="3"/>
      <c r="S22" s="3"/>
    </row>
    <row r="23">
      <c r="A23" s="11">
        <v>43791</v>
      </c>
      <c r="B23" s="5">
        <v>20</v>
      </c>
      <c r="C23" s="5">
        <v>145.30000000000001</v>
      </c>
      <c r="D23" s="5"/>
      <c r="E23" s="5"/>
      <c r="F23" s="5"/>
      <c r="G23" s="5"/>
      <c r="H23" s="5"/>
      <c r="I23" s="5"/>
      <c r="J23" s="5"/>
      <c r="K23" s="5"/>
      <c r="L23" s="5"/>
      <c r="M23" s="5"/>
      <c r="N23" s="5"/>
      <c r="O23" s="5"/>
      <c r="P23" s="5"/>
      <c r="Q23" s="5"/>
      <c r="R23" s="5"/>
      <c r="S23" s="5"/>
    </row>
    <row r="24">
      <c r="A24" s="11">
        <v>43792</v>
      </c>
      <c r="B24" s="3"/>
      <c r="C24" s="3"/>
      <c r="D24" s="3">
        <v>1220</v>
      </c>
      <c r="E24" s="3"/>
      <c r="F24" s="3"/>
      <c r="G24" s="3"/>
      <c r="H24" s="3"/>
      <c r="I24" s="3"/>
      <c r="J24" s="3"/>
      <c r="K24" s="3"/>
      <c r="L24" s="3"/>
      <c r="M24" s="3"/>
      <c r="N24" s="3"/>
      <c r="O24" s="3"/>
      <c r="P24" s="3"/>
      <c r="Q24" s="3"/>
      <c r="R24" s="3"/>
      <c r="S24" s="3"/>
    </row>
    <row r="25">
      <c r="A25" s="11">
        <v>43793</v>
      </c>
      <c r="B25">
        <v>111</v>
      </c>
      <c r="C25" s="5"/>
      <c r="D25" s="5">
        <v>50</v>
      </c>
      <c r="E25" s="5"/>
      <c r="F25" s="5"/>
      <c r="G25" s="5"/>
      <c r="H25" s="5"/>
      <c r="I25" s="5"/>
      <c r="J25" s="5"/>
      <c r="K25" s="5"/>
      <c r="L25" s="5"/>
      <c r="M25" s="5"/>
      <c r="N25" s="5"/>
      <c r="O25" s="5"/>
      <c r="P25" s="5"/>
      <c r="Q25" s="5"/>
      <c r="R25" s="5"/>
      <c r="S25" s="5"/>
    </row>
    <row r="26">
      <c r="A26" s="11">
        <v>43794</v>
      </c>
      <c r="B26" s="3"/>
      <c r="C26" s="3"/>
      <c r="D26" s="3">
        <v>160</v>
      </c>
      <c r="E26" s="3"/>
      <c r="F26" s="3"/>
      <c r="G26" s="3"/>
      <c r="H26" s="3"/>
      <c r="I26" s="3">
        <f>1190-500</f>
        <v>690</v>
      </c>
      <c r="J26" s="3"/>
      <c r="K26" s="3"/>
      <c r="L26" s="3"/>
      <c r="M26" s="3"/>
      <c r="N26" s="3"/>
      <c r="O26" s="3"/>
      <c r="P26" s="3"/>
      <c r="Q26" s="3"/>
      <c r="R26" s="3"/>
      <c r="S26" s="3"/>
    </row>
    <row r="27">
      <c r="A27" s="11">
        <v>43795</v>
      </c>
      <c r="B27" s="5"/>
      <c r="C27" s="5"/>
      <c r="D27" s="5"/>
      <c r="E27" s="5"/>
      <c r="F27" s="5"/>
      <c r="G27" s="5"/>
      <c r="H27" s="5"/>
      <c r="I27" s="5"/>
      <c r="J27" s="5"/>
      <c r="K27" s="5"/>
      <c r="L27" s="5">
        <v>61.329999999999998</v>
      </c>
      <c r="M27" s="5"/>
      <c r="N27" s="5"/>
      <c r="O27" s="5"/>
      <c r="P27" s="5"/>
      <c r="Q27" s="5"/>
      <c r="R27" s="5"/>
      <c r="S27" s="5"/>
    </row>
    <row r="28">
      <c r="A28" s="11">
        <v>43796</v>
      </c>
      <c r="B28" s="3"/>
      <c r="C28" s="3" t="s">
        <v>33</v>
      </c>
      <c r="D28" s="3"/>
      <c r="E28" s="3"/>
      <c r="F28" s="3"/>
      <c r="G28" s="3"/>
      <c r="H28" s="3"/>
      <c r="I28" s="3"/>
      <c r="J28" s="3"/>
      <c r="K28" s="3"/>
      <c r="L28" s="3"/>
      <c r="M28" s="3"/>
      <c r="N28" s="3"/>
      <c r="O28" s="3"/>
      <c r="P28" s="3"/>
      <c r="Q28" s="3"/>
      <c r="R28" s="3"/>
      <c r="S28" s="3"/>
    </row>
    <row r="29">
      <c r="A29" s="11">
        <v>43797</v>
      </c>
      <c r="B29" s="5"/>
      <c r="C29" s="5"/>
      <c r="D29" s="5"/>
      <c r="E29" s="5"/>
      <c r="F29" s="5"/>
      <c r="G29" s="5"/>
      <c r="H29" s="5"/>
      <c r="I29" s="5"/>
      <c r="J29" s="5"/>
      <c r="K29" s="5"/>
      <c r="L29" s="5"/>
      <c r="M29" s="5"/>
      <c r="N29" s="5"/>
      <c r="O29" s="5"/>
      <c r="P29" s="5"/>
      <c r="Q29" s="5"/>
      <c r="R29" s="5"/>
      <c r="S29" s="5"/>
    </row>
    <row r="30">
      <c r="A30" s="11">
        <v>43798</v>
      </c>
      <c r="B30" s="3"/>
      <c r="C30" s="3">
        <v>41.189999999999998</v>
      </c>
      <c r="D30" s="3"/>
      <c r="E30" s="3"/>
      <c r="F30" s="3"/>
      <c r="G30" s="3"/>
      <c r="H30" s="3"/>
      <c r="I30" s="3"/>
      <c r="J30" s="3"/>
      <c r="K30" s="3"/>
      <c r="L30" s="3"/>
      <c r="M30" s="3"/>
      <c r="N30" s="3"/>
      <c r="O30" s="3"/>
      <c r="P30" s="3"/>
      <c r="Q30" s="3"/>
      <c r="R30" s="3"/>
      <c r="S30" s="3"/>
    </row>
    <row r="31">
      <c r="A31" s="11">
        <v>43799</v>
      </c>
      <c r="B31" s="3"/>
      <c r="C31" s="3">
        <f>1524.67-750</f>
        <v>774.67000000000007</v>
      </c>
      <c r="D31" s="3"/>
      <c r="E31" s="3"/>
      <c r="F31" s="3"/>
      <c r="G31" s="3"/>
      <c r="H31" s="3"/>
      <c r="I31" s="3"/>
      <c r="J31" s="3"/>
      <c r="K31" s="3"/>
      <c r="L31" s="3"/>
      <c r="M31" s="3"/>
      <c r="N31" s="3"/>
      <c r="O31" s="3"/>
      <c r="P31" s="3"/>
      <c r="Q31" s="3"/>
      <c r="R31" s="3"/>
      <c r="S31" s="3"/>
    </row>
    <row r="32">
      <c r="A32" s="7"/>
      <c r="B32" s="7">
        <f t="shared" ref="B32:Q32" si="11">SUM(B2:B31)</f>
        <v>2983.8000000000002</v>
      </c>
      <c r="C32" s="7">
        <f t="shared" si="11"/>
        <v>4455.7600000000002</v>
      </c>
      <c r="D32" s="7">
        <f t="shared" si="11"/>
        <v>3683.9400000000001</v>
      </c>
      <c r="E32" s="7">
        <f t="shared" si="11"/>
        <v>0</v>
      </c>
      <c r="F32" s="7">
        <f t="shared" si="11"/>
        <v>0</v>
      </c>
      <c r="G32" s="7">
        <f t="shared" si="11"/>
        <v>0</v>
      </c>
      <c r="H32" s="7">
        <f t="shared" si="11"/>
        <v>0</v>
      </c>
      <c r="I32" s="7">
        <f t="shared" si="11"/>
        <v>1861.1700000000001</v>
      </c>
      <c r="J32" s="7">
        <f t="shared" si="11"/>
        <v>0</v>
      </c>
      <c r="K32" s="7">
        <f t="shared" si="11"/>
        <v>14500</v>
      </c>
      <c r="L32" s="7">
        <f t="shared" si="11"/>
        <v>2348.73</v>
      </c>
      <c r="M32" s="7">
        <f t="shared" si="11"/>
        <v>480</v>
      </c>
      <c r="N32" s="7">
        <f t="shared" si="11"/>
        <v>490</v>
      </c>
      <c r="O32" s="7">
        <f t="shared" si="11"/>
        <v>0</v>
      </c>
      <c r="P32" s="7">
        <f t="shared" si="11"/>
        <v>659</v>
      </c>
      <c r="Q32" s="7">
        <f t="shared" si="11"/>
        <v>0</v>
      </c>
      <c r="R32" s="7" t="s">
        <v>14</v>
      </c>
      <c r="S32" s="7">
        <f>SUM(B32:Q32)</f>
        <v>31462.399999999998</v>
      </c>
    </row>
    <row r="33">
      <c r="A33" s="8"/>
      <c r="B33" s="8"/>
      <c r="C33" s="8"/>
      <c r="D33" s="8"/>
      <c r="E33" s="8"/>
      <c r="F33" s="8"/>
      <c r="G33" s="8"/>
      <c r="H33" s="8"/>
      <c r="I33" s="8"/>
      <c r="J33" s="9"/>
      <c r="K33" s="9"/>
      <c r="L33" s="9"/>
      <c r="M33" s="9"/>
      <c r="N33" s="9"/>
      <c r="O33" s="9"/>
      <c r="P33" s="9"/>
      <c r="Q33" s="9"/>
      <c r="R33" s="9"/>
      <c r="S33" s="9"/>
    </row>
    <row r="34">
      <c r="A34" s="10" t="s">
        <v>0</v>
      </c>
      <c r="B34" s="10" t="s">
        <v>15</v>
      </c>
      <c r="C34" s="10" t="s">
        <v>16</v>
      </c>
      <c r="D34" s="10" t="s">
        <v>17</v>
      </c>
      <c r="E34" s="10" t="s">
        <v>18</v>
      </c>
      <c r="F34" s="10" t="s">
        <v>21</v>
      </c>
      <c r="G34" s="10" t="s">
        <v>26</v>
      </c>
      <c r="H34" s="1" t="s">
        <v>27</v>
      </c>
      <c r="I34" s="1"/>
    </row>
    <row r="35">
      <c r="A35" s="11">
        <v>43770</v>
      </c>
      <c r="B35" s="3"/>
      <c r="C35" s="3"/>
      <c r="D35" s="3"/>
      <c r="E35" s="3"/>
      <c r="F35" s="3"/>
      <c r="G35" s="3"/>
      <c r="H35" s="3"/>
      <c r="I35" s="3"/>
      <c r="N35" s="13">
        <f>3100-850-2000+399+130-475-304+2529-1800-490+1699-500-1438</f>
        <v>0</v>
      </c>
      <c r="O35" s="13" t="s">
        <v>23</v>
      </c>
    </row>
    <row r="36">
      <c r="A36" s="11">
        <v>43771</v>
      </c>
      <c r="B36" s="5"/>
      <c r="C36" s="5"/>
      <c r="D36" s="5"/>
      <c r="E36" s="5"/>
      <c r="F36" s="5"/>
      <c r="G36" s="5"/>
      <c r="H36" s="5"/>
      <c r="I36" s="5"/>
    </row>
    <row r="37">
      <c r="A37" s="11">
        <v>43772</v>
      </c>
      <c r="B37" s="3"/>
      <c r="C37" s="3"/>
      <c r="D37" s="3"/>
      <c r="E37" s="3"/>
      <c r="F37" s="3"/>
      <c r="G37" s="3"/>
      <c r="H37" s="3"/>
      <c r="I37" s="3"/>
      <c r="N37">
        <v>432</v>
      </c>
      <c r="O37" t="s">
        <v>28</v>
      </c>
    </row>
    <row r="38">
      <c r="A38" s="11">
        <v>43773</v>
      </c>
      <c r="B38" s="5"/>
      <c r="C38" s="5"/>
      <c r="D38" s="5"/>
      <c r="E38" s="5"/>
      <c r="F38" s="5"/>
      <c r="G38" s="5"/>
      <c r="H38" s="5"/>
      <c r="I38" s="5"/>
      <c r="N38">
        <v>2030</v>
      </c>
      <c r="O38" t="s">
        <v>29</v>
      </c>
    </row>
    <row r="39">
      <c r="A39" s="11">
        <v>43774</v>
      </c>
      <c r="B39" s="3"/>
      <c r="C39" s="3"/>
      <c r="D39" s="3"/>
      <c r="E39" s="3"/>
      <c r="F39" s="3"/>
      <c r="G39" s="3"/>
      <c r="H39" s="3"/>
      <c r="I39" s="3"/>
      <c r="O39" t="s">
        <v>30</v>
      </c>
    </row>
    <row r="40">
      <c r="A40" s="11">
        <v>43775</v>
      </c>
      <c r="B40" s="5"/>
      <c r="C40" s="5"/>
      <c r="D40" s="5"/>
      <c r="E40" s="5"/>
      <c r="F40" s="5"/>
      <c r="G40" s="5">
        <v>50</v>
      </c>
      <c r="H40" s="5"/>
      <c r="I40" s="5"/>
      <c r="N40">
        <f>21000</f>
        <v>21000</v>
      </c>
      <c r="O40" t="s">
        <v>31</v>
      </c>
    </row>
    <row r="41">
      <c r="A41" s="11">
        <v>43776</v>
      </c>
      <c r="B41" s="3"/>
      <c r="C41" s="3"/>
      <c r="D41" s="3"/>
      <c r="E41" s="3"/>
      <c r="F41" s="3"/>
      <c r="G41" s="3"/>
      <c r="H41" s="3"/>
      <c r="I41" s="3"/>
      <c r="N41">
        <v>2300</v>
      </c>
      <c r="O41" t="s">
        <v>32</v>
      </c>
    </row>
    <row r="42">
      <c r="A42" s="11">
        <v>43777</v>
      </c>
      <c r="B42" s="5">
        <v>40701.709999999999</v>
      </c>
      <c r="C42" s="5"/>
      <c r="D42" s="5"/>
      <c r="E42" s="5"/>
      <c r="F42" s="5"/>
      <c r="G42" s="5">
        <v>50</v>
      </c>
      <c r="H42" s="5"/>
      <c r="I42" s="5"/>
    </row>
    <row r="43">
      <c r="A43" s="11">
        <v>43778</v>
      </c>
      <c r="B43" s="12"/>
      <c r="C43" s="3"/>
      <c r="D43" s="3"/>
      <c r="E43" s="3"/>
      <c r="F43" s="3"/>
      <c r="G43" s="3"/>
      <c r="H43" s="3"/>
      <c r="I43" s="3"/>
    </row>
    <row r="44">
      <c r="A44" s="11">
        <v>43779</v>
      </c>
      <c r="B44" s="5"/>
      <c r="C44" s="5">
        <v>100</v>
      </c>
      <c r="D44" s="5"/>
      <c r="E44" s="5"/>
      <c r="F44" s="5"/>
      <c r="G44" s="5"/>
      <c r="H44" s="5"/>
      <c r="I44" s="5"/>
    </row>
    <row r="45">
      <c r="A45" s="11">
        <v>43780</v>
      </c>
      <c r="B45" s="3"/>
      <c r="C45" s="3"/>
      <c r="D45" s="3"/>
      <c r="E45" s="3"/>
      <c r="F45" s="3"/>
      <c r="G45" s="3"/>
      <c r="H45" s="3"/>
      <c r="I45" s="3"/>
    </row>
    <row r="46">
      <c r="A46" s="11">
        <v>43781</v>
      </c>
      <c r="B46" s="5"/>
      <c r="C46" s="5"/>
      <c r="D46" s="5"/>
      <c r="E46" s="5"/>
      <c r="F46" s="5">
        <v>500</v>
      </c>
      <c r="G46" s="5"/>
      <c r="H46" s="5"/>
      <c r="I46" s="5"/>
    </row>
    <row r="47">
      <c r="A47" s="11">
        <v>43782</v>
      </c>
      <c r="B47" s="3"/>
      <c r="C47" s="3"/>
      <c r="D47" s="3"/>
      <c r="E47" s="3"/>
      <c r="F47" s="3"/>
      <c r="G47" s="3"/>
      <c r="H47" s="3"/>
      <c r="I47" s="3"/>
    </row>
    <row r="48">
      <c r="A48" s="11">
        <v>43783</v>
      </c>
      <c r="B48" s="5"/>
      <c r="C48" s="5"/>
      <c r="D48" s="5"/>
      <c r="E48" s="5"/>
      <c r="F48" s="5"/>
      <c r="G48" s="5"/>
      <c r="H48" s="5">
        <v>200</v>
      </c>
      <c r="I48" s="5"/>
    </row>
    <row r="49">
      <c r="A49" s="11">
        <v>43784</v>
      </c>
      <c r="B49" s="3"/>
      <c r="C49" s="3"/>
      <c r="D49" s="3"/>
      <c r="E49" s="3"/>
      <c r="F49" s="3"/>
      <c r="G49" s="3"/>
      <c r="H49" s="3"/>
      <c r="I49" s="3"/>
    </row>
    <row r="50">
      <c r="A50" s="11">
        <v>43785</v>
      </c>
      <c r="B50" s="5"/>
      <c r="C50" s="5"/>
      <c r="D50" s="5"/>
      <c r="E50" s="5"/>
      <c r="F50" s="5"/>
      <c r="G50" s="5"/>
      <c r="H50" s="5"/>
      <c r="I50" s="5"/>
    </row>
    <row r="51">
      <c r="A51" s="11">
        <v>43786</v>
      </c>
      <c r="B51" s="3"/>
      <c r="C51" s="3"/>
      <c r="D51" s="3"/>
      <c r="E51" s="3"/>
      <c r="F51" s="3"/>
      <c r="G51" s="3"/>
      <c r="H51" s="3"/>
      <c r="I51" s="3"/>
    </row>
    <row r="52">
      <c r="A52" s="11">
        <v>43787</v>
      </c>
      <c r="B52" s="5"/>
      <c r="C52" s="5"/>
      <c r="D52" s="5"/>
      <c r="E52" s="5"/>
      <c r="F52" s="5"/>
      <c r="G52" s="5"/>
      <c r="H52" s="5"/>
      <c r="I52" s="5"/>
    </row>
    <row r="53">
      <c r="A53" s="11">
        <v>43788</v>
      </c>
      <c r="B53" s="3"/>
      <c r="C53" s="3"/>
      <c r="D53" s="3"/>
      <c r="E53" s="3"/>
      <c r="F53" s="3"/>
      <c r="G53" s="3">
        <v>50</v>
      </c>
      <c r="H53" s="3"/>
      <c r="I53" s="3"/>
    </row>
    <row r="54">
      <c r="A54" s="11">
        <v>43789</v>
      </c>
      <c r="B54" s="5"/>
      <c r="C54" s="5"/>
      <c r="D54" s="5"/>
      <c r="E54" s="5"/>
      <c r="F54" s="5"/>
      <c r="G54" s="5">
        <v>50</v>
      </c>
      <c r="H54" s="5"/>
      <c r="I54" s="5"/>
    </row>
    <row r="55">
      <c r="A55" s="11">
        <v>43790</v>
      </c>
      <c r="B55" s="3"/>
      <c r="C55" s="3"/>
      <c r="D55" s="3"/>
      <c r="E55" s="3"/>
      <c r="F55" s="3"/>
      <c r="G55" s="3"/>
      <c r="H55" s="3"/>
      <c r="I55" s="3"/>
    </row>
    <row r="56">
      <c r="A56" s="11">
        <v>43791</v>
      </c>
      <c r="B56" s="5"/>
      <c r="C56" s="5"/>
      <c r="D56" s="5"/>
      <c r="E56" s="5"/>
      <c r="F56" s="5"/>
      <c r="G56" s="5"/>
      <c r="H56" s="5"/>
      <c r="I56" s="5"/>
    </row>
    <row r="57">
      <c r="A57" s="11">
        <v>43792</v>
      </c>
      <c r="B57" s="3"/>
      <c r="C57" s="3"/>
      <c r="D57" s="3"/>
      <c r="E57" s="3"/>
      <c r="F57" s="3"/>
      <c r="G57" s="3"/>
      <c r="H57" s="3"/>
      <c r="I57" s="3"/>
    </row>
    <row r="58">
      <c r="A58" s="11">
        <v>43793</v>
      </c>
      <c r="B58" s="5"/>
      <c r="C58" s="5"/>
      <c r="D58" s="5"/>
      <c r="E58" s="5"/>
      <c r="F58" s="5"/>
      <c r="G58" s="5"/>
      <c r="H58" s="5"/>
      <c r="I58" s="5"/>
    </row>
    <row r="59">
      <c r="A59" s="11">
        <v>43794</v>
      </c>
      <c r="B59" s="3">
        <v>9500</v>
      </c>
      <c r="C59" s="3"/>
      <c r="D59" s="3"/>
      <c r="E59" s="3"/>
      <c r="F59" s="3"/>
      <c r="G59" s="3"/>
      <c r="H59" s="3"/>
      <c r="I59" s="3"/>
    </row>
    <row r="60">
      <c r="A60" s="11">
        <v>43795</v>
      </c>
      <c r="B60" s="5"/>
      <c r="C60" s="5"/>
      <c r="D60" s="5"/>
      <c r="E60" s="5"/>
      <c r="F60" s="5"/>
      <c r="G60" s="5"/>
      <c r="H60" s="5"/>
      <c r="I60" s="5"/>
    </row>
    <row r="61">
      <c r="A61" s="11">
        <v>43796</v>
      </c>
      <c r="B61" s="3"/>
      <c r="C61" s="3"/>
      <c r="D61" s="3"/>
      <c r="E61" s="3"/>
      <c r="F61" s="3"/>
      <c r="G61" s="3"/>
      <c r="H61" s="3"/>
      <c r="I61" s="3"/>
    </row>
    <row r="62">
      <c r="A62" s="11">
        <v>43797</v>
      </c>
      <c r="B62" s="5"/>
      <c r="C62" s="5"/>
      <c r="D62" s="5"/>
      <c r="E62" s="5"/>
      <c r="F62" s="5"/>
      <c r="G62" s="5"/>
      <c r="H62" s="5"/>
      <c r="I62" s="5"/>
    </row>
    <row r="63">
      <c r="A63" s="11">
        <v>43798</v>
      </c>
      <c r="B63" s="3"/>
      <c r="C63" s="3"/>
      <c r="D63" s="3"/>
      <c r="E63" s="3"/>
      <c r="F63" s="3"/>
      <c r="G63" s="3"/>
      <c r="H63" s="3"/>
      <c r="I63" s="3"/>
    </row>
    <row r="64">
      <c r="A64" s="11">
        <v>43799</v>
      </c>
      <c r="B64" s="5"/>
      <c r="C64" s="5"/>
      <c r="D64" s="5"/>
      <c r="E64" s="5">
        <f>1146.88+20.69</f>
        <v>1167.5700000000002</v>
      </c>
      <c r="F64" s="5"/>
      <c r="G64" s="5"/>
      <c r="H64" s="5"/>
      <c r="I64" s="5"/>
    </row>
    <row r="65">
      <c r="A65" s="7"/>
      <c r="B65" s="7">
        <f t="shared" ref="B65:H65" si="12">SUM(B35:B64)</f>
        <v>50201.709999999999</v>
      </c>
      <c r="C65" s="7">
        <f t="shared" si="12"/>
        <v>100</v>
      </c>
      <c r="D65" s="7">
        <f t="shared" si="12"/>
        <v>0</v>
      </c>
      <c r="E65" s="7">
        <f t="shared" si="12"/>
        <v>1167.5700000000002</v>
      </c>
      <c r="F65" s="7">
        <f t="shared" si="12"/>
        <v>500</v>
      </c>
      <c r="G65" s="7">
        <f t="shared" si="12"/>
        <v>200</v>
      </c>
      <c r="H65" s="7">
        <f t="shared" si="12"/>
        <v>200</v>
      </c>
      <c r="I65" s="7">
        <f>SUM(B65:H65)</f>
        <v>52369.279999999999</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3" activeCellId="0" sqref="B33"/>
    </sheetView>
  </sheetViews>
  <sheetFormatPr defaultRowHeight="14.25"/>
  <cols>
    <col bestFit="1" customWidth="1" min="1" max="1" width="11.5703125"/>
    <col bestFit="1" customWidth="1" min="2" max="2" width="10.28515625"/>
    <col bestFit="1" customWidth="1" min="7" max="7" width="11"/>
    <col bestFit="1" customWidth="1" min="8" max="8" width="12.140625"/>
    <col bestFit="1" customWidth="1" min="9" max="9" width="20.28515625"/>
    <col bestFit="1" customWidth="1" min="10" max="10" width="11.28515625"/>
    <col bestFit="1" customWidth="1" min="15" max="15" width="15.85546875"/>
    <col bestFit="1" customWidth="1" min="16" max="16" width="13.7109375"/>
  </cols>
  <sheetData>
    <row r="1">
      <c r="A1" s="10" t="s">
        <v>0</v>
      </c>
      <c r="B1" s="10" t="s">
        <v>1</v>
      </c>
      <c r="C1" s="10" t="s">
        <v>2</v>
      </c>
      <c r="D1" s="10" t="s">
        <v>3</v>
      </c>
      <c r="E1" s="10" t="s">
        <v>4</v>
      </c>
      <c r="F1" s="10" t="s">
        <v>25</v>
      </c>
      <c r="G1" s="10" t="s">
        <v>6</v>
      </c>
      <c r="H1" s="10" t="s">
        <v>7</v>
      </c>
      <c r="I1" s="10" t="s">
        <v>8</v>
      </c>
      <c r="J1" s="10" t="s">
        <v>9</v>
      </c>
      <c r="K1" s="10" t="s">
        <v>10</v>
      </c>
      <c r="L1" s="10" t="s">
        <v>11</v>
      </c>
      <c r="M1" s="10" t="s">
        <v>12</v>
      </c>
      <c r="N1" s="10" t="s">
        <v>13</v>
      </c>
      <c r="O1" s="10" t="s">
        <v>19</v>
      </c>
      <c r="P1" s="10" t="s">
        <v>20</v>
      </c>
      <c r="Q1" s="1"/>
      <c r="R1" s="1"/>
      <c r="S1" s="1"/>
    </row>
    <row r="2">
      <c r="A2" s="11">
        <v>43800</v>
      </c>
      <c r="B2" s="14">
        <v>76</v>
      </c>
      <c r="C2" s="14"/>
      <c r="D2" s="14"/>
      <c r="E2" s="14">
        <v>1030</v>
      </c>
      <c r="F2" s="14"/>
      <c r="G2" s="14"/>
      <c r="H2" s="14"/>
      <c r="I2" s="14"/>
      <c r="J2" s="14"/>
      <c r="K2" s="14"/>
      <c r="L2" s="14"/>
      <c r="M2" s="14"/>
      <c r="N2" s="14"/>
      <c r="O2" s="14"/>
      <c r="P2" s="14"/>
      <c r="Q2" s="14"/>
      <c r="R2" s="14"/>
      <c r="S2" s="14"/>
    </row>
    <row r="3">
      <c r="A3" s="11">
        <v>43801</v>
      </c>
      <c r="B3" s="5"/>
      <c r="C3" s="5">
        <v>109.90000000000001</v>
      </c>
      <c r="D3" s="5">
        <f>409.5+4.1</f>
        <v>413.60000000000002</v>
      </c>
      <c r="E3" s="5"/>
      <c r="F3" s="5"/>
      <c r="G3" s="5"/>
      <c r="H3" s="5"/>
      <c r="I3" s="5"/>
      <c r="J3" s="5">
        <v>76.090000000000003</v>
      </c>
      <c r="K3" s="5"/>
      <c r="L3" s="5"/>
      <c r="M3" s="5"/>
      <c r="N3" s="5"/>
      <c r="O3" s="5"/>
      <c r="P3" s="5"/>
      <c r="Q3" s="5"/>
      <c r="R3" s="5"/>
      <c r="S3" s="5"/>
    </row>
    <row r="4">
      <c r="A4" s="11">
        <v>43802</v>
      </c>
      <c r="B4" s="14"/>
      <c r="C4" s="14">
        <v>63.979999999999997</v>
      </c>
      <c r="D4" s="14"/>
      <c r="E4" s="14"/>
      <c r="F4" s="14"/>
      <c r="G4" s="14"/>
      <c r="H4" s="14"/>
      <c r="I4" s="14"/>
      <c r="J4" s="14"/>
      <c r="K4" s="14"/>
      <c r="L4" s="14"/>
      <c r="M4" s="14"/>
      <c r="N4" s="14"/>
      <c r="O4" s="14"/>
      <c r="P4" s="14"/>
      <c r="Q4" s="14"/>
      <c r="R4" s="14"/>
      <c r="S4" s="14"/>
    </row>
    <row r="5">
      <c r="A5" s="11">
        <v>43803</v>
      </c>
      <c r="B5" s="5">
        <v>1010</v>
      </c>
      <c r="C5" s="5">
        <f>628.4-446</f>
        <v>182.39999999999998</v>
      </c>
      <c r="D5" s="5"/>
      <c r="E5" s="5"/>
      <c r="F5" s="5"/>
      <c r="G5" s="5"/>
      <c r="H5" s="5"/>
      <c r="I5" s="5"/>
      <c r="J5" s="5"/>
      <c r="K5" s="5"/>
      <c r="L5" s="5">
        <v>280</v>
      </c>
      <c r="M5" s="5"/>
      <c r="N5" s="5"/>
      <c r="O5" s="5"/>
      <c r="P5" s="5"/>
      <c r="Q5" s="5"/>
      <c r="R5" s="5"/>
      <c r="S5" s="5"/>
    </row>
    <row r="6">
      <c r="A6" s="11">
        <v>43804</v>
      </c>
      <c r="B6" s="14">
        <f>1465.8+1465.8+100</f>
        <v>3031.5999999999999</v>
      </c>
      <c r="C6" s="14">
        <v>104.90000000000001</v>
      </c>
      <c r="D6" s="14"/>
      <c r="E6" s="14"/>
      <c r="F6" s="14"/>
      <c r="G6" s="14"/>
      <c r="H6" s="14"/>
      <c r="I6" s="14"/>
      <c r="J6" s="14"/>
      <c r="K6" s="14"/>
      <c r="L6" s="14"/>
      <c r="M6" s="14"/>
      <c r="N6" s="14"/>
      <c r="O6" s="14"/>
      <c r="P6" s="14"/>
      <c r="Q6" s="14"/>
      <c r="R6" s="14"/>
      <c r="S6" s="14"/>
    </row>
    <row r="7">
      <c r="A7" s="11">
        <v>43805</v>
      </c>
      <c r="B7" s="5"/>
      <c r="C7" s="5">
        <f>185.8/2+506.53+149.9</f>
        <v>749.32999999999993</v>
      </c>
      <c r="D7" s="5"/>
      <c r="E7" s="5"/>
      <c r="F7" s="5"/>
      <c r="G7" s="5"/>
      <c r="H7" s="5"/>
      <c r="I7" s="5"/>
      <c r="J7" s="5"/>
      <c r="K7" s="5">
        <f>81.9+9666</f>
        <v>9747.8999999999996</v>
      </c>
      <c r="L7" s="5"/>
      <c r="M7" s="5">
        <v>40</v>
      </c>
      <c r="N7" s="5"/>
      <c r="O7" s="5"/>
      <c r="P7" s="5">
        <v>199</v>
      </c>
      <c r="Q7" s="5"/>
      <c r="R7" s="5"/>
      <c r="S7" s="5"/>
    </row>
    <row r="8">
      <c r="A8" s="11">
        <v>43806</v>
      </c>
      <c r="B8" s="14"/>
      <c r="C8" s="14"/>
      <c r="D8" s="14"/>
      <c r="E8" s="14"/>
      <c r="F8" s="14"/>
      <c r="G8" s="14"/>
      <c r="H8" s="14"/>
      <c r="I8" s="14"/>
      <c r="J8" s="14"/>
      <c r="K8" s="14"/>
      <c r="L8" s="14"/>
      <c r="M8" s="14"/>
      <c r="N8" s="14"/>
      <c r="O8" s="14"/>
      <c r="P8" s="14"/>
      <c r="Q8" s="14"/>
      <c r="R8" s="14"/>
      <c r="S8" s="14"/>
    </row>
    <row r="9">
      <c r="A9" s="11">
        <v>43807</v>
      </c>
      <c r="B9" s="5"/>
      <c r="C9" s="5"/>
      <c r="D9" s="5"/>
      <c r="E9" s="5"/>
      <c r="F9" s="5"/>
      <c r="G9" s="5"/>
      <c r="H9" s="5"/>
      <c r="I9" s="5"/>
      <c r="J9" s="5"/>
      <c r="K9" s="5"/>
      <c r="L9" s="5"/>
      <c r="M9" s="5"/>
      <c r="N9" s="5"/>
      <c r="O9" s="5"/>
      <c r="P9" s="5"/>
      <c r="Q9" s="5"/>
      <c r="R9" s="5"/>
      <c r="S9" s="5"/>
    </row>
    <row r="10">
      <c r="A10" s="11">
        <v>43808</v>
      </c>
      <c r="B10" s="14"/>
      <c r="C10" s="14"/>
      <c r="D10" s="14"/>
      <c r="E10" s="14"/>
      <c r="F10" s="14"/>
      <c r="G10" s="14"/>
      <c r="H10" s="14"/>
      <c r="I10" s="14"/>
      <c r="J10" s="14"/>
      <c r="K10" s="14"/>
      <c r="L10" s="14"/>
      <c r="M10" s="14"/>
      <c r="N10" s="14"/>
      <c r="O10" s="14"/>
      <c r="P10" s="14"/>
      <c r="Q10" s="14"/>
      <c r="R10" s="14"/>
      <c r="S10" s="14"/>
    </row>
    <row r="11">
      <c r="A11" s="11">
        <v>43809</v>
      </c>
      <c r="B11" s="5"/>
      <c r="C11" s="5">
        <f>49.99+145.98+199.9/2</f>
        <v>295.92000000000002</v>
      </c>
      <c r="D11" s="5"/>
      <c r="E11" s="5">
        <v>-1000</v>
      </c>
      <c r="F11" s="5"/>
      <c r="G11" s="5"/>
      <c r="H11" s="5"/>
      <c r="I11" s="5">
        <v>2610</v>
      </c>
      <c r="J11" s="5"/>
      <c r="K11" s="5"/>
      <c r="L11" s="5">
        <f>59.99*3+10999+90</f>
        <v>11268.969999999999</v>
      </c>
      <c r="M11" s="5"/>
      <c r="N11" s="5"/>
      <c r="O11" s="5"/>
      <c r="P11" s="5"/>
      <c r="Q11" s="5"/>
      <c r="R11" s="5"/>
      <c r="S11" s="5"/>
    </row>
    <row r="12">
      <c r="A12" s="11">
        <v>43810</v>
      </c>
      <c r="B12" s="14"/>
      <c r="C12" s="14"/>
      <c r="D12" s="14"/>
      <c r="E12" s="14"/>
      <c r="F12" s="14"/>
      <c r="G12" s="14"/>
      <c r="H12" s="14"/>
      <c r="I12" s="14"/>
      <c r="J12" s="14"/>
      <c r="K12" s="14"/>
      <c r="L12" s="14"/>
      <c r="M12" s="14"/>
      <c r="N12" s="14"/>
      <c r="O12" s="14"/>
      <c r="P12" s="14"/>
      <c r="Q12" s="14"/>
      <c r="R12" s="14"/>
      <c r="S12" s="14"/>
    </row>
    <row r="13">
      <c r="A13" s="11">
        <v>43811</v>
      </c>
      <c r="B13" s="5"/>
      <c r="C13" s="5">
        <v>110</v>
      </c>
      <c r="D13" s="5">
        <v>201</v>
      </c>
      <c r="E13" s="5"/>
      <c r="F13" s="5"/>
      <c r="G13" s="5"/>
      <c r="H13" s="5"/>
      <c r="I13" s="5"/>
      <c r="J13" s="5"/>
      <c r="K13" s="5"/>
      <c r="L13" s="5"/>
      <c r="M13" s="5"/>
      <c r="N13" s="5"/>
      <c r="O13" s="5"/>
      <c r="P13" s="5"/>
      <c r="Q13" s="5"/>
      <c r="R13" s="5"/>
      <c r="S13" s="5"/>
    </row>
    <row r="14">
      <c r="A14" s="11">
        <v>43812</v>
      </c>
      <c r="B14" s="14">
        <v>20</v>
      </c>
      <c r="C14" s="14"/>
      <c r="D14" s="14"/>
      <c r="E14" s="14"/>
      <c r="F14" s="14"/>
      <c r="G14" s="14"/>
      <c r="H14" s="14"/>
      <c r="I14" s="14">
        <v>750</v>
      </c>
      <c r="J14" s="14"/>
      <c r="K14" s="14"/>
      <c r="L14" s="14"/>
      <c r="M14" s="14"/>
      <c r="N14" s="14"/>
      <c r="O14" s="14">
        <v>800</v>
      </c>
      <c r="P14" s="14"/>
      <c r="Q14" s="14"/>
      <c r="R14" s="14"/>
      <c r="S14" s="14"/>
    </row>
    <row r="15">
      <c r="A15" s="11">
        <v>43813</v>
      </c>
      <c r="B15" s="5"/>
      <c r="C15" s="5"/>
      <c r="D15" s="5"/>
      <c r="E15" s="5"/>
      <c r="F15" s="5"/>
      <c r="G15" s="5"/>
      <c r="H15" s="5"/>
      <c r="J15" s="5"/>
      <c r="K15" s="5"/>
      <c r="L15" s="5"/>
      <c r="M15" s="5"/>
      <c r="N15" s="5"/>
      <c r="O15" s="5"/>
      <c r="P15" s="5"/>
      <c r="Q15" s="5"/>
      <c r="R15" s="5"/>
      <c r="S15" s="5"/>
    </row>
    <row r="16">
      <c r="A16" s="11">
        <v>43814</v>
      </c>
      <c r="B16" s="14"/>
      <c r="C16" s="14">
        <f>52.9+154.33</f>
        <v>207.23000000000002</v>
      </c>
      <c r="D16" s="14"/>
      <c r="E16" s="14"/>
      <c r="F16" s="14"/>
      <c r="G16" s="14"/>
      <c r="H16" s="14"/>
      <c r="I16" s="14"/>
      <c r="J16" s="14"/>
      <c r="K16" s="14"/>
      <c r="L16" s="14"/>
      <c r="M16" s="14"/>
      <c r="N16" s="14"/>
      <c r="O16" s="14"/>
      <c r="P16" s="14">
        <f>333.9+380</f>
        <v>713.89999999999998</v>
      </c>
      <c r="Q16" s="14"/>
      <c r="R16" s="14"/>
      <c r="S16" s="14"/>
    </row>
    <row r="17">
      <c r="A17" s="11">
        <v>43815</v>
      </c>
      <c r="B17" s="5">
        <f>40+111</f>
        <v>151</v>
      </c>
      <c r="C17" s="5"/>
      <c r="D17" s="5">
        <v>403.97000000000003</v>
      </c>
      <c r="E17" s="5"/>
      <c r="F17" s="5"/>
      <c r="G17" s="5"/>
      <c r="H17" s="5">
        <f>699+599</f>
        <v>1298</v>
      </c>
      <c r="I17" s="5"/>
      <c r="J17" s="5"/>
      <c r="K17" s="5"/>
      <c r="L17" s="5">
        <f>2397-699-599</f>
        <v>1099</v>
      </c>
      <c r="M17" s="5"/>
      <c r="N17" s="5"/>
      <c r="O17" s="5"/>
      <c r="P17" s="5"/>
      <c r="Q17" s="5"/>
      <c r="R17" s="5"/>
      <c r="S17" s="5"/>
    </row>
    <row r="18">
      <c r="A18" s="11">
        <v>43816</v>
      </c>
      <c r="B18" s="14"/>
      <c r="C18" s="14">
        <v>99.989999999999995</v>
      </c>
      <c r="D18" s="14"/>
      <c r="E18" s="14"/>
      <c r="F18" s="14"/>
      <c r="G18" s="14"/>
      <c r="H18" s="14"/>
      <c r="I18" s="14"/>
      <c r="J18" s="14"/>
      <c r="K18" s="14"/>
      <c r="L18" s="14"/>
      <c r="M18" s="14"/>
      <c r="N18" s="14"/>
      <c r="O18" s="14"/>
      <c r="P18" s="14"/>
      <c r="Q18" s="14"/>
      <c r="R18" s="14"/>
      <c r="S18" s="14"/>
    </row>
    <row r="19">
      <c r="A19" s="11">
        <v>43817</v>
      </c>
      <c r="B19" s="5"/>
      <c r="C19" s="5"/>
      <c r="D19" s="5"/>
      <c r="E19" s="5"/>
      <c r="F19" s="5"/>
      <c r="G19" s="5"/>
      <c r="H19" s="5"/>
      <c r="I19" s="5"/>
      <c r="J19" s="5"/>
      <c r="K19" s="5"/>
      <c r="L19" s="5"/>
      <c r="M19" s="5"/>
      <c r="N19" s="5"/>
      <c r="O19" s="5"/>
      <c r="P19" s="5"/>
      <c r="Q19" s="5"/>
      <c r="R19" s="5"/>
      <c r="S19" s="5"/>
    </row>
    <row r="20">
      <c r="A20" s="11">
        <v>43818</v>
      </c>
      <c r="B20" s="14"/>
      <c r="C20" s="14"/>
      <c r="D20" s="14"/>
      <c r="E20" s="14"/>
      <c r="F20" s="14"/>
      <c r="G20" s="14"/>
      <c r="H20" s="14"/>
      <c r="I20" s="14"/>
      <c r="J20" s="14"/>
      <c r="K20" s="14"/>
      <c r="L20" s="14"/>
      <c r="M20" s="14"/>
      <c r="N20" s="14"/>
      <c r="O20" s="14"/>
      <c r="P20" s="14"/>
      <c r="Q20" s="14"/>
      <c r="R20" s="14"/>
      <c r="S20" s="14"/>
    </row>
    <row r="21">
      <c r="A21" s="11">
        <v>43819</v>
      </c>
      <c r="B21" s="5"/>
      <c r="C21" s="5"/>
      <c r="D21" s="5"/>
      <c r="E21" s="5"/>
      <c r="F21" s="5"/>
      <c r="G21" s="5"/>
      <c r="H21" s="5"/>
      <c r="I21" s="5"/>
      <c r="J21" s="5"/>
      <c r="K21" s="5">
        <v>150</v>
      </c>
      <c r="L21" s="5"/>
      <c r="M21" s="5"/>
      <c r="N21" s="5"/>
      <c r="O21" s="5"/>
      <c r="P21" s="5">
        <v>1050</v>
      </c>
      <c r="Q21" s="5"/>
      <c r="R21" s="5"/>
      <c r="S21" s="5"/>
    </row>
    <row r="22">
      <c r="A22" s="11">
        <v>43820</v>
      </c>
      <c r="B22" s="14">
        <f>500+355</f>
        <v>855</v>
      </c>
      <c r="C22" s="14"/>
      <c r="D22" s="14"/>
      <c r="E22" s="14"/>
      <c r="F22" s="14"/>
      <c r="G22" s="14"/>
      <c r="H22" s="14"/>
      <c r="I22" s="14"/>
      <c r="J22" s="14"/>
      <c r="K22" s="14"/>
      <c r="L22" s="14"/>
      <c r="M22" s="14"/>
      <c r="N22" s="14"/>
      <c r="O22" s="14"/>
      <c r="P22" s="14">
        <v>-1050</v>
      </c>
      <c r="Q22" s="14"/>
      <c r="R22" s="14"/>
      <c r="S22" s="14"/>
    </row>
    <row r="23">
      <c r="A23" s="11">
        <v>43821</v>
      </c>
      <c r="B23" s="5"/>
      <c r="C23" s="5">
        <v>580</v>
      </c>
      <c r="D23" s="5"/>
      <c r="E23" s="5"/>
      <c r="F23" s="5"/>
      <c r="G23" s="5"/>
      <c r="H23" s="5"/>
      <c r="I23" s="5"/>
      <c r="J23" s="5"/>
      <c r="K23" s="5"/>
      <c r="L23" s="5"/>
      <c r="M23" s="5"/>
      <c r="N23" s="5"/>
      <c r="O23" s="5"/>
      <c r="P23" s="5"/>
      <c r="Q23" s="5"/>
      <c r="R23" s="5"/>
      <c r="S23" s="5"/>
    </row>
    <row r="24">
      <c r="A24" s="11">
        <v>43822</v>
      </c>
      <c r="B24" s="14">
        <v>50</v>
      </c>
      <c r="C24" s="14">
        <v>66.989999999999995</v>
      </c>
      <c r="D24" s="14"/>
      <c r="E24" s="14"/>
      <c r="F24" s="14"/>
      <c r="G24" s="14"/>
      <c r="H24" s="14"/>
      <c r="I24" s="14"/>
      <c r="J24" s="14"/>
      <c r="K24" s="14"/>
      <c r="L24" s="14"/>
      <c r="M24" s="14"/>
      <c r="N24" s="14"/>
      <c r="O24" s="14"/>
      <c r="P24" s="14"/>
      <c r="Q24" s="14"/>
      <c r="R24" s="14"/>
      <c r="S24" s="14"/>
    </row>
    <row r="25">
      <c r="A25" s="11">
        <v>43823</v>
      </c>
      <c r="C25" s="5">
        <f>136.97+280.9</f>
        <v>417.87</v>
      </c>
      <c r="D25" s="5"/>
      <c r="E25" s="5">
        <v>2039</v>
      </c>
      <c r="F25" s="5"/>
      <c r="G25" s="5"/>
      <c r="H25" s="5"/>
      <c r="I25" s="5"/>
      <c r="J25" s="5"/>
      <c r="K25" s="5"/>
      <c r="L25" s="5"/>
      <c r="M25" s="5"/>
      <c r="N25" s="5"/>
      <c r="O25" s="5"/>
      <c r="P25" s="5"/>
      <c r="Q25" s="5"/>
      <c r="R25" s="5"/>
      <c r="S25" s="5"/>
    </row>
    <row r="26">
      <c r="A26" s="11">
        <v>43824</v>
      </c>
      <c r="B26" s="14"/>
      <c r="C26" s="14"/>
      <c r="D26" s="14"/>
      <c r="E26" s="14">
        <f>(1560-1575)+(1130-1130)</f>
        <v>-15</v>
      </c>
      <c r="F26" s="14"/>
      <c r="G26" s="14"/>
      <c r="H26" s="14"/>
      <c r="I26" s="14">
        <f>1280-1130</f>
        <v>150</v>
      </c>
      <c r="J26" s="14"/>
      <c r="K26" s="14">
        <v>3152</v>
      </c>
      <c r="L26" s="14"/>
      <c r="M26" s="14"/>
      <c r="N26" s="14"/>
      <c r="O26" s="14"/>
      <c r="P26" s="14"/>
      <c r="Q26" s="14"/>
      <c r="R26" s="14"/>
      <c r="S26" s="14"/>
    </row>
    <row r="27">
      <c r="A27" s="11">
        <v>43825</v>
      </c>
      <c r="B27" s="5"/>
      <c r="C27" s="5">
        <v>1184.1600000000001</v>
      </c>
      <c r="D27" s="5"/>
      <c r="E27" s="5"/>
      <c r="F27" s="5"/>
      <c r="G27" s="5"/>
      <c r="H27" s="5"/>
      <c r="I27" s="5"/>
      <c r="J27" s="5"/>
      <c r="K27" s="5"/>
      <c r="L27" s="5"/>
      <c r="M27" s="5"/>
      <c r="N27" s="5"/>
      <c r="O27" s="5"/>
      <c r="P27" s="5"/>
      <c r="Q27" s="5"/>
      <c r="R27" s="5"/>
      <c r="S27" s="5"/>
    </row>
    <row r="28">
      <c r="A28" s="11">
        <v>43826</v>
      </c>
      <c r="B28" s="14"/>
      <c r="C28" s="14"/>
      <c r="D28" s="14"/>
      <c r="E28" s="14"/>
      <c r="F28" s="14"/>
      <c r="G28" s="14"/>
      <c r="H28" s="14"/>
      <c r="I28" s="14"/>
      <c r="J28" s="14"/>
      <c r="K28" s="14"/>
      <c r="L28" s="14"/>
      <c r="M28" s="14">
        <v>40</v>
      </c>
      <c r="N28" s="14"/>
      <c r="O28" s="14"/>
      <c r="P28" s="14"/>
      <c r="Q28" s="14"/>
      <c r="R28" s="14"/>
      <c r="S28" s="14"/>
    </row>
    <row r="29">
      <c r="A29" s="11">
        <v>43827</v>
      </c>
      <c r="B29" s="5"/>
      <c r="C29" s="5"/>
      <c r="D29" s="5"/>
      <c r="E29" s="5">
        <v>23000</v>
      </c>
      <c r="F29" s="5"/>
      <c r="G29" s="5"/>
      <c r="H29" s="5"/>
      <c r="I29" s="5"/>
      <c r="J29" s="5"/>
      <c r="K29" s="5"/>
      <c r="L29" s="5">
        <v>151</v>
      </c>
      <c r="M29" s="5"/>
      <c r="N29" s="5"/>
      <c r="O29" s="5"/>
      <c r="P29" s="5"/>
      <c r="Q29" s="5"/>
      <c r="R29" s="5"/>
      <c r="S29" s="5"/>
    </row>
    <row r="30">
      <c r="A30" s="11">
        <v>43828</v>
      </c>
      <c r="B30" s="14"/>
      <c r="C30" s="14"/>
      <c r="D30" s="14"/>
      <c r="E30" s="14">
        <v>-23000</v>
      </c>
      <c r="F30" s="14"/>
      <c r="G30" s="14"/>
      <c r="H30" s="14"/>
      <c r="I30" s="14"/>
      <c r="J30" s="14"/>
      <c r="K30" s="14"/>
      <c r="L30" s="14"/>
      <c r="M30" s="14"/>
      <c r="N30" s="14"/>
      <c r="O30" s="14"/>
      <c r="P30" s="14"/>
      <c r="Q30" s="14"/>
      <c r="R30" s="14"/>
      <c r="S30" s="14"/>
    </row>
    <row r="31">
      <c r="A31" s="11">
        <v>43829</v>
      </c>
      <c r="B31" s="3"/>
      <c r="C31" s="3">
        <v>142.96000000000001</v>
      </c>
      <c r="D31" s="3"/>
      <c r="E31" s="3"/>
      <c r="F31" s="3"/>
      <c r="G31" s="3"/>
      <c r="H31" s="3"/>
      <c r="I31" s="3"/>
      <c r="J31" s="3"/>
      <c r="K31" s="3"/>
      <c r="L31" s="3"/>
      <c r="M31" s="3"/>
      <c r="N31" s="3"/>
      <c r="O31" s="3"/>
      <c r="P31" s="3"/>
      <c r="Q31" s="3"/>
      <c r="R31" s="3"/>
      <c r="S31" s="3"/>
    </row>
    <row r="32">
      <c r="A32" s="11">
        <v>43830</v>
      </c>
      <c r="B32" s="14"/>
      <c r="C32" s="14">
        <v>591.69000000000005</v>
      </c>
      <c r="D32" s="14">
        <v>200</v>
      </c>
      <c r="E32" s="14"/>
      <c r="F32" s="14"/>
      <c r="G32" s="14"/>
      <c r="H32" s="14"/>
      <c r="I32" s="14"/>
      <c r="J32" s="14"/>
      <c r="K32" s="14"/>
      <c r="L32" s="14"/>
      <c r="M32" s="14"/>
      <c r="N32" s="14"/>
      <c r="O32" s="14"/>
      <c r="P32" s="14"/>
      <c r="Q32" s="14"/>
      <c r="R32" s="14"/>
      <c r="S32" s="14"/>
    </row>
    <row r="33">
      <c r="A33" s="7"/>
      <c r="B33" s="7">
        <f t="shared" ref="B33:Q33" si="13">SUM(B2:B32)</f>
        <v>5193.6000000000004</v>
      </c>
      <c r="C33" s="7">
        <f t="shared" si="13"/>
        <v>4907.3199999999997</v>
      </c>
      <c r="D33" s="7">
        <f t="shared" si="13"/>
        <v>1218.5700000000002</v>
      </c>
      <c r="E33" s="7">
        <f t="shared" si="13"/>
        <v>2054</v>
      </c>
      <c r="F33" s="7">
        <f t="shared" si="13"/>
        <v>0</v>
      </c>
      <c r="G33" s="7">
        <f t="shared" si="13"/>
        <v>0</v>
      </c>
      <c r="H33" s="7">
        <f t="shared" si="13"/>
        <v>1298</v>
      </c>
      <c r="I33" s="7">
        <f t="shared" si="13"/>
        <v>3510</v>
      </c>
      <c r="J33" s="7">
        <f t="shared" si="13"/>
        <v>76.090000000000003</v>
      </c>
      <c r="K33" s="7">
        <f t="shared" si="13"/>
        <v>13049.9</v>
      </c>
      <c r="L33" s="7">
        <f t="shared" si="13"/>
        <v>12798.969999999999</v>
      </c>
      <c r="M33" s="7">
        <f t="shared" si="13"/>
        <v>80</v>
      </c>
      <c r="N33" s="7">
        <f t="shared" si="13"/>
        <v>0</v>
      </c>
      <c r="O33" s="7">
        <f t="shared" si="13"/>
        <v>800</v>
      </c>
      <c r="P33" s="7">
        <f t="shared" si="13"/>
        <v>912.90000000000009</v>
      </c>
      <c r="Q33" s="7">
        <f t="shared" si="13"/>
        <v>0</v>
      </c>
      <c r="R33" s="7" t="s">
        <v>14</v>
      </c>
      <c r="S33" s="7">
        <f>SUM(B33:Q33)</f>
        <v>45899.349999999999</v>
      </c>
    </row>
    <row r="34">
      <c r="A34" s="8"/>
      <c r="B34" s="8"/>
      <c r="C34" s="8"/>
      <c r="D34" s="8"/>
      <c r="E34" s="8"/>
      <c r="F34" s="8"/>
      <c r="G34" s="8"/>
      <c r="H34" s="8"/>
      <c r="I34" s="8"/>
      <c r="J34" s="9"/>
      <c r="K34" s="9"/>
      <c r="L34" s="9"/>
      <c r="M34" s="9"/>
      <c r="N34" s="9"/>
      <c r="O34" s="9"/>
      <c r="P34" s="9"/>
      <c r="Q34" s="9"/>
      <c r="R34" s="9"/>
      <c r="S34" s="9"/>
    </row>
    <row r="35">
      <c r="A35" s="10" t="s">
        <v>0</v>
      </c>
      <c r="B35" s="10" t="s">
        <v>15</v>
      </c>
      <c r="C35" s="10" t="s">
        <v>16</v>
      </c>
      <c r="D35" s="10" t="s">
        <v>17</v>
      </c>
      <c r="E35" s="10" t="s">
        <v>18</v>
      </c>
      <c r="F35" s="10" t="s">
        <v>21</v>
      </c>
      <c r="G35" s="10" t="s">
        <v>26</v>
      </c>
      <c r="H35" s="10" t="s">
        <v>27</v>
      </c>
      <c r="I35" s="1"/>
    </row>
    <row r="36">
      <c r="A36" s="11">
        <v>43800</v>
      </c>
      <c r="B36" s="14"/>
      <c r="C36" s="14"/>
      <c r="D36" s="14"/>
      <c r="E36" s="14"/>
      <c r="F36" s="14"/>
      <c r="G36" s="14">
        <v>78</v>
      </c>
      <c r="H36" s="14"/>
      <c r="I36" s="14"/>
      <c r="N36" s="13"/>
      <c r="O36" s="13"/>
    </row>
    <row r="37">
      <c r="A37" s="11">
        <v>43801</v>
      </c>
      <c r="B37" s="5"/>
      <c r="C37" s="5"/>
      <c r="D37" s="5"/>
      <c r="E37" s="5"/>
      <c r="F37" s="5"/>
      <c r="G37" s="5"/>
      <c r="H37" s="5"/>
      <c r="I37" s="5"/>
      <c r="N37">
        <f>109.9/2+95+199.9/2+50</f>
        <v>299.89999999999998</v>
      </c>
      <c r="O37" t="s">
        <v>34</v>
      </c>
    </row>
    <row r="38">
      <c r="A38" s="11">
        <v>43802</v>
      </c>
      <c r="B38" s="14"/>
      <c r="C38" s="14">
        <v>500</v>
      </c>
      <c r="D38" s="14"/>
      <c r="E38" s="14"/>
      <c r="F38" s="14"/>
      <c r="G38" s="14">
        <v>100</v>
      </c>
      <c r="H38" s="14"/>
      <c r="I38" s="14"/>
      <c r="N38">
        <v>38</v>
      </c>
      <c r="O38" t="s">
        <v>28</v>
      </c>
    </row>
    <row r="39">
      <c r="A39" s="11">
        <v>43803</v>
      </c>
      <c r="B39" s="5"/>
      <c r="C39" s="5"/>
      <c r="D39" s="5"/>
      <c r="E39" s="5"/>
      <c r="F39" s="5"/>
      <c r="G39" s="5"/>
      <c r="H39" s="5"/>
      <c r="I39" s="5"/>
      <c r="N39">
        <f>2030-500</f>
        <v>1530</v>
      </c>
      <c r="O39" t="s">
        <v>29</v>
      </c>
    </row>
    <row r="40">
      <c r="A40" s="11">
        <v>43804</v>
      </c>
      <c r="B40" s="14"/>
      <c r="C40" s="14"/>
      <c r="D40" s="14"/>
      <c r="E40" s="14"/>
      <c r="F40" s="14"/>
      <c r="G40" s="14"/>
      <c r="H40" s="14"/>
      <c r="I40" s="14"/>
      <c r="N40">
        <f>21000-344+2039+23000-23000</f>
        <v>22695</v>
      </c>
      <c r="O40" t="s">
        <v>31</v>
      </c>
    </row>
    <row r="41">
      <c r="A41" s="11">
        <v>43805</v>
      </c>
      <c r="B41" s="5"/>
      <c r="C41" s="5"/>
      <c r="D41" s="5"/>
      <c r="E41" s="5"/>
      <c r="F41" s="5"/>
      <c r="G41" s="5"/>
      <c r="H41" s="5"/>
      <c r="I41" s="5"/>
      <c r="O41" t="s">
        <v>35</v>
      </c>
    </row>
    <row r="42">
      <c r="A42" s="11">
        <v>43806</v>
      </c>
      <c r="B42" s="14"/>
      <c r="C42" s="14"/>
      <c r="D42" s="14"/>
      <c r="E42" s="14"/>
      <c r="F42" s="14"/>
      <c r="G42" s="14"/>
      <c r="H42" s="14"/>
      <c r="I42" s="14"/>
    </row>
    <row r="43">
      <c r="A43" s="11">
        <v>43807</v>
      </c>
      <c r="B43" s="5"/>
      <c r="C43" s="5"/>
      <c r="D43" s="5"/>
      <c r="E43" s="5"/>
      <c r="F43" s="5"/>
      <c r="G43" s="5"/>
      <c r="H43" s="5"/>
      <c r="I43" s="5"/>
    </row>
    <row r="44">
      <c r="A44" s="11">
        <v>43808</v>
      </c>
      <c r="B44" s="15"/>
      <c r="C44" s="14"/>
      <c r="D44" s="14"/>
      <c r="E44" s="14"/>
      <c r="F44" s="14"/>
      <c r="G44" s="14">
        <v>250</v>
      </c>
      <c r="H44" s="14"/>
      <c r="I44" s="14"/>
    </row>
    <row r="45">
      <c r="A45" s="11">
        <v>43809</v>
      </c>
      <c r="B45" s="5">
        <v>41113.089999999997</v>
      </c>
      <c r="C45" s="5"/>
      <c r="D45" s="5"/>
      <c r="E45" s="5"/>
      <c r="F45" s="5"/>
      <c r="G45" s="5"/>
      <c r="H45" s="5"/>
      <c r="I45" s="5"/>
    </row>
    <row r="46">
      <c r="A46" s="11">
        <v>43810</v>
      </c>
      <c r="B46" s="14"/>
      <c r="C46" s="14"/>
      <c r="D46" s="14"/>
      <c r="E46" s="14"/>
      <c r="F46" s="14"/>
      <c r="G46" s="14"/>
      <c r="H46" s="14"/>
      <c r="I46" s="14"/>
    </row>
    <row r="47">
      <c r="A47" s="11">
        <v>43811</v>
      </c>
      <c r="B47" s="5"/>
      <c r="C47" s="5"/>
      <c r="D47" s="5"/>
      <c r="E47" s="5"/>
      <c r="F47" s="5"/>
      <c r="G47" s="5"/>
      <c r="H47" s="5"/>
      <c r="I47" s="5"/>
    </row>
    <row r="48">
      <c r="A48" s="11">
        <v>43812</v>
      </c>
      <c r="B48" s="14"/>
      <c r="C48" s="14"/>
      <c r="D48" s="14"/>
      <c r="E48" s="14"/>
      <c r="F48" s="14"/>
      <c r="G48" s="14"/>
      <c r="H48" s="14"/>
      <c r="I48" s="14"/>
    </row>
    <row r="49">
      <c r="A49" s="11">
        <v>43813</v>
      </c>
      <c r="B49" s="5"/>
      <c r="C49" s="5"/>
      <c r="D49" s="5"/>
      <c r="E49" s="5"/>
      <c r="F49" s="5"/>
      <c r="G49" s="5"/>
      <c r="H49" s="5"/>
      <c r="I49" s="5"/>
    </row>
    <row r="50">
      <c r="A50" s="11">
        <v>43814</v>
      </c>
      <c r="B50" s="14"/>
      <c r="C50" s="14"/>
      <c r="D50" s="14"/>
      <c r="E50" s="14"/>
      <c r="F50" s="14"/>
      <c r="G50" s="14"/>
      <c r="H50" s="14"/>
      <c r="I50" s="14"/>
    </row>
    <row r="51">
      <c r="A51" s="11">
        <v>43815</v>
      </c>
      <c r="B51" s="5"/>
      <c r="C51" s="5"/>
      <c r="D51" s="5"/>
      <c r="E51" s="5"/>
      <c r="F51" s="5"/>
      <c r="G51" s="5"/>
      <c r="H51" s="5"/>
      <c r="I51" s="5"/>
    </row>
    <row r="52">
      <c r="A52" s="16">
        <v>43816</v>
      </c>
      <c r="B52" s="14"/>
      <c r="C52" s="14"/>
      <c r="D52" s="14"/>
      <c r="E52" s="14"/>
      <c r="F52" s="14"/>
      <c r="G52" s="14"/>
      <c r="H52" s="14"/>
      <c r="I52" s="14"/>
    </row>
    <row r="53">
      <c r="A53" s="11">
        <v>43817</v>
      </c>
      <c r="B53" s="5"/>
      <c r="C53" s="5"/>
      <c r="D53" s="5"/>
      <c r="E53" s="5"/>
      <c r="F53" s="5"/>
      <c r="G53" s="5"/>
      <c r="H53" s="5"/>
      <c r="I53" s="5"/>
    </row>
    <row r="54">
      <c r="A54" s="16">
        <v>43818</v>
      </c>
      <c r="B54" s="14"/>
      <c r="C54" s="14"/>
      <c r="D54" s="14"/>
      <c r="E54" s="14"/>
      <c r="F54" s="14"/>
      <c r="G54" s="14">
        <v>150</v>
      </c>
      <c r="H54" s="14"/>
      <c r="I54" s="14"/>
    </row>
    <row r="55">
      <c r="A55" s="11">
        <v>43819</v>
      </c>
      <c r="B55" s="5"/>
      <c r="C55" s="5"/>
      <c r="D55" s="5"/>
      <c r="E55" s="5"/>
      <c r="F55" s="5"/>
      <c r="G55" s="5"/>
      <c r="H55" s="5"/>
      <c r="I55" s="5"/>
    </row>
    <row r="56">
      <c r="A56" s="16">
        <v>43820</v>
      </c>
      <c r="B56" s="14"/>
      <c r="C56" s="14"/>
      <c r="D56" s="14"/>
      <c r="E56" s="14"/>
      <c r="F56" s="14"/>
      <c r="G56" s="14"/>
      <c r="H56" s="14"/>
      <c r="I56" s="14"/>
    </row>
    <row r="57">
      <c r="A57" s="11">
        <v>43821</v>
      </c>
      <c r="B57" s="5"/>
      <c r="C57" s="5"/>
      <c r="D57" s="5"/>
      <c r="E57" s="5"/>
      <c r="F57" s="5"/>
      <c r="G57" s="5"/>
      <c r="H57" s="5"/>
      <c r="I57" s="5"/>
    </row>
    <row r="58">
      <c r="A58" s="16">
        <v>43822</v>
      </c>
      <c r="B58" s="14"/>
      <c r="C58" s="14"/>
      <c r="D58" s="14"/>
      <c r="E58" s="14"/>
      <c r="F58" s="14"/>
      <c r="G58" s="14"/>
      <c r="H58" s="14"/>
      <c r="I58" s="14"/>
    </row>
    <row r="59">
      <c r="A59" s="11">
        <v>43823</v>
      </c>
      <c r="B59" s="5"/>
      <c r="C59" s="5"/>
      <c r="D59" s="5"/>
      <c r="E59" s="5"/>
      <c r="F59" s="5"/>
      <c r="G59" s="5">
        <v>100</v>
      </c>
      <c r="H59" s="5"/>
      <c r="I59" s="5"/>
    </row>
    <row r="60">
      <c r="A60" s="16">
        <v>43824</v>
      </c>
      <c r="B60" s="14">
        <v>21500</v>
      </c>
      <c r="C60" s="14"/>
      <c r="D60" s="14"/>
      <c r="E60" s="14"/>
      <c r="F60" s="14"/>
      <c r="G60" s="14"/>
      <c r="H60" s="14"/>
      <c r="I60" s="14"/>
    </row>
    <row r="61">
      <c r="A61" s="11">
        <v>43825</v>
      </c>
      <c r="B61" s="5"/>
      <c r="C61" s="5"/>
      <c r="D61" s="5"/>
      <c r="E61" s="5"/>
      <c r="F61" s="5"/>
      <c r="G61" s="5"/>
      <c r="H61" s="5"/>
      <c r="I61" s="5"/>
    </row>
    <row r="62">
      <c r="A62" s="16">
        <v>43826</v>
      </c>
      <c r="B62" s="14"/>
      <c r="C62" s="14"/>
      <c r="D62" s="14"/>
      <c r="E62" s="14"/>
      <c r="F62" s="14"/>
      <c r="G62" s="14"/>
      <c r="H62" s="14"/>
      <c r="I62" s="14"/>
    </row>
    <row r="63">
      <c r="A63" s="11">
        <v>43827</v>
      </c>
      <c r="B63" s="5"/>
      <c r="C63" s="5"/>
      <c r="D63" s="5"/>
      <c r="E63" s="5"/>
      <c r="F63" s="5"/>
      <c r="G63" s="5"/>
      <c r="H63" s="5"/>
      <c r="I63" s="5"/>
    </row>
    <row r="64">
      <c r="A64" s="16">
        <v>43828</v>
      </c>
      <c r="B64" s="14"/>
      <c r="C64" s="14"/>
      <c r="D64" s="14"/>
      <c r="E64" s="14"/>
      <c r="F64" s="14"/>
      <c r="G64" s="14"/>
      <c r="H64" s="14"/>
      <c r="I64" s="14"/>
    </row>
    <row r="65">
      <c r="A65" s="11">
        <v>43829</v>
      </c>
      <c r="B65" s="3"/>
      <c r="C65" s="3"/>
      <c r="D65" s="3"/>
      <c r="E65" s="3"/>
      <c r="F65" s="3"/>
      <c r="G65" s="3"/>
      <c r="H65" s="3"/>
      <c r="I65" s="3"/>
    </row>
    <row r="66">
      <c r="A66" s="16">
        <v>43830</v>
      </c>
      <c r="B66" s="14"/>
      <c r="C66" s="14"/>
      <c r="D66" s="14"/>
      <c r="E66" s="14">
        <f>1266.14+16.85</f>
        <v>1282.99</v>
      </c>
      <c r="F66" s="14"/>
      <c r="G66" s="14"/>
      <c r="H66" s="14"/>
      <c r="I66" s="14"/>
    </row>
    <row r="67">
      <c r="A67" s="7"/>
      <c r="B67" s="7">
        <f t="shared" ref="B67:H67" si="14">SUM(B36:B66)</f>
        <v>62613.089999999997</v>
      </c>
      <c r="C67" s="7">
        <f t="shared" si="14"/>
        <v>500</v>
      </c>
      <c r="D67" s="7">
        <f t="shared" si="14"/>
        <v>0</v>
      </c>
      <c r="E67" s="7">
        <f t="shared" si="14"/>
        <v>1282.99</v>
      </c>
      <c r="F67" s="7">
        <f t="shared" si="14"/>
        <v>0</v>
      </c>
      <c r="G67" s="7">
        <f t="shared" si="14"/>
        <v>678</v>
      </c>
      <c r="H67" s="7">
        <f t="shared" si="14"/>
        <v>0</v>
      </c>
      <c r="I67" s="7">
        <f>SUM(B67:H67)</f>
        <v>65074.079999999994</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3" activeCellId="0" sqref="B33"/>
    </sheetView>
  </sheetViews>
  <sheetFormatPr defaultRowHeight="14.25"/>
  <cols>
    <col bestFit="1" customWidth="1" min="1" max="1" width="12.140625"/>
    <col bestFit="1" customWidth="1" min="15" max="15" width="15.7109375"/>
    <col bestFit="1" customWidth="1" min="16" max="16" width="12.28515625"/>
  </cols>
  <sheetData>
    <row r="1">
      <c r="A1" s="10" t="s">
        <v>0</v>
      </c>
      <c r="B1" s="10" t="s">
        <v>1</v>
      </c>
      <c r="C1" s="10" t="s">
        <v>2</v>
      </c>
      <c r="D1" s="10" t="s">
        <v>3</v>
      </c>
      <c r="E1" s="10" t="s">
        <v>4</v>
      </c>
      <c r="F1" s="10" t="s">
        <v>25</v>
      </c>
      <c r="G1" s="10" t="s">
        <v>6</v>
      </c>
      <c r="H1" s="10" t="s">
        <v>7</v>
      </c>
      <c r="I1" s="10" t="s">
        <v>8</v>
      </c>
      <c r="J1" s="10" t="s">
        <v>9</v>
      </c>
      <c r="K1" s="10" t="s">
        <v>10</v>
      </c>
      <c r="L1" s="10" t="s">
        <v>11</v>
      </c>
      <c r="M1" s="10" t="s">
        <v>12</v>
      </c>
      <c r="N1" s="10" t="s">
        <v>13</v>
      </c>
      <c r="O1" s="10" t="s">
        <v>19</v>
      </c>
      <c r="P1" s="10" t="s">
        <v>20</v>
      </c>
      <c r="Q1" s="1"/>
      <c r="R1" s="1"/>
      <c r="S1" s="1"/>
    </row>
    <row r="2">
      <c r="A2" s="11">
        <v>43831</v>
      </c>
      <c r="B2" s="14"/>
      <c r="C2" s="14">
        <v>431.01999999999998</v>
      </c>
      <c r="D2" s="14"/>
      <c r="E2" s="14"/>
      <c r="F2" s="14"/>
      <c r="G2" s="14"/>
      <c r="H2" s="14"/>
      <c r="I2" s="14"/>
      <c r="J2" s="14"/>
      <c r="K2" s="14"/>
      <c r="L2" s="14"/>
      <c r="M2" s="14"/>
      <c r="N2" s="14"/>
      <c r="O2" s="14"/>
      <c r="P2" s="14"/>
      <c r="Q2" s="14"/>
      <c r="R2" s="14"/>
      <c r="S2" s="14"/>
    </row>
    <row r="3">
      <c r="A3" s="11">
        <v>43832</v>
      </c>
      <c r="B3" s="5"/>
      <c r="C3" s="5"/>
      <c r="D3" s="5"/>
      <c r="E3" s="5"/>
      <c r="F3" s="5"/>
      <c r="G3" s="5"/>
      <c r="H3" s="5"/>
      <c r="I3" s="5"/>
      <c r="J3" s="5"/>
      <c r="K3" s="5"/>
      <c r="L3" s="5"/>
      <c r="M3" s="5"/>
      <c r="N3" s="5"/>
      <c r="O3" s="5"/>
      <c r="P3" s="5"/>
      <c r="Q3" s="5"/>
      <c r="R3" s="5"/>
      <c r="S3" s="5"/>
    </row>
    <row r="4">
      <c r="A4" s="11">
        <v>43833</v>
      </c>
      <c r="B4" s="14">
        <v>500</v>
      </c>
      <c r="C4" s="14"/>
      <c r="D4" s="14"/>
      <c r="E4" s="17">
        <v>1000</v>
      </c>
      <c r="F4" s="14"/>
      <c r="G4" s="14"/>
      <c r="H4" s="14"/>
      <c r="I4" s="14"/>
      <c r="J4" s="14"/>
      <c r="K4" s="14"/>
      <c r="L4" s="14"/>
      <c r="M4" s="14"/>
      <c r="N4" s="14"/>
      <c r="O4" s="14"/>
      <c r="P4" s="14"/>
      <c r="Q4" s="14"/>
      <c r="R4" s="14"/>
      <c r="S4" s="14"/>
    </row>
    <row r="5">
      <c r="A5" s="11">
        <v>43834</v>
      </c>
      <c r="B5" s="5"/>
      <c r="C5" s="5" t="s">
        <v>36</v>
      </c>
      <c r="D5" s="5">
        <v>438</v>
      </c>
      <c r="E5" s="5"/>
      <c r="F5" s="5"/>
      <c r="G5" s="5"/>
      <c r="H5" s="5"/>
      <c r="I5" s="5"/>
      <c r="J5" s="5"/>
      <c r="K5" s="5"/>
      <c r="L5" s="5"/>
      <c r="M5" s="5"/>
      <c r="N5" s="5"/>
      <c r="O5" s="5"/>
      <c r="P5" s="5"/>
      <c r="Q5" s="5"/>
      <c r="R5" s="5"/>
      <c r="S5" s="5"/>
    </row>
    <row r="6">
      <c r="A6" s="11">
        <v>43835</v>
      </c>
      <c r="B6" s="14"/>
      <c r="C6" s="14">
        <v>696</v>
      </c>
      <c r="D6" s="14">
        <v>436</v>
      </c>
      <c r="E6" s="14"/>
      <c r="F6" s="14"/>
      <c r="G6" s="14"/>
      <c r="H6" s="14"/>
      <c r="I6" s="14"/>
      <c r="J6" s="14"/>
      <c r="K6" s="14">
        <v>9666</v>
      </c>
      <c r="L6" s="14"/>
      <c r="M6" s="14"/>
      <c r="N6" s="14"/>
      <c r="O6" s="14"/>
      <c r="P6" s="14"/>
      <c r="Q6" s="14"/>
      <c r="R6" s="14"/>
      <c r="S6" s="14"/>
    </row>
    <row r="7">
      <c r="A7" s="11">
        <v>43836</v>
      </c>
      <c r="B7" s="5">
        <v>250</v>
      </c>
      <c r="C7" s="5"/>
      <c r="D7" s="5"/>
      <c r="E7" s="5"/>
      <c r="F7" s="5"/>
      <c r="G7" s="5"/>
      <c r="H7" s="5"/>
      <c r="I7" s="5"/>
      <c r="J7" s="5"/>
      <c r="K7" s="5"/>
      <c r="L7" s="5"/>
      <c r="M7" s="5"/>
      <c r="N7" s="5"/>
      <c r="O7" s="5"/>
      <c r="P7" s="5"/>
      <c r="Q7" s="5"/>
      <c r="R7" s="5"/>
      <c r="S7" s="5"/>
    </row>
    <row r="8">
      <c r="A8" s="11">
        <v>43837</v>
      </c>
      <c r="B8" s="14"/>
      <c r="C8" s="14"/>
      <c r="D8" s="14"/>
      <c r="E8" s="17">
        <v>69</v>
      </c>
      <c r="F8" s="14"/>
      <c r="G8" s="14"/>
      <c r="H8" s="14"/>
      <c r="I8" s="14"/>
      <c r="J8" s="14"/>
      <c r="K8" s="14"/>
      <c r="L8" s="14"/>
      <c r="M8" s="14">
        <v>300</v>
      </c>
      <c r="N8" s="14"/>
      <c r="O8" s="14"/>
      <c r="P8" s="14"/>
      <c r="Q8" s="14"/>
      <c r="R8" s="14"/>
      <c r="S8" s="14"/>
    </row>
    <row r="9">
      <c r="A9" s="11">
        <v>43838</v>
      </c>
      <c r="B9" s="5"/>
      <c r="C9" s="5">
        <v>85</v>
      </c>
      <c r="D9" s="5"/>
      <c r="E9" s="5"/>
      <c r="F9" s="5"/>
      <c r="G9" s="5"/>
      <c r="H9" s="5"/>
      <c r="I9" s="5"/>
      <c r="J9" s="5"/>
      <c r="K9" s="5"/>
      <c r="L9" s="5"/>
      <c r="M9" s="5"/>
      <c r="N9" s="5"/>
      <c r="O9" s="5"/>
      <c r="P9" s="5"/>
      <c r="Q9" s="5"/>
      <c r="R9" s="5"/>
      <c r="S9" s="5"/>
    </row>
    <row r="10">
      <c r="A10" s="11">
        <v>43839</v>
      </c>
      <c r="B10" s="14"/>
      <c r="C10" s="14">
        <v>496.32999999999998</v>
      </c>
      <c r="D10" s="14"/>
      <c r="E10" s="14"/>
      <c r="F10" s="14"/>
      <c r="G10" s="14"/>
      <c r="H10" s="14"/>
      <c r="I10" s="14"/>
      <c r="J10" s="14"/>
      <c r="K10" s="14"/>
      <c r="L10" s="14"/>
      <c r="M10" s="14"/>
      <c r="N10" s="14"/>
      <c r="O10" s="14"/>
      <c r="P10" s="14"/>
      <c r="Q10" s="14"/>
      <c r="R10" s="14"/>
      <c r="S10" s="14"/>
    </row>
    <row r="11">
      <c r="A11" s="11">
        <v>43840</v>
      </c>
      <c r="B11" s="5">
        <f>1498+1498</f>
        <v>2996</v>
      </c>
      <c r="C11" s="5"/>
      <c r="D11" s="5"/>
      <c r="E11" s="17">
        <v>500</v>
      </c>
      <c r="F11" s="5"/>
      <c r="G11" s="5"/>
      <c r="H11" s="5"/>
      <c r="I11" s="5">
        <v>148.34999999999999</v>
      </c>
      <c r="J11" s="5"/>
      <c r="K11" s="5"/>
      <c r="L11" s="5"/>
      <c r="M11" s="5"/>
      <c r="N11" s="5"/>
      <c r="O11" s="5"/>
      <c r="P11" s="5">
        <v>199</v>
      </c>
      <c r="Q11" s="5"/>
      <c r="R11" s="5"/>
      <c r="S11" s="5"/>
    </row>
    <row r="12">
      <c r="A12" s="11">
        <v>43841</v>
      </c>
      <c r="B12" s="14"/>
      <c r="C12" s="14">
        <v>130.19999999999999</v>
      </c>
      <c r="D12" s="14"/>
      <c r="E12" s="17">
        <v>-1000</v>
      </c>
      <c r="F12" s="14"/>
      <c r="G12" s="14"/>
      <c r="H12" s="14"/>
      <c r="I12" s="14"/>
      <c r="J12" s="14"/>
      <c r="K12" s="14"/>
      <c r="L12" s="14"/>
      <c r="M12" s="14"/>
      <c r="N12" s="14"/>
      <c r="O12" s="14"/>
      <c r="P12" s="14"/>
      <c r="Q12" s="14"/>
      <c r="R12" s="14"/>
      <c r="S12" s="14"/>
    </row>
    <row r="13">
      <c r="A13" s="11">
        <v>43842</v>
      </c>
      <c r="B13" s="5"/>
      <c r="C13" s="5"/>
      <c r="D13" s="5"/>
      <c r="E13" s="17">
        <v>-70</v>
      </c>
      <c r="F13" s="5"/>
      <c r="G13" s="5"/>
      <c r="H13" s="5"/>
      <c r="I13" s="5"/>
      <c r="J13" s="5"/>
      <c r="K13" s="5"/>
      <c r="L13" s="5"/>
      <c r="M13" s="5"/>
      <c r="N13" s="5"/>
      <c r="O13" s="5"/>
      <c r="P13" s="5"/>
      <c r="Q13" s="5"/>
      <c r="R13" s="5"/>
      <c r="S13" s="5"/>
    </row>
    <row r="14">
      <c r="A14" s="11">
        <v>43843</v>
      </c>
      <c r="B14" s="14"/>
      <c r="C14" s="14"/>
      <c r="D14" s="14"/>
      <c r="E14" s="14"/>
      <c r="F14" s="14"/>
      <c r="G14" s="14"/>
      <c r="H14" s="14"/>
      <c r="I14" s="14"/>
      <c r="J14" s="14"/>
      <c r="K14" s="14"/>
      <c r="L14" s="14"/>
      <c r="M14" s="14"/>
      <c r="N14" s="14"/>
      <c r="O14" s="14"/>
      <c r="P14" s="14"/>
      <c r="Q14" s="14"/>
      <c r="R14" s="14"/>
      <c r="S14" s="14"/>
    </row>
    <row r="15">
      <c r="A15" s="11">
        <v>43844</v>
      </c>
      <c r="B15" s="5"/>
      <c r="C15" s="5"/>
      <c r="D15" s="5"/>
      <c r="E15" s="5"/>
      <c r="F15" s="5"/>
      <c r="G15" s="5"/>
      <c r="H15" s="5"/>
      <c r="J15" s="5"/>
      <c r="K15" s="5"/>
      <c r="L15" s="5"/>
      <c r="M15" s="5"/>
      <c r="N15" s="5"/>
      <c r="O15" s="5"/>
      <c r="P15" s="5"/>
      <c r="Q15" s="5"/>
      <c r="R15" s="5"/>
      <c r="S15" s="5"/>
    </row>
    <row r="16">
      <c r="A16" s="11">
        <v>43845</v>
      </c>
      <c r="B16" s="14"/>
      <c r="C16" s="14">
        <v>118.98</v>
      </c>
      <c r="D16" s="14"/>
      <c r="E16" s="14"/>
      <c r="F16" s="14"/>
      <c r="G16" s="14"/>
      <c r="H16" s="14"/>
      <c r="I16" s="14"/>
      <c r="J16" s="14"/>
      <c r="K16" s="14"/>
      <c r="L16" s="14"/>
      <c r="M16" s="14"/>
      <c r="N16" s="14"/>
      <c r="O16" s="14"/>
      <c r="P16" s="14"/>
      <c r="Q16" s="14"/>
      <c r="R16" s="14"/>
      <c r="S16" s="14"/>
    </row>
    <row r="17">
      <c r="A17" s="11">
        <v>43846</v>
      </c>
      <c r="B17" s="5"/>
      <c r="C17" s="5"/>
      <c r="D17" s="5">
        <f>272+45</f>
        <v>317</v>
      </c>
      <c r="E17" s="17">
        <v>1499</v>
      </c>
      <c r="F17" s="5"/>
      <c r="G17" s="5"/>
      <c r="H17" s="5"/>
      <c r="I17" s="5"/>
      <c r="J17" s="5"/>
      <c r="K17" s="5"/>
      <c r="L17" s="5"/>
      <c r="M17" s="5"/>
      <c r="N17" s="5"/>
      <c r="O17" s="5"/>
      <c r="P17" s="5"/>
      <c r="Q17" s="5"/>
      <c r="R17" s="5"/>
      <c r="S17" s="5"/>
    </row>
    <row r="18">
      <c r="A18" s="11">
        <v>43847</v>
      </c>
      <c r="B18" s="14">
        <f>20+20+20</f>
        <v>60</v>
      </c>
      <c r="C18" s="14"/>
      <c r="D18" s="14"/>
      <c r="E18" s="17">
        <v>-1500</v>
      </c>
      <c r="F18" s="14"/>
      <c r="G18" s="14"/>
      <c r="H18" s="14"/>
      <c r="I18" s="14"/>
      <c r="J18" s="14"/>
      <c r="K18" s="14"/>
      <c r="L18" s="14"/>
      <c r="M18" s="14"/>
      <c r="N18" s="14"/>
      <c r="O18" s="14"/>
      <c r="P18" s="14"/>
      <c r="Q18" s="14"/>
      <c r="R18" s="14"/>
      <c r="S18" s="14"/>
    </row>
    <row r="19">
      <c r="A19" s="11">
        <v>43848</v>
      </c>
      <c r="B19" s="5">
        <v>82</v>
      </c>
      <c r="C19" s="5"/>
      <c r="D19" s="5">
        <f>320+270</f>
        <v>590</v>
      </c>
      <c r="E19" s="5"/>
      <c r="F19" s="5"/>
      <c r="G19" s="5"/>
      <c r="H19" s="5"/>
      <c r="I19" s="5"/>
      <c r="J19" s="5"/>
      <c r="K19" s="5"/>
      <c r="L19" s="5"/>
      <c r="M19" s="5"/>
      <c r="N19" s="5"/>
      <c r="O19" s="5"/>
      <c r="P19" s="5"/>
      <c r="Q19" s="5"/>
      <c r="R19" s="5"/>
      <c r="S19" s="5"/>
    </row>
    <row r="20">
      <c r="A20" s="11">
        <v>43849</v>
      </c>
      <c r="B20" s="14">
        <v>118</v>
      </c>
      <c r="C20" s="14">
        <v>103.90000000000001</v>
      </c>
      <c r="D20" s="14"/>
      <c r="E20" s="14"/>
      <c r="F20" s="14"/>
      <c r="G20" s="14"/>
      <c r="H20" s="14"/>
      <c r="I20" s="14"/>
      <c r="J20" s="14"/>
      <c r="K20" s="14"/>
      <c r="L20" s="14"/>
      <c r="M20" s="14"/>
      <c r="N20" s="14"/>
      <c r="O20" s="14"/>
      <c r="P20" s="14">
        <v>520</v>
      </c>
      <c r="Q20" s="14"/>
      <c r="R20" s="14"/>
      <c r="S20" s="14"/>
    </row>
    <row r="21">
      <c r="A21" s="11">
        <v>43850</v>
      </c>
      <c r="B21" s="5">
        <v>100</v>
      </c>
      <c r="C21" s="5"/>
      <c r="D21" s="5"/>
      <c r="E21" s="17">
        <v>-500</v>
      </c>
      <c r="F21" s="5"/>
      <c r="G21" s="5"/>
      <c r="H21" s="5"/>
      <c r="I21" s="5"/>
      <c r="J21" s="5"/>
      <c r="K21" s="5"/>
      <c r="L21" s="5"/>
      <c r="M21" s="5"/>
      <c r="N21" s="5"/>
      <c r="O21" s="5"/>
      <c r="P21" s="5"/>
      <c r="Q21" s="5"/>
      <c r="R21" s="5"/>
      <c r="S21" s="5"/>
    </row>
    <row r="22">
      <c r="A22" s="11">
        <v>43851</v>
      </c>
      <c r="B22" s="18"/>
      <c r="C22" s="18"/>
      <c r="D22" s="18"/>
      <c r="E22" s="18"/>
      <c r="F22" s="18"/>
      <c r="G22" s="18"/>
      <c r="H22" s="18"/>
      <c r="I22" s="18"/>
      <c r="J22" s="18"/>
      <c r="K22" s="18"/>
      <c r="L22" s="18"/>
      <c r="M22" s="18"/>
      <c r="N22" s="18"/>
      <c r="O22" s="18"/>
      <c r="P22" s="18"/>
      <c r="Q22" s="18"/>
      <c r="R22" s="18"/>
      <c r="S22" s="18"/>
    </row>
    <row r="23">
      <c r="A23" s="11">
        <v>43852</v>
      </c>
      <c r="B23" s="5"/>
      <c r="C23" s="5">
        <v>632.5</v>
      </c>
      <c r="D23" s="5"/>
      <c r="E23" s="5">
        <f>1378-1400</f>
        <v>-22</v>
      </c>
      <c r="F23" s="5"/>
      <c r="G23" s="5"/>
      <c r="H23" s="5"/>
      <c r="I23" s="5"/>
      <c r="J23" s="5"/>
      <c r="K23" s="5"/>
      <c r="L23" s="5"/>
      <c r="M23" s="5"/>
      <c r="N23" s="5"/>
      <c r="O23" s="5"/>
      <c r="P23" s="5"/>
      <c r="Q23" s="5"/>
      <c r="R23" s="5"/>
      <c r="S23" s="5"/>
    </row>
    <row r="24">
      <c r="A24" s="11">
        <v>43853</v>
      </c>
      <c r="B24" s="18"/>
      <c r="C24" s="18"/>
      <c r="D24" s="18"/>
      <c r="E24" s="18"/>
      <c r="F24" s="18"/>
      <c r="G24" s="18"/>
      <c r="H24" s="18"/>
      <c r="I24" s="18"/>
      <c r="J24" s="18"/>
      <c r="K24" s="18"/>
      <c r="L24" s="18"/>
      <c r="M24" s="18"/>
      <c r="N24" s="18"/>
      <c r="O24" s="18"/>
      <c r="P24" s="18"/>
      <c r="Q24" s="18"/>
      <c r="R24" s="18"/>
      <c r="S24" s="18"/>
    </row>
    <row r="25">
      <c r="A25" s="11">
        <v>43854</v>
      </c>
      <c r="C25" s="5">
        <f>127.38+803.73</f>
        <v>931.11000000000001</v>
      </c>
      <c r="D25" s="5"/>
      <c r="E25" s="5">
        <f>2260-2300</f>
        <v>-40</v>
      </c>
      <c r="F25" s="5"/>
      <c r="G25" s="5"/>
      <c r="H25" s="5"/>
      <c r="I25" s="5"/>
      <c r="J25" s="5"/>
      <c r="K25" s="5"/>
      <c r="L25" s="5"/>
      <c r="M25" s="5"/>
      <c r="N25" s="5"/>
      <c r="O25" s="5"/>
      <c r="P25" s="5"/>
      <c r="Q25" s="5"/>
      <c r="R25" s="5"/>
      <c r="S25" s="5"/>
    </row>
    <row r="26">
      <c r="A26" s="11">
        <v>43855</v>
      </c>
      <c r="B26" s="14"/>
      <c r="C26" s="14"/>
      <c r="D26" s="14"/>
      <c r="E26" s="14"/>
      <c r="F26" s="14"/>
      <c r="G26" s="14"/>
      <c r="H26" s="14"/>
      <c r="I26" s="14"/>
      <c r="J26" s="14"/>
      <c r="K26" s="14"/>
      <c r="L26" s="14"/>
      <c r="M26" s="14"/>
      <c r="N26" s="14"/>
      <c r="O26" s="14"/>
      <c r="P26" s="14"/>
      <c r="Q26" s="14"/>
      <c r="R26" s="14"/>
      <c r="S26" s="14"/>
    </row>
    <row r="27">
      <c r="A27" s="11">
        <v>43856</v>
      </c>
      <c r="B27" s="5"/>
      <c r="C27" s="5"/>
      <c r="D27" s="5"/>
      <c r="E27" s="5"/>
      <c r="F27" s="5"/>
      <c r="G27" s="5"/>
      <c r="H27" s="5"/>
      <c r="I27" s="5"/>
      <c r="J27" s="5"/>
      <c r="K27" s="5"/>
      <c r="L27" s="5"/>
      <c r="M27" s="5"/>
      <c r="N27" s="5"/>
      <c r="O27" s="5"/>
      <c r="P27" s="5"/>
      <c r="Q27" s="5"/>
      <c r="R27" s="5"/>
      <c r="S27" s="5"/>
    </row>
    <row r="28">
      <c r="A28" s="11">
        <v>43857</v>
      </c>
      <c r="B28" s="14"/>
      <c r="C28" s="14">
        <f>27.89+37.99</f>
        <v>65.879999999999995</v>
      </c>
      <c r="D28" s="14">
        <v>261</v>
      </c>
      <c r="E28" s="14"/>
      <c r="F28" s="14"/>
      <c r="G28" s="14"/>
      <c r="H28" s="14"/>
      <c r="I28" s="14"/>
      <c r="J28" s="14"/>
      <c r="K28" s="14"/>
      <c r="L28" s="14"/>
      <c r="M28" s="14"/>
      <c r="N28" s="14"/>
      <c r="O28" s="14"/>
      <c r="P28" s="14"/>
      <c r="Q28" s="14"/>
      <c r="R28" s="14"/>
      <c r="S28" s="14"/>
    </row>
    <row r="29">
      <c r="A29" s="11">
        <v>43858</v>
      </c>
      <c r="B29" s="5"/>
      <c r="C29" s="5"/>
      <c r="D29" s="5">
        <v>186</v>
      </c>
      <c r="E29" s="5"/>
      <c r="F29" s="5"/>
      <c r="G29" s="5"/>
      <c r="H29" s="5"/>
      <c r="I29" s="5"/>
      <c r="J29" s="5"/>
      <c r="K29" s="5"/>
      <c r="L29" s="5"/>
      <c r="M29" s="5"/>
      <c r="N29" s="5"/>
      <c r="O29" s="5"/>
      <c r="P29" s="5"/>
      <c r="Q29" s="5"/>
      <c r="R29" s="5"/>
      <c r="S29" s="5"/>
    </row>
    <row r="30">
      <c r="A30" s="11">
        <v>43859</v>
      </c>
      <c r="B30" s="19">
        <f>1498+1498</f>
        <v>2996</v>
      </c>
      <c r="C30" s="19">
        <v>714.55999999999995</v>
      </c>
      <c r="D30" s="19"/>
      <c r="E30" s="19"/>
      <c r="F30" s="19"/>
      <c r="G30" s="19"/>
      <c r="H30" s="19"/>
      <c r="I30" s="19"/>
      <c r="J30" s="19"/>
      <c r="K30" s="19"/>
      <c r="L30" s="19"/>
      <c r="M30" s="19"/>
      <c r="N30" s="19"/>
      <c r="O30" s="19"/>
      <c r="P30" s="19"/>
      <c r="Q30" s="19"/>
      <c r="R30" s="19"/>
      <c r="S30" s="19"/>
    </row>
    <row r="31">
      <c r="A31" s="11">
        <v>43860</v>
      </c>
      <c r="B31" s="20"/>
      <c r="C31" s="20"/>
      <c r="D31" s="20"/>
      <c r="E31" s="20">
        <f>2020-2020</f>
        <v>0</v>
      </c>
      <c r="F31" s="20"/>
      <c r="G31" s="20"/>
      <c r="H31" s="20"/>
      <c r="I31" s="20"/>
      <c r="J31" s="20"/>
      <c r="K31" s="20"/>
      <c r="L31" s="20"/>
      <c r="M31" s="20"/>
      <c r="N31" s="20"/>
      <c r="O31" s="20"/>
      <c r="P31" s="20"/>
      <c r="Q31" s="20"/>
      <c r="R31" s="20"/>
      <c r="S31" s="20"/>
    </row>
    <row r="32">
      <c r="A32" s="11">
        <v>43861</v>
      </c>
      <c r="B32" s="14">
        <v>100</v>
      </c>
      <c r="C32" s="14"/>
      <c r="D32" s="14"/>
      <c r="E32" s="14"/>
      <c r="F32" s="14"/>
      <c r="G32" s="14"/>
      <c r="H32" s="14"/>
      <c r="I32" s="14"/>
      <c r="J32" s="14"/>
      <c r="K32" s="21">
        <v>1487.48</v>
      </c>
      <c r="L32" s="14">
        <f>999+533.98</f>
        <v>1532.98</v>
      </c>
      <c r="M32" s="14">
        <v>1000</v>
      </c>
      <c r="N32" s="14"/>
      <c r="O32" s="14"/>
      <c r="P32" s="14"/>
      <c r="Q32" s="14"/>
      <c r="R32" s="14"/>
      <c r="S32" s="14"/>
    </row>
    <row r="33">
      <c r="A33" s="7"/>
      <c r="B33" s="7">
        <f t="shared" ref="B33:Q33" si="15">SUM(B2:B32)</f>
        <v>7202</v>
      </c>
      <c r="C33" s="7">
        <f t="shared" si="15"/>
        <v>4405.4799999999996</v>
      </c>
      <c r="D33" s="7">
        <f t="shared" si="15"/>
        <v>2228</v>
      </c>
      <c r="E33" s="7">
        <f t="shared" si="15"/>
        <v>-64</v>
      </c>
      <c r="F33" s="7">
        <f t="shared" si="15"/>
        <v>0</v>
      </c>
      <c r="G33" s="7">
        <f t="shared" si="15"/>
        <v>0</v>
      </c>
      <c r="H33" s="7">
        <f t="shared" si="15"/>
        <v>0</v>
      </c>
      <c r="I33" s="7">
        <f t="shared" si="15"/>
        <v>148.34999999999999</v>
      </c>
      <c r="J33" s="7">
        <f t="shared" si="15"/>
        <v>0</v>
      </c>
      <c r="K33" s="7">
        <f t="shared" si="15"/>
        <v>11153.48</v>
      </c>
      <c r="L33" s="7">
        <f t="shared" si="15"/>
        <v>1532.98</v>
      </c>
      <c r="M33" s="7">
        <f t="shared" si="15"/>
        <v>1300</v>
      </c>
      <c r="N33" s="7">
        <f t="shared" si="15"/>
        <v>0</v>
      </c>
      <c r="O33" s="7">
        <f t="shared" si="15"/>
        <v>0</v>
      </c>
      <c r="P33" s="7">
        <f t="shared" si="15"/>
        <v>719</v>
      </c>
      <c r="Q33" s="7">
        <f t="shared" si="15"/>
        <v>0</v>
      </c>
      <c r="R33" s="7" t="s">
        <v>14</v>
      </c>
      <c r="S33" s="7">
        <f>SUM(B33:Q33)</f>
        <v>28625.289999999997</v>
      </c>
    </row>
    <row r="34">
      <c r="A34" s="8"/>
      <c r="B34" s="8"/>
      <c r="C34" s="8"/>
      <c r="D34" s="8"/>
      <c r="E34" s="8"/>
      <c r="F34" s="8"/>
      <c r="G34" s="8"/>
      <c r="H34" s="8"/>
      <c r="I34" s="8"/>
      <c r="J34" s="9"/>
      <c r="K34" s="9"/>
      <c r="L34" s="9"/>
      <c r="M34" s="9"/>
      <c r="N34" s="9"/>
      <c r="O34" s="9"/>
      <c r="P34" s="9"/>
      <c r="Q34" s="9"/>
      <c r="R34" s="9"/>
      <c r="S34" s="9"/>
    </row>
    <row r="35">
      <c r="A35" s="10" t="s">
        <v>0</v>
      </c>
      <c r="B35" s="10" t="s">
        <v>15</v>
      </c>
      <c r="C35" s="10" t="s">
        <v>16</v>
      </c>
      <c r="D35" s="10" t="s">
        <v>17</v>
      </c>
      <c r="E35" s="10" t="s">
        <v>18</v>
      </c>
      <c r="F35" s="10" t="s">
        <v>21</v>
      </c>
      <c r="G35" s="10" t="s">
        <v>26</v>
      </c>
      <c r="H35" s="10" t="s">
        <v>27</v>
      </c>
      <c r="I35" s="1"/>
    </row>
    <row r="36">
      <c r="A36" s="11">
        <v>43831</v>
      </c>
      <c r="B36" s="14"/>
      <c r="C36" s="14"/>
      <c r="D36" s="14"/>
      <c r="E36" s="14"/>
      <c r="F36" s="14"/>
      <c r="G36" s="14"/>
      <c r="H36" s="14"/>
      <c r="I36" s="14"/>
      <c r="N36" s="13"/>
      <c r="O36" s="13"/>
    </row>
    <row r="37">
      <c r="A37" s="11">
        <v>43832</v>
      </c>
      <c r="B37" s="5"/>
      <c r="C37" s="5"/>
      <c r="D37" s="5"/>
      <c r="E37" s="5"/>
      <c r="F37" s="5">
        <v>2800</v>
      </c>
      <c r="G37" s="5"/>
      <c r="H37" s="5"/>
      <c r="I37" s="5"/>
      <c r="N37">
        <f>109.9/2+95+199.9/2+50</f>
        <v>299.89999999999998</v>
      </c>
      <c r="O37" t="s">
        <v>37</v>
      </c>
    </row>
    <row r="38">
      <c r="A38" s="11">
        <v>43833</v>
      </c>
      <c r="B38" s="14"/>
      <c r="C38" s="14"/>
      <c r="D38" s="14"/>
      <c r="E38" s="14"/>
      <c r="F38" s="14"/>
      <c r="G38" s="14"/>
      <c r="H38" s="14">
        <v>1000</v>
      </c>
      <c r="I38" s="14"/>
      <c r="N38">
        <v>50</v>
      </c>
      <c r="O38" t="s">
        <v>28</v>
      </c>
    </row>
    <row r="39">
      <c r="A39" s="11">
        <v>43834</v>
      </c>
      <c r="B39" s="5"/>
      <c r="C39" s="5"/>
      <c r="D39" s="5"/>
      <c r="E39" s="5"/>
      <c r="F39" s="5"/>
      <c r="G39" s="5"/>
      <c r="H39" s="5"/>
      <c r="I39" s="5"/>
      <c r="N39">
        <f>2030-500</f>
        <v>1530</v>
      </c>
      <c r="O39" t="s">
        <v>29</v>
      </c>
    </row>
    <row r="40">
      <c r="A40" s="11">
        <v>43835</v>
      </c>
      <c r="B40" s="14"/>
      <c r="C40" s="14"/>
      <c r="D40" s="14"/>
      <c r="E40" s="14"/>
      <c r="F40" s="14"/>
      <c r="G40" s="14"/>
      <c r="H40" s="14"/>
      <c r="I40" s="14"/>
      <c r="N40">
        <f>21000-344+2039+(23000-23000)-344-344</f>
        <v>22007</v>
      </c>
      <c r="O40" t="s">
        <v>31</v>
      </c>
    </row>
    <row r="41">
      <c r="A41" s="11">
        <v>43836</v>
      </c>
      <c r="B41" s="5"/>
      <c r="C41" s="5"/>
      <c r="D41" s="5"/>
      <c r="E41" s="5"/>
      <c r="F41" s="5"/>
      <c r="G41" s="5"/>
      <c r="H41" s="5"/>
      <c r="I41" s="5"/>
      <c r="O41" t="s">
        <v>38</v>
      </c>
    </row>
    <row r="42">
      <c r="A42" s="11">
        <v>43837</v>
      </c>
      <c r="B42" s="14"/>
      <c r="C42" s="14"/>
      <c r="D42" s="14"/>
      <c r="E42" s="14"/>
      <c r="F42" s="14"/>
      <c r="G42" s="14"/>
      <c r="H42" s="14"/>
      <c r="I42" s="14"/>
      <c r="N42">
        <v>2020</v>
      </c>
      <c r="O42" t="s">
        <v>39</v>
      </c>
    </row>
    <row r="43">
      <c r="A43" s="11">
        <v>43838</v>
      </c>
      <c r="B43" s="5"/>
      <c r="C43" s="5"/>
      <c r="D43" s="5"/>
      <c r="E43" s="5"/>
      <c r="F43" s="5"/>
      <c r="G43" s="5"/>
      <c r="H43" s="5"/>
      <c r="I43" s="5"/>
    </row>
    <row r="44">
      <c r="A44" s="11">
        <v>43839</v>
      </c>
      <c r="B44" s="15"/>
      <c r="C44" s="14"/>
      <c r="D44" s="14"/>
      <c r="E44" s="14"/>
      <c r="F44" s="14"/>
      <c r="G44" s="14"/>
      <c r="H44" s="14"/>
      <c r="I44" s="14"/>
    </row>
    <row r="45">
      <c r="A45" s="11">
        <v>43840</v>
      </c>
      <c r="B45" s="5">
        <v>46405.540000000001</v>
      </c>
      <c r="C45" s="5"/>
      <c r="D45" s="5"/>
      <c r="E45" s="5"/>
      <c r="F45" s="5"/>
      <c r="G45" s="5"/>
      <c r="H45" s="5"/>
      <c r="I45" s="5"/>
    </row>
    <row r="46">
      <c r="A46" s="11">
        <v>43841</v>
      </c>
      <c r="B46" s="14"/>
      <c r="C46" s="14"/>
      <c r="D46" s="14"/>
      <c r="E46" s="14"/>
      <c r="F46" s="14"/>
      <c r="G46" s="14"/>
      <c r="H46" s="14"/>
      <c r="I46" s="14"/>
    </row>
    <row r="47">
      <c r="A47" s="11">
        <v>43842</v>
      </c>
      <c r="B47" s="5"/>
      <c r="C47" s="5"/>
      <c r="D47" s="5"/>
      <c r="E47" s="5"/>
      <c r="F47" s="5"/>
      <c r="G47" s="5">
        <v>100</v>
      </c>
      <c r="H47" s="5"/>
      <c r="I47" s="5"/>
    </row>
    <row r="48">
      <c r="A48" s="11">
        <v>43843</v>
      </c>
      <c r="B48" s="14"/>
      <c r="C48" s="14"/>
      <c r="D48" s="14"/>
      <c r="E48" s="14"/>
      <c r="F48" s="14"/>
      <c r="G48" s="14"/>
      <c r="H48" s="14"/>
      <c r="I48" s="14"/>
    </row>
    <row r="49">
      <c r="A49" s="11">
        <v>43844</v>
      </c>
      <c r="B49" s="5"/>
      <c r="C49" s="5"/>
      <c r="D49" s="5"/>
      <c r="E49" s="5"/>
      <c r="F49" s="5"/>
      <c r="G49" s="5"/>
      <c r="H49" s="5"/>
      <c r="I49" s="5"/>
    </row>
    <row r="50">
      <c r="A50" s="11">
        <v>43845</v>
      </c>
      <c r="B50" s="14"/>
      <c r="C50" s="14"/>
      <c r="D50" s="14"/>
      <c r="E50" s="14"/>
      <c r="F50" s="14"/>
      <c r="G50" s="14"/>
      <c r="H50" s="14"/>
      <c r="I50" s="14"/>
    </row>
    <row r="51">
      <c r="A51" s="11">
        <v>43846</v>
      </c>
      <c r="B51" s="5"/>
      <c r="C51" s="5"/>
      <c r="D51" s="5"/>
      <c r="E51" s="5"/>
      <c r="F51" s="5"/>
      <c r="G51" s="5">
        <v>50</v>
      </c>
      <c r="H51" s="5"/>
      <c r="I51" s="5"/>
    </row>
    <row r="52">
      <c r="A52" s="11">
        <v>43847</v>
      </c>
      <c r="B52" s="14"/>
      <c r="C52" s="14"/>
      <c r="D52" s="14">
        <v>1000</v>
      </c>
      <c r="E52" s="14"/>
      <c r="F52" s="14"/>
      <c r="G52" s="14"/>
      <c r="H52" s="14"/>
      <c r="I52" s="14"/>
    </row>
    <row r="53">
      <c r="A53" s="11">
        <v>43848</v>
      </c>
      <c r="B53" s="5"/>
      <c r="C53" s="5"/>
      <c r="D53" s="5"/>
      <c r="E53" s="5"/>
      <c r="F53" s="5"/>
      <c r="G53" s="5"/>
      <c r="H53" s="5"/>
      <c r="I53" s="5"/>
    </row>
    <row r="54">
      <c r="A54" s="11">
        <v>43849</v>
      </c>
      <c r="B54" s="14"/>
      <c r="C54" s="14"/>
      <c r="D54" s="14"/>
      <c r="E54" s="14"/>
      <c r="F54" s="14"/>
      <c r="G54" s="14"/>
      <c r="H54" s="14"/>
      <c r="I54" s="14"/>
    </row>
    <row r="55">
      <c r="A55" s="11">
        <v>43850</v>
      </c>
      <c r="B55" s="5"/>
      <c r="C55" s="5"/>
      <c r="D55" s="5"/>
      <c r="E55" s="5"/>
      <c r="F55" s="5">
        <v>100</v>
      </c>
      <c r="G55" s="5"/>
      <c r="H55" s="5"/>
      <c r="I55" s="5"/>
    </row>
    <row r="56">
      <c r="A56" s="11">
        <v>43851</v>
      </c>
      <c r="B56" s="14"/>
      <c r="C56" s="14"/>
      <c r="D56" s="14"/>
      <c r="E56" s="14"/>
      <c r="F56" s="14"/>
      <c r="G56" s="14"/>
      <c r="H56" s="14"/>
      <c r="I56" s="14"/>
    </row>
    <row r="57">
      <c r="A57" s="11">
        <v>43852</v>
      </c>
      <c r="B57" s="5"/>
      <c r="C57" s="5"/>
      <c r="D57" s="5"/>
      <c r="E57" s="5"/>
      <c r="F57" s="5"/>
      <c r="G57" s="5">
        <v>100</v>
      </c>
      <c r="H57" s="5"/>
      <c r="I57" s="5"/>
    </row>
    <row r="58">
      <c r="A58" s="11">
        <v>43853</v>
      </c>
      <c r="B58" s="14"/>
      <c r="C58" s="14"/>
      <c r="D58" s="14"/>
      <c r="E58" s="14"/>
      <c r="F58" s="14"/>
      <c r="G58" s="14"/>
      <c r="H58" s="14"/>
      <c r="I58" s="14"/>
    </row>
    <row r="59">
      <c r="A59" s="11">
        <v>43854</v>
      </c>
      <c r="B59" s="5">
        <v>9500</v>
      </c>
      <c r="C59" s="5"/>
      <c r="D59" s="5"/>
      <c r="E59" s="5"/>
      <c r="F59" s="5"/>
      <c r="G59" s="5"/>
      <c r="H59" s="5"/>
      <c r="I59" s="5"/>
    </row>
    <row r="60">
      <c r="A60" s="11">
        <v>43855</v>
      </c>
      <c r="B60" s="14"/>
      <c r="C60" s="14"/>
      <c r="D60" s="14"/>
      <c r="E60" s="14"/>
      <c r="F60" s="14"/>
      <c r="G60" s="14"/>
      <c r="H60" s="14"/>
      <c r="I60" s="14"/>
    </row>
    <row r="61">
      <c r="A61" s="11">
        <v>43856</v>
      </c>
      <c r="B61" s="5"/>
      <c r="C61" s="5"/>
      <c r="D61" s="5"/>
      <c r="E61" s="5"/>
      <c r="F61" s="5"/>
      <c r="G61" s="5"/>
      <c r="H61" s="5"/>
      <c r="I61" s="5"/>
    </row>
    <row r="62">
      <c r="A62" s="11">
        <v>43857</v>
      </c>
      <c r="B62" s="14"/>
      <c r="C62" s="14"/>
      <c r="D62" s="14"/>
      <c r="E62" s="14"/>
      <c r="F62" s="14"/>
      <c r="G62" s="14"/>
      <c r="H62" s="14"/>
      <c r="I62" s="14"/>
    </row>
    <row r="63">
      <c r="A63" s="11">
        <v>43858</v>
      </c>
      <c r="B63" s="5"/>
      <c r="C63" s="5"/>
      <c r="D63" s="5"/>
      <c r="E63" s="5"/>
      <c r="F63" s="5"/>
      <c r="G63" s="5"/>
      <c r="H63" s="5"/>
      <c r="I63" s="5"/>
    </row>
    <row r="64">
      <c r="A64" s="11">
        <v>43859</v>
      </c>
      <c r="B64" s="14"/>
      <c r="C64" s="14"/>
      <c r="D64" s="14"/>
      <c r="E64" s="14"/>
      <c r="F64" s="14"/>
      <c r="G64" s="14"/>
      <c r="H64" s="14"/>
      <c r="I64" s="14"/>
    </row>
    <row r="65">
      <c r="A65" s="11">
        <v>43860</v>
      </c>
      <c r="B65" s="3"/>
      <c r="C65" s="3"/>
      <c r="D65" s="3"/>
      <c r="E65" s="3"/>
      <c r="F65" s="3"/>
      <c r="G65" s="3"/>
      <c r="H65" s="3"/>
      <c r="I65" s="3"/>
    </row>
    <row r="66">
      <c r="A66" s="11">
        <v>43861</v>
      </c>
      <c r="B66" s="14"/>
      <c r="C66" s="14"/>
      <c r="D66" s="14"/>
      <c r="E66" s="14">
        <f>1195.43+42.83</f>
        <v>1238.26</v>
      </c>
      <c r="F66" s="14">
        <v>1000</v>
      </c>
      <c r="G66" s="14"/>
      <c r="H66" s="14"/>
      <c r="I66" s="14"/>
    </row>
    <row r="67">
      <c r="A67" s="7"/>
      <c r="B67" s="7">
        <f t="shared" ref="B67:H67" si="16">SUM(B36:B66)</f>
        <v>55905.540000000001</v>
      </c>
      <c r="C67" s="7">
        <f t="shared" si="16"/>
        <v>0</v>
      </c>
      <c r="D67" s="7">
        <f t="shared" si="16"/>
        <v>1000</v>
      </c>
      <c r="E67" s="7">
        <f t="shared" si="16"/>
        <v>1238.26</v>
      </c>
      <c r="F67" s="7">
        <f t="shared" si="16"/>
        <v>3900</v>
      </c>
      <c r="G67" s="7">
        <f t="shared" si="16"/>
        <v>250</v>
      </c>
      <c r="H67" s="7">
        <f t="shared" si="16"/>
        <v>1000</v>
      </c>
      <c r="I67" s="7">
        <f>SUM(B67:H67)</f>
        <v>63293.800000000003</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docProps/app.xml><?xml version="1.0" encoding="utf-8"?>
<Properties xmlns="http://schemas.openxmlformats.org/officeDocument/2006/extended-properties" xmlns:vt="http://schemas.openxmlformats.org/officeDocument/2006/docPropsVTypes">
  <Application>R7-Office/7.4.0.112</Application>
  <Company/>
  <DocSecurity>0</DocSecurity>
  <HyperlinkBase/>
  <HyperlinksChanged>false</HyperlinksChanged>
  <LinksUpToDate>false</LinksUpToDate>
  <Manager/>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Dmitry</dc:creator>
  <cp:keywords/>
  <dc:description/>
  <cp:lastModifiedBy>Дмитрий Артемьев</cp:lastModifiedBy>
  <cp:revision>508</cp:revision>
  <dcterms:created xsi:type="dcterms:W3CDTF">2006-09-16T00:00:00Z</dcterms:created>
  <dcterms:modified xsi:type="dcterms:W3CDTF">2023-12-24T19:14:58Z</dcterms:modified>
  <cp:category/>
  <cp:contentStatus/>
</cp:coreProperties>
</file>