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Aims&amp;Objectives" sheetId="2" r:id="rId5"/>
    <sheet state="visible" name="CASP" sheetId="3" r:id="rId6"/>
    <sheet state="visible" name="TO DO" sheetId="4" r:id="rId7"/>
    <sheet state="visible" name="KEY Colour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C33">
      <text>
        <t xml:space="preserve">secondary or higher
	-Anna-Maria Hartner</t>
      </text>
    </comment>
    <comment authorId="0" ref="AC86">
      <text>
        <t xml:space="preserve">secondary+
	-Anna-Maria Hartner</t>
      </text>
    </comment>
    <comment authorId="0" ref="G86">
      <text>
        <t xml:space="preserve">verify
	-Anna-Maria Hartner</t>
      </text>
    </comment>
    <comment authorId="0" ref="AC85">
      <text>
        <t xml:space="preserve">secondary or higher
	-Anna-Maria Hartner</t>
      </text>
    </comment>
    <comment authorId="0" ref="AC83">
      <text>
        <t xml:space="preserve">secondary or higher
	-Anna-Maria Hartner</t>
      </text>
    </comment>
    <comment authorId="0" ref="AC82">
      <text>
        <t xml:space="preserve">secondary or higher
	-Anna-Maria Hartner</t>
      </text>
    </comment>
    <comment authorId="0" ref="AC81">
      <text>
        <t xml:space="preserve">secondary and higher
	-Anna-Maria Hartner</t>
      </text>
    </comment>
    <comment authorId="0" ref="AC76">
      <text>
        <t xml:space="preserve">secondary+
	-Anna-Maria Hartner</t>
      </text>
    </comment>
    <comment authorId="0" ref="L47">
      <text>
        <t xml:space="preserve">12-23 months
	-Anna-Maria Hartner</t>
      </text>
    </comment>
    <comment authorId="0" ref="AC45">
      <text>
        <t xml:space="preserve">secondary education+
	-Anna-Maria Hartner</t>
      </text>
    </comment>
    <comment authorId="0" ref="AA40">
      <text>
        <t xml:space="preserve">Actually said "no or primary"
	-K. Gaythorpe</t>
      </text>
    </comment>
    <comment authorId="0" ref="G31">
      <text>
        <t xml:space="preserve">full vaccinated
	-Anna-Maria Hartner
with all vaccines listed in col to right
	-Anna-Maria Hartner</t>
      </text>
    </comment>
    <comment authorId="0" ref="AC31">
      <text>
        <t xml:space="preserve">data is available for secondary AND higher education
	-Anna-Maria Hartner</t>
      </text>
    </comment>
    <comment authorId="0" ref="U31">
      <text>
        <t xml:space="preserve">of interest may be the way wealth quintiles were calculated in this context but the data report only listed poorest, middle, richest as the outcomes
	-Anna-Maria Hartner</t>
      </text>
    </comment>
    <comment authorId="0" ref="A28">
      <text>
        <t xml:space="preserve">only gives data on not fully immunised children
	-Anonymous</t>
      </text>
    </comment>
    <comment authorId="0" ref="A14">
      <text>
        <t xml:space="preserve">Struggling to extract quali or quant data
	-Huda Ali</t>
      </text>
    </comment>
    <comment authorId="0" ref="K14">
      <text>
        <t xml:space="preserve">Mothers surveyed were 15 - 49
	-Anonymous</t>
      </text>
    </comment>
    <comment authorId="0" ref="AF9">
      <text>
        <t xml:space="preserve">over high school
	-Jaspreet Toor</t>
      </text>
    </comment>
    <comment authorId="0" ref="AB9">
      <text>
        <t xml:space="preserve">less than completed middle school
	-Jaspreet Toor</t>
      </text>
    </comment>
    <comment authorId="0" ref="F10">
      <text>
        <t xml:space="preserve">Cannot find data as data on immunisation is from 2011 and it gives a percentage of immunised children in three regions but does not give a total number of participants. Other data from 2005-6 is on characteristics in general
	-Anonymous</t>
      </text>
    </comment>
    <comment authorId="0" ref="H8">
      <text>
        <t xml:space="preserve">Data is given on the number of people that have had one of the 8 vaccines in this study. Therefore, this is the data on fully and not fully vaccinated
	-Anonymous</t>
      </text>
    </comment>
    <comment authorId="0" ref="AA9">
      <text>
        <t xml:space="preserve">Less than completed middle school
	-Jaspreet Toor</t>
      </text>
    </comment>
    <comment authorId="0" ref="AE9">
      <text>
        <t xml:space="preserve">over high school
	-Jaspreet Toor</t>
      </text>
    </comment>
    <comment authorId="0" ref="A6">
      <text>
        <t xml:space="preserve">Unable to reliably extract data as the journal describes the data as having "about 15,000 participants" and in 2014 it describes the data as having about half of that. The data is in percentages so the extraction may be inaccurate. 
https://equityhealthj.biomedcentral.com/track/pdf/10.1186/s12939-017-0648-1.pdf
	-Huda Ali</t>
      </text>
    </comment>
    <comment authorId="0" ref="AC3">
      <text>
        <t xml:space="preserve">secondary+
	-Huda Ali</t>
      </text>
    </comment>
    <comment authorId="0" ref="AK5">
      <text>
        <t xml:space="preserve">4 or less
	-Anna-Maria Hartner</t>
      </text>
    </comment>
    <comment authorId="0" ref="AG5">
      <text>
        <t xml:space="preserve">Does not included those living with partner, +176 individuals excluded from both cols
	-Anna-Maria Hartner</t>
      </text>
    </comment>
    <comment authorId="0" ref="AI5">
      <text>
        <t xml:space="preserve">Widowed, divorced, no longer living together, or never in union
	-Anna-Maria Hartner</t>
      </text>
    </comment>
  </commentList>
</comments>
</file>

<file path=xl/sharedStrings.xml><?xml version="1.0" encoding="utf-8"?>
<sst xmlns="http://schemas.openxmlformats.org/spreadsheetml/2006/main" count="3673" uniqueCount="1628">
  <si>
    <t>covidence_id</t>
  </si>
  <si>
    <t>year_of_article</t>
  </si>
  <si>
    <t>year_of_data</t>
  </si>
  <si>
    <t>first_author</t>
  </si>
  <si>
    <t>first_author_surname</t>
  </si>
  <si>
    <t>type_of_study</t>
  </si>
  <si>
    <t>number_vaccinated</t>
  </si>
  <si>
    <t>number_unvaccinated</t>
  </si>
  <si>
    <t>define_vaccinated</t>
  </si>
  <si>
    <t>Country</t>
  </si>
  <si>
    <t>age_min</t>
  </si>
  <si>
    <t>age_max</t>
  </si>
  <si>
    <t>n_female vaccinated</t>
  </si>
  <si>
    <t>n_female unvaccinated</t>
  </si>
  <si>
    <t>n_male vaccinated</t>
  </si>
  <si>
    <t>n_male unvaccinated</t>
  </si>
  <si>
    <t>n_rural vaccinated</t>
  </si>
  <si>
    <t>n_rural unvaccinated</t>
  </si>
  <si>
    <t>n_urban vaccinated</t>
  </si>
  <si>
    <t>n_urban unvaccinated</t>
  </si>
  <si>
    <t>n_wealth_quintile_richest vaccinated</t>
  </si>
  <si>
    <t>n_wealth_quintile_richest unvaccinated</t>
  </si>
  <si>
    <t>n_wealth_quintile_poorest vaccinated</t>
  </si>
  <si>
    <t>n_wealth_quintile_poorest unvaccinated</t>
  </si>
  <si>
    <t>n_mother_education_none_vaccinated</t>
  </si>
  <si>
    <t>n_mother_education_none_unvaccinated</t>
  </si>
  <si>
    <t>n_mother_education_primary_vaccinated</t>
  </si>
  <si>
    <t>n_mother_education_primary_unvaccinated</t>
  </si>
  <si>
    <t>n_mother_education_secondary_vaccinated</t>
  </si>
  <si>
    <t>n_mother_education_secondary_unvaccinated</t>
  </si>
  <si>
    <t>n_mother_education_higher_vaccinated</t>
  </si>
  <si>
    <t>n_mother_education_higher_unvaccinated</t>
  </si>
  <si>
    <t>n_married_vaccinated</t>
  </si>
  <si>
    <t>n_married_unvaccinated</t>
  </si>
  <si>
    <t>n_unmarried_vaccinated</t>
  </si>
  <si>
    <t>n_unmarried_unvaccinated</t>
  </si>
  <si>
    <t>vaccine</t>
  </si>
  <si>
    <t>notes</t>
  </si>
  <si>
    <t>840</t>
  </si>
  <si>
    <t>2012</t>
  </si>
  <si>
    <t>2007</t>
  </si>
  <si>
    <t>Dawit Shawel Abebe</t>
  </si>
  <si>
    <t>Abebe</t>
  </si>
  <si>
    <t>cross-sectional</t>
  </si>
  <si>
    <t>Malawi</t>
  </si>
  <si>
    <t>0</t>
  </si>
  <si>
    <t>5</t>
  </si>
  <si>
    <t>measles, Polio, BCG, DPT</t>
  </si>
  <si>
    <t>1065</t>
  </si>
  <si>
    <t>2019</t>
  </si>
  <si>
    <t>2013</t>
  </si>
  <si>
    <t>Ayo Adebowale</t>
  </si>
  <si>
    <t>Adebowale</t>
  </si>
  <si>
    <t>436</t>
  </si>
  <si>
    <t>3,643</t>
  </si>
  <si>
    <t>Nigeria</t>
  </si>
  <si>
    <t>1</t>
  </si>
  <si>
    <t>2</t>
  </si>
  <si>
    <t>274</t>
  </si>
  <si>
    <t>162</t>
  </si>
  <si>
    <t>142</t>
  </si>
  <si>
    <t>84</t>
  </si>
  <si>
    <t>participants either had all 9 vaccintions or they were non or not fully vaccinated. Birth order was 1, 2-3, 4+</t>
  </si>
  <si>
    <t>767</t>
  </si>
  <si>
    <t>2011</t>
  </si>
  <si>
    <t>Renae Fernandez</t>
  </si>
  <si>
    <t>Fernandez</t>
  </si>
  <si>
    <t>Secondary census data</t>
  </si>
  <si>
    <t>10,971</t>
  </si>
  <si>
    <t>4,073</t>
  </si>
  <si>
    <t>Indonesia</t>
  </si>
  <si>
    <t>9323</t>
  </si>
  <si>
    <t>5742</t>
  </si>
  <si>
    <t>2387</t>
  </si>
  <si>
    <t>4596</t>
  </si>
  <si>
    <t>660</t>
  </si>
  <si>
    <t>5388</t>
  </si>
  <si>
    <t>7735</t>
  </si>
  <si>
    <t>1365</t>
  </si>
  <si>
    <t>measles</t>
  </si>
  <si>
    <t>focused on rural-urban differential in measles vax coverage, marginally significant results</t>
  </si>
  <si>
    <t>797</t>
  </si>
  <si>
    <t>2017</t>
  </si>
  <si>
    <t>Putri Herliana</t>
  </si>
  <si>
    <t>Herliana</t>
  </si>
  <si>
    <t>Cross-sectional</t>
  </si>
  <si>
    <t>4,331</t>
  </si>
  <si>
    <t>9,414</t>
  </si>
  <si>
    <t>full vaccination vs. partial/none</t>
  </si>
  <si>
    <t>2076</t>
  </si>
  <si>
    <t>4577</t>
  </si>
  <si>
    <t>2255</t>
  </si>
  <si>
    <t>4837</t>
  </si>
  <si>
    <t>7438</t>
  </si>
  <si>
    <t>6037</t>
  </si>
  <si>
    <t>2108</t>
  </si>
  <si>
    <t>4135</t>
  </si>
  <si>
    <t>414</t>
  </si>
  <si>
    <t>4291</t>
  </si>
  <si>
    <t>7221</t>
  </si>
  <si>
    <t>1819</t>
  </si>
  <si>
    <t>13168</t>
  </si>
  <si>
    <t>401</t>
  </si>
  <si>
    <t>three doses of DTP vaccines, four doses of polio vaccine, one dose of measles vaccine, one dose of Bacillus Calmette–Guérin (BCG) vaccine and four doses of hepatitis B vaccine</t>
  </si>
  <si>
    <t>birth order defined as 1st, 2-4th, 5+ for col AF, AG, AH . see other comments</t>
  </si>
  <si>
    <t>1269</t>
  </si>
  <si>
    <t>2000,2005, 2011,2014</t>
  </si>
  <si>
    <t>Alemayehu A. Ambel</t>
  </si>
  <si>
    <t>Ambel</t>
  </si>
  <si>
    <t>Ethiopia</t>
  </si>
  <si>
    <t>BCG, measles, and three doses of polio and DPT</t>
  </si>
  <si>
    <t>1128</t>
  </si>
  <si>
    <t>2020</t>
  </si>
  <si>
    <t>2010 and 2018</t>
  </si>
  <si>
    <t>Edward Kwabena Ameyaw</t>
  </si>
  <si>
    <t>Ameyaw</t>
  </si>
  <si>
    <t>11,662</t>
  </si>
  <si>
    <t>14,578</t>
  </si>
  <si>
    <t>Benin, Burundi, DRC, Ethiopia, Gabon, Ghana, Gambia, Guinea, Kenya, Liberia, Lesotho, Mali, Malawi, Nigeria, Niger, Namibia, Sierra Leone, Togo, Tanzania, Uganda, SA, Zambia, Zimbabwe</t>
  </si>
  <si>
    <t>5727</t>
  </si>
  <si>
    <t>7278</t>
  </si>
  <si>
    <t>5936</t>
  </si>
  <si>
    <t>7300</t>
  </si>
  <si>
    <t>18163</t>
  </si>
  <si>
    <t>8077</t>
  </si>
  <si>
    <t>4473</t>
  </si>
  <si>
    <t>5847</t>
  </si>
  <si>
    <t>9564</t>
  </si>
  <si>
    <t>9149</t>
  </si>
  <si>
    <t>6595</t>
  </si>
  <si>
    <t>932</t>
  </si>
  <si>
    <t>BCG, at least three doses of polio vaccine; three doses of diptheria, tetanus toxoids and pertussis vaccine and one dose measles vaccine</t>
  </si>
  <si>
    <t>847</t>
  </si>
  <si>
    <t>2010</t>
  </si>
  <si>
    <t>2003</t>
  </si>
  <si>
    <t>Diddy Antai</t>
  </si>
  <si>
    <t>Antai</t>
  </si>
  <si>
    <t>348</t>
  </si>
  <si>
    <t>2,152</t>
  </si>
  <si>
    <t>604</t>
  </si>
  <si>
    <t>593</t>
  </si>
  <si>
    <t>Polio (3 doses) , measles, DTP (three doses) and BCG</t>
  </si>
  <si>
    <t>286</t>
  </si>
  <si>
    <t>Monica Viegas Andrade</t>
  </si>
  <si>
    <t>Andrade</t>
  </si>
  <si>
    <t>cross sectional-ecological study, household survey</t>
  </si>
  <si>
    <t>1,330</t>
  </si>
  <si>
    <t>48</t>
  </si>
  <si>
    <t>immunised vs. not</t>
  </si>
  <si>
    <t>Brazil</t>
  </si>
  <si>
    <t>45</t>
  </si>
  <si>
    <t>1330</t>
  </si>
  <si>
    <t>314</t>
  </si>
  <si>
    <t>11</t>
  </si>
  <si>
    <t>325</t>
  </si>
  <si>
    <t>17</t>
  </si>
  <si>
    <t>242</t>
  </si>
  <si>
    <t>9</t>
  </si>
  <si>
    <t>523</t>
  </si>
  <si>
    <t>12</t>
  </si>
  <si>
    <t>58</t>
  </si>
  <si>
    <t>30</t>
  </si>
  <si>
    <t>tetanus</t>
  </si>
  <si>
    <t>As the tetanus immunization ensures protection during a ten-year period, the coverage of tetanus vaccine immunization was estimated combining the information regarding immunized mothers during pregnancy with those who were already immunized. Also — wealth quintiles here are differently defined than usual, ensure we can use this #</t>
  </si>
  <si>
    <t>929</t>
  </si>
  <si>
    <t>2005-2014</t>
  </si>
  <si>
    <t>Catherine Arsenault</t>
  </si>
  <si>
    <t>Arsenault</t>
  </si>
  <si>
    <t>random-effects meta-analyses using DHS data</t>
  </si>
  <si>
    <t>45 Gavi-supported countries</t>
  </si>
  <si>
    <t>DTP3 and MCV</t>
  </si>
  <si>
    <t>difficult to extract raw numbers, paper shows sample sizes and a relative index of inequality</t>
  </si>
  <si>
    <t>953</t>
  </si>
  <si>
    <t>random-effects meta-regression analyses using DHS data</t>
  </si>
  <si>
    <t>difficult to extract raw numbers, paper shows sample sizes and a slope index of inequality.</t>
  </si>
  <si>
    <t>967</t>
  </si>
  <si>
    <t>2012-2013</t>
  </si>
  <si>
    <t>Atta Muhammad Asif</t>
  </si>
  <si>
    <t>Asif</t>
  </si>
  <si>
    <t>Multilevel logistic regression on individual and community level data using DHS data</t>
  </si>
  <si>
    <t>2,659</t>
  </si>
  <si>
    <t>4,106</t>
  </si>
  <si>
    <t>Pakistan</t>
  </si>
  <si>
    <t>1284</t>
  </si>
  <si>
    <t>2033</t>
  </si>
  <si>
    <t>1375</t>
  </si>
  <si>
    <t>2073</t>
  </si>
  <si>
    <t>3874</t>
  </si>
  <si>
    <t>2891</t>
  </si>
  <si>
    <t>1264</t>
  </si>
  <si>
    <t>1614</t>
  </si>
  <si>
    <t>3963</t>
  </si>
  <si>
    <t>1160</t>
  </si>
  <si>
    <t>713</t>
  </si>
  <si>
    <t>BCG 1 dose, polio 4 doses,
DPT 3 doses, and measles 1 dose</t>
  </si>
  <si>
    <t>839</t>
  </si>
  <si>
    <t>2016</t>
  </si>
  <si>
    <t>2006</t>
  </si>
  <si>
    <t>John E. Ataguba</t>
  </si>
  <si>
    <t>Ataguba</t>
  </si>
  <si>
    <t>secondary questionnaire household data</t>
  </si>
  <si>
    <t>34,511</t>
  </si>
  <si>
    <t>12 vaccines 2 —measles, BCG, DPT1-3, OPV0-3, yellow fever, MMR and vitamin A</t>
  </si>
  <si>
    <t>data extracted for partially and fully immunized children (i.e. children aged 12–59 months that received all of the following 12 vaccines 2 —measles, BCG, DPT1-3, OPV0-3, yellow fever, MMR and vitamin A) and never immunized children (i.e. those that have never been vaccinated since birth). Vaccinated column = parially/fully immunized children. Only percentages shown in paper, cannot extract raw numbers.</t>
  </si>
  <si>
    <t>1506</t>
  </si>
  <si>
    <t>2008</t>
  </si>
  <si>
    <t>1990-2006</t>
  </si>
  <si>
    <t>Ties Boerma</t>
  </si>
  <si>
    <t>Boerma</t>
  </si>
  <si>
    <t>secondary DHS data</t>
  </si>
  <si>
    <t>54 Countries (all lower and lower- middle- income)</t>
  </si>
  <si>
    <t>Measles vaccination, Diphtheria, pertussis, and tetanus vaccination
BCG vaccination</t>
  </si>
  <si>
    <t>627</t>
  </si>
  <si>
    <t>1992,1993, 1998,1999</t>
  </si>
  <si>
    <t>Sekhar Bonu</t>
  </si>
  <si>
    <t>Bonu</t>
  </si>
  <si>
    <t>cross-sectional surveys based on systematic,stratified samples of households</t>
  </si>
  <si>
    <t>India</t>
  </si>
  <si>
    <t>3</t>
  </si>
  <si>
    <t>OPV and non-polio EPI vaccinations (BCG, measlesand DPT).</t>
  </si>
  <si>
    <t>1554</t>
  </si>
  <si>
    <t>2004</t>
  </si>
  <si>
    <t>1990–2001</t>
  </si>
  <si>
    <t>cross-sectional DHS household survey</t>
  </si>
  <si>
    <t>three South Asian and twelve sub-Saharan African countries</t>
  </si>
  <si>
    <t/>
  </si>
  <si>
    <t>one dose each of BCG and measles and three doses of DPT and three OPV doses</t>
  </si>
  <si>
    <t>781</t>
  </si>
  <si>
    <t>1986-2007</t>
  </si>
  <si>
    <t>Xavier Bosch-Capblanch</t>
  </si>
  <si>
    <t>Bosch-Caplanch</t>
  </si>
  <si>
    <t>secondary DHS and MICS data</t>
  </si>
  <si>
    <t>1,014,456</t>
  </si>
  <si>
    <t>111 118</t>
  </si>
  <si>
    <t>92 LMICs</t>
  </si>
  <si>
    <t>bacille Calmette-Gue´rin (BCG), any vaccine containing DTP, oral polio vaccine (OPV) and any vaccine containing measles antigen (MCV).</t>
  </si>
  <si>
    <t>1242</t>
  </si>
  <si>
    <t>2018</t>
  </si>
  <si>
    <t>2014</t>
  </si>
  <si>
    <t>Matthew L. Boulton</t>
  </si>
  <si>
    <t>Boulton</t>
  </si>
  <si>
    <t>1,412</t>
  </si>
  <si>
    <t>289</t>
  </si>
  <si>
    <t>Bangladesh</t>
  </si>
  <si>
    <t>693</t>
  </si>
  <si>
    <t>144</t>
  </si>
  <si>
    <t>719</t>
  </si>
  <si>
    <t>151</t>
  </si>
  <si>
    <t>878</t>
  </si>
  <si>
    <t>183</t>
  </si>
  <si>
    <t>418</t>
  </si>
  <si>
    <t>74</t>
  </si>
  <si>
    <t>298</t>
  </si>
  <si>
    <t>29</t>
  </si>
  <si>
    <t>264</t>
  </si>
  <si>
    <t>98</t>
  </si>
  <si>
    <t>159</t>
  </si>
  <si>
    <t>59</t>
  </si>
  <si>
    <t>356</t>
  </si>
  <si>
    <t>112</t>
  </si>
  <si>
    <t>718</t>
  </si>
  <si>
    <t>110</t>
  </si>
  <si>
    <t>179</t>
  </si>
  <si>
    <t>10</t>
  </si>
  <si>
    <t>one dose of bacillus Calmette–Guérin (BCG), three doses of pentavalent vaccine, three doses of oral polio vaccine (OPV), and one dose of measles-containing vaccine (MCV)</t>
  </si>
  <si>
    <t>517</t>
  </si>
  <si>
    <t>Fernando Luiz Cunha Castelo Branco</t>
  </si>
  <si>
    <t>Castelo Branco</t>
  </si>
  <si>
    <t>Bacille Calmette Guérin (BCG), Hepatitis B vaccine (HepB), Oral Polio vaccine (OPV), Measles-Mumps-Rubella vaccine (MMR), Diphtheriatetanus-whole cell pertussis-Haemophilus b (DTP-Hib) and Yellow Fever vaccine (YFV)</t>
  </si>
  <si>
    <t>1225</t>
  </si>
  <si>
    <t>1996 and 2013</t>
  </si>
  <si>
    <t>Averi Chakrabart</t>
  </si>
  <si>
    <t>Chakrabart</t>
  </si>
  <si>
    <t>secondary r supplementary immunization activities data</t>
  </si>
  <si>
    <t>Bangladesh, Senegal, Togo, Gambia, and Cote d’Ivoire</t>
  </si>
  <si>
    <t>BCG, three doses of DTP, three doses of polio (either oral polio vaccines or inactivated polio vaccines), three hepatitis B, and one measles vaccine</t>
  </si>
  <si>
    <t>1563</t>
  </si>
  <si>
    <t>2001</t>
  </si>
  <si>
    <t>A. Mushtaque R. Chowdhury</t>
  </si>
  <si>
    <t>Chowdhury</t>
  </si>
  <si>
    <t>secondary data</t>
  </si>
  <si>
    <t>BCG at birth, DPT 1/OPV1 at six weeks, DPT2/OPV2 at 10 weeks, DPT3/OPV3 at 16 weeks, and Measles at 3</t>
  </si>
  <si>
    <t>1387</t>
  </si>
  <si>
    <t>2008-2009</t>
  </si>
  <si>
    <t>Sean Clouston</t>
  </si>
  <si>
    <t>Clouston</t>
  </si>
  <si>
    <t>Madagascar</t>
  </si>
  <si>
    <t>4</t>
  </si>
  <si>
    <t>diphtheria,tetanus, pertussis, and hepatitis B (DPT); tuberculosis (TB);measles; poliomyelitis (polio), given orally; and meningitis, pneu-monia, and epiglottis using the haemophilus influenza type-B (HiB)vaccine</t>
  </si>
  <si>
    <t>636</t>
  </si>
  <si>
    <t>2002-2009</t>
  </si>
  <si>
    <t>Fuqiang Cui</t>
  </si>
  <si>
    <t>Cui</t>
  </si>
  <si>
    <t>national stratified, validation, cross-sectional survey</t>
  </si>
  <si>
    <t>china</t>
  </si>
  <si>
    <t>hepatitis B vaccine (TBD)</t>
  </si>
  <si>
    <t>761</t>
  </si>
  <si>
    <t>2021</t>
  </si>
  <si>
    <t>2010-2019</t>
  </si>
  <si>
    <t>Bianca O. Cata-Preta</t>
  </si>
  <si>
    <t>Cata-Preta</t>
  </si>
  <si>
    <t>secondary data from DHS and MICS</t>
  </si>
  <si>
    <t>BCG, polio, DPT and measles containing vaccines (MCV).For polio, we considered both oral polio vaccine (OPV) and inacti-vated polio vaccine (IPV)</t>
  </si>
  <si>
    <t>1147</t>
  </si>
  <si>
    <t>1991, 1998, 2004 and 2011</t>
  </si>
  <si>
    <t>Rodrigue Nda’chi Deffo</t>
  </si>
  <si>
    <t>Nda'chi Deffo</t>
  </si>
  <si>
    <t>Cameroon</t>
  </si>
  <si>
    <t>BCG, polio, DTP and VAR</t>
  </si>
  <si>
    <t>818</t>
  </si>
  <si>
    <t>Niveditha Devasenapathy</t>
  </si>
  <si>
    <t>Devasenapathy</t>
  </si>
  <si>
    <t>cross sectional, household survey</t>
  </si>
  <si>
    <t>716</t>
  </si>
  <si>
    <t>372</t>
  </si>
  <si>
    <t>353</t>
  </si>
  <si>
    <t>344</t>
  </si>
  <si>
    <t>189</t>
  </si>
  <si>
    <t>99</t>
  </si>
  <si>
    <t>177</t>
  </si>
  <si>
    <t>66</t>
  </si>
  <si>
    <t>BCG, 0–3 doses of OPV, DPT, hepatitis B vaccine and measles</t>
  </si>
  <si>
    <t>894</t>
  </si>
  <si>
    <t>2003/2004 and 2010/2011</t>
  </si>
  <si>
    <t>Satis Devkota</t>
  </si>
  <si>
    <t>Devkota</t>
  </si>
  <si>
    <t>Pooled cross-sectional series</t>
  </si>
  <si>
    <t>Nepal</t>
  </si>
  <si>
    <t>three DPT vaccines, three polio vaccines, three Hepatitis B vaccines, a BCG vaccine and a measles</t>
  </si>
  <si>
    <t>802</t>
  </si>
  <si>
    <t>2015</t>
  </si>
  <si>
    <t>Thaddaeus Egondi</t>
  </si>
  <si>
    <t>Egondi</t>
  </si>
  <si>
    <t>Cross-Sectional Slum Survey of 2012</t>
  </si>
  <si>
    <t>Kenya</t>
  </si>
  <si>
    <t>BCG, measles, Pentavalent 3 doses and OPV 3 doses</t>
  </si>
  <si>
    <t>102</t>
  </si>
  <si>
    <t>2013-2017</t>
  </si>
  <si>
    <t>Setegn Muche Fenta</t>
  </si>
  <si>
    <t>Muche Fenta</t>
  </si>
  <si>
    <t xml:space="preserve">secondary data analysis </t>
  </si>
  <si>
    <t>full immunisation vs partial/none</t>
  </si>
  <si>
    <t>Senega, Ethiopia, Malawi, Rwanda, Tanzania, Zambia, Namibia, Ghana, Congo</t>
  </si>
  <si>
    <t>8899</t>
  </si>
  <si>
    <t>3832</t>
  </si>
  <si>
    <t>2902</t>
  </si>
  <si>
    <t>6072</t>
  </si>
  <si>
    <t>3757</t>
  </si>
  <si>
    <t>9403</t>
  </si>
  <si>
    <t>3328</t>
  </si>
  <si>
    <t>one dose of Bacille Calmette-Guerin (BCG), three doses of DPT and three doses of polio, and one dose of measles</t>
  </si>
  <si>
    <t xml:space="preserve">Anna-Maria extracted paper, resolved Huda's comment </t>
  </si>
  <si>
    <t>1173</t>
  </si>
  <si>
    <t>2014-2017</t>
  </si>
  <si>
    <t>Yaqing Gao</t>
  </si>
  <si>
    <t>Gao</t>
  </si>
  <si>
    <t>Bangladesh, India, Indonesia, Myanmar, Nepal,Thailand</t>
  </si>
  <si>
    <t>MCV1</t>
  </si>
  <si>
    <t>859</t>
  </si>
  <si>
    <t>Peter Austin Morton Ntenda</t>
  </si>
  <si>
    <t>Ntenda</t>
  </si>
  <si>
    <t>secondary data analysis</t>
  </si>
  <si>
    <t>vaccinated for 4 basic vaccines: 8 doses</t>
  </si>
  <si>
    <t>one dose of BCG, three doses of DPT-HepB-Hib, at least three doses of OPV3, and one dose of MCV1</t>
  </si>
  <si>
    <t>952</t>
  </si>
  <si>
    <t>2000</t>
  </si>
  <si>
    <t>Gebretsadik Shibre</t>
  </si>
  <si>
    <t>Shibre</t>
  </si>
  <si>
    <t>at least 1 dose of measles</t>
  </si>
  <si>
    <t>2005</t>
  </si>
  <si>
    <t>897</t>
  </si>
  <si>
    <t xml:space="preserve">2016 (?) </t>
  </si>
  <si>
    <t>BS Uzochukwu</t>
  </si>
  <si>
    <t>Uzochukwu</t>
  </si>
  <si>
    <t xml:space="preserve">Cross-sectional with cluster sampling design </t>
  </si>
  <si>
    <t>full immunisation of vaccines listed in notes</t>
  </si>
  <si>
    <t xml:space="preserve">Nigeria </t>
  </si>
  <si>
    <t>Full immunization means receipt of BCG, three doses each of DPT, OPV, and HB, one dose of measles vaccines plus any number of additional doses of OPV[28] usually given during immunization plus days campaign in Nigeria</t>
  </si>
  <si>
    <t>1374</t>
  </si>
  <si>
    <t>various</t>
  </si>
  <si>
    <t>John Grundy</t>
  </si>
  <si>
    <t>Grundy</t>
  </si>
  <si>
    <t>data not really in this format/ anything to extract</t>
  </si>
  <si>
    <t>791</t>
  </si>
  <si>
    <t>Helleringer</t>
  </si>
  <si>
    <t>polio</t>
  </si>
  <si>
    <t>860</t>
  </si>
  <si>
    <t>Hu</t>
  </si>
  <si>
    <t>2,235</t>
  </si>
  <si>
    <t>537</t>
  </si>
  <si>
    <t>China</t>
  </si>
  <si>
    <t>1116</t>
  </si>
  <si>
    <t>1119</t>
  </si>
  <si>
    <t>276</t>
  </si>
  <si>
    <t>1183</t>
  </si>
  <si>
    <t>1052</t>
  </si>
  <si>
    <t>780</t>
  </si>
  <si>
    <t>101</t>
  </si>
  <si>
    <t>1328</t>
  </si>
  <si>
    <t>full primary vaccination</t>
  </si>
  <si>
    <t>56</t>
  </si>
  <si>
    <t>331</t>
  </si>
  <si>
    <t>340</t>
  </si>
  <si>
    <t>316</t>
  </si>
  <si>
    <t>246</t>
  </si>
  <si>
    <t>191</t>
  </si>
  <si>
    <t>19</t>
  </si>
  <si>
    <t>371</t>
  </si>
  <si>
    <t>1452</t>
  </si>
  <si>
    <t>1993:2007</t>
  </si>
  <si>
    <t>Khan</t>
  </si>
  <si>
    <t xml:space="preserve">data presented as % coverage over time </t>
  </si>
  <si>
    <t>486</t>
  </si>
  <si>
    <t>Khowaja</t>
  </si>
  <si>
    <t>focus is on coverage not on number vaccinated by factor</t>
  </si>
  <si>
    <t>1266</t>
  </si>
  <si>
    <t>2007, 2009</t>
  </si>
  <si>
    <t>Kasuma</t>
  </si>
  <si>
    <t>data on impact of payments for vaccine coverage rather than number vaxed</t>
  </si>
  <si>
    <t>801</t>
  </si>
  <si>
    <t xml:space="preserve">Olalekan A. Uthman </t>
  </si>
  <si>
    <t xml:space="preserve">Uthman </t>
  </si>
  <si>
    <t>fully &amp; partly vaccinated vs not vaccinated</t>
  </si>
  <si>
    <t>831</t>
  </si>
  <si>
    <t>2009</t>
  </si>
  <si>
    <t>2000, 2005</t>
  </si>
  <si>
    <t>Hong</t>
  </si>
  <si>
    <t>partly vaccinated vs fully vaccinatied</t>
  </si>
  <si>
    <t>Cambodia</t>
  </si>
  <si>
    <t>DTP</t>
  </si>
  <si>
    <t xml:space="preserve">data presented as % dropout of DPT3 </t>
  </si>
  <si>
    <t>1074</t>
  </si>
  <si>
    <t xml:space="preserve">Anne Geweniger </t>
  </si>
  <si>
    <t>Geweniger</t>
  </si>
  <si>
    <t>Secondary data analysis</t>
  </si>
  <si>
    <t xml:space="preserve">FULL vaccination (see notes) vs partial or none </t>
  </si>
  <si>
    <t xml:space="preserve">Ethiopia </t>
  </si>
  <si>
    <t>Basic vaccination refers the receipt of one dose of Bacille Calmette-Guérin (BCG) vaccine, three doses of diphtheria-tetanus-pertussis-hepatitis B-Haemophilus influenzae type b (DTP3-HepB-Hib) pentavalent vaccine, three doses of polio vaccine, and one dose of measles vaccine among children aged 12–23 months [20]. Full vaccination refers to the receipt of all vaccines included in basic vaccination as well as three doses of pneumococcal conjugate vaccine (PCV3, introduced in 2011) and two doses of rotavirus vaccine (introduced in 2013) among children aged 12–23 months</t>
  </si>
  <si>
    <t xml:space="preserve">Remaining data is given as mean — don't think it can be extracted; second reviewer to confirm </t>
  </si>
  <si>
    <t>1154</t>
  </si>
  <si>
    <t xml:space="preserve">Joseph K. Noel </t>
  </si>
  <si>
    <t xml:space="preserve">Noel </t>
  </si>
  <si>
    <t>fully vaccinated</t>
  </si>
  <si>
    <t>779</t>
  </si>
  <si>
    <t>974</t>
  </si>
  <si>
    <t>287</t>
  </si>
  <si>
    <t>431</t>
  </si>
  <si>
    <t>995</t>
  </si>
  <si>
    <t>497</t>
  </si>
  <si>
    <t>488</t>
  </si>
  <si>
    <t>321</t>
  </si>
  <si>
    <t>1880</t>
  </si>
  <si>
    <t>416</t>
  </si>
  <si>
    <t>618</t>
  </si>
  <si>
    <t>42</t>
  </si>
  <si>
    <t>2533</t>
  </si>
  <si>
    <t>679</t>
  </si>
  <si>
    <t>228</t>
  </si>
  <si>
    <t>43</t>
  </si>
  <si>
    <t>one dose each for Bacille CalmetteGuerin (BCG) and measles, DPT3, polio (excluding polio at birth) and pneumococcal vaccines</t>
  </si>
  <si>
    <t>1347</t>
  </si>
  <si>
    <t>1990 - 2006</t>
  </si>
  <si>
    <t>Kumar</t>
  </si>
  <si>
    <t>1061</t>
  </si>
  <si>
    <t>full vs not full</t>
  </si>
  <si>
    <t>378</t>
  </si>
  <si>
    <t>380</t>
  </si>
  <si>
    <t>44</t>
  </si>
  <si>
    <t>395</t>
  </si>
  <si>
    <t>25</t>
  </si>
  <si>
    <t>363</t>
  </si>
  <si>
    <t>64</t>
  </si>
  <si>
    <t>203</t>
  </si>
  <si>
    <t>27</t>
  </si>
  <si>
    <t>126</t>
  </si>
  <si>
    <t>31</t>
  </si>
  <si>
    <t>632</t>
  </si>
  <si>
    <t>full set</t>
  </si>
  <si>
    <t>565</t>
  </si>
  <si>
    <t>2005, 2006, 2015, 2016</t>
  </si>
  <si>
    <t>Wahl</t>
  </si>
  <si>
    <t>DTP, polio, BCG, measles</t>
  </si>
  <si>
    <t>only present % not numbers</t>
  </si>
  <si>
    <t>820</t>
  </si>
  <si>
    <t>Yu</t>
  </si>
  <si>
    <t>1053</t>
  </si>
  <si>
    <t>1992, 1993</t>
  </si>
  <si>
    <t>Pande</t>
  </si>
  <si>
    <t>590</t>
  </si>
  <si>
    <t>2005, 2006</t>
  </si>
  <si>
    <t>Prakash</t>
  </si>
  <si>
    <t>BCG, measles, polio, DTP</t>
  </si>
  <si>
    <t>1337</t>
  </si>
  <si>
    <t>Li</t>
  </si>
  <si>
    <t>influenza</t>
  </si>
  <si>
    <t>1472</t>
  </si>
  <si>
    <t>Limwattananon</t>
  </si>
  <si>
    <t>Thailand</t>
  </si>
  <si>
    <t>503</t>
  </si>
  <si>
    <t>1992, 1993, 1998, 1999</t>
  </si>
  <si>
    <t>Gaudin</t>
  </si>
  <si>
    <t>928</t>
  </si>
  <si>
    <t>2015, 2016</t>
  </si>
  <si>
    <t>Goli</t>
  </si>
  <si>
    <t xml:space="preserve">1 </t>
  </si>
  <si>
    <t>1418</t>
  </si>
  <si>
    <t>2008, 2009</t>
  </si>
  <si>
    <t xml:space="preserve">Carine Van Malderen </t>
  </si>
  <si>
    <t xml:space="preserve">Van Malderen </t>
  </si>
  <si>
    <t xml:space="preserve">with measles immunization </t>
  </si>
  <si>
    <t>Table slightly confusing and not fully clarified, assumed that the % meant proportion of those vaccinated from total (column N)</t>
  </si>
  <si>
    <t>766</t>
  </si>
  <si>
    <t>James L. Goodson</t>
  </si>
  <si>
    <t>Goodson</t>
  </si>
  <si>
    <t>Nationwide cross-sectional survey</t>
  </si>
  <si>
    <t>2804</t>
  </si>
  <si>
    <t>354</t>
  </si>
  <si>
    <t>measles vaccination (routine or campaign)</t>
  </si>
  <si>
    <t>measles routine or campaign</t>
  </si>
  <si>
    <t>focus on ITN vs non-ITN districts: 1981 vaccinated in ITN districts and 421 vaccinated in non-ITN districts. Also look at wealth quintiles by ITN/non-ITN districts.</t>
  </si>
  <si>
    <t>549</t>
  </si>
  <si>
    <t>Mark Grabowsky</t>
  </si>
  <si>
    <t>Grabowsky</t>
  </si>
  <si>
    <t>single population-based survey</t>
  </si>
  <si>
    <t>1663</t>
  </si>
  <si>
    <t>411</t>
  </si>
  <si>
    <t>measles vaccine</t>
  </si>
  <si>
    <t>Zambia</t>
  </si>
  <si>
    <t>1382</t>
  </si>
  <si>
    <t>323</t>
  </si>
  <si>
    <t>281</t>
  </si>
  <si>
    <t>88</t>
  </si>
  <si>
    <t>focus is on ITN vs no ITN received</t>
  </si>
  <si>
    <t>509</t>
  </si>
  <si>
    <t>Madhu Gupta</t>
  </si>
  <si>
    <t>Gupta</t>
  </si>
  <si>
    <t>sample survey of households</t>
  </si>
  <si>
    <t>BCG</t>
  </si>
  <si>
    <t>also has slum numbers: n_slum vaccinated = 158.912; n_slum unvaccinated = 32.088</t>
  </si>
  <si>
    <t>DPT and OPV 3rd dose</t>
  </si>
  <si>
    <t>also has slum numbers: n_slum vaccinated = 123.004; n_slum unvaccinated = 67.996</t>
  </si>
  <si>
    <t>Measles</t>
  </si>
  <si>
    <t>also has slum numbers: n_slum vaccinated = 102.949; n_slum unvaccinated = 88.051</t>
  </si>
  <si>
    <t>Hep B</t>
  </si>
  <si>
    <t>also has slum numbers: n_slum vaccinated = 13.943; n_slum unvaccinated = 177.057</t>
  </si>
  <si>
    <t>Hib</t>
  </si>
  <si>
    <t>also has slum numbers: n_slum vaccinated = 0; n_slum unvaccinated = 191</t>
  </si>
  <si>
    <t>MMR</t>
  </si>
  <si>
    <t>also has slum numbers: n_slum vaccinated = 0.955; n_slum unvaccinated = 190.045</t>
  </si>
  <si>
    <t>1380</t>
  </si>
  <si>
    <t>1992 - 2006</t>
  </si>
  <si>
    <t>Prusty</t>
  </si>
  <si>
    <t>DHS but broken down by gender coverage ratio</t>
  </si>
  <si>
    <t>918</t>
  </si>
  <si>
    <t>2012 - 2013</t>
  </si>
  <si>
    <t>Raza</t>
  </si>
  <si>
    <t xml:space="preserve">DHS </t>
  </si>
  <si>
    <t>327</t>
  </si>
  <si>
    <t>1998, 2013</t>
  </si>
  <si>
    <t>Sanoussi</t>
  </si>
  <si>
    <t xml:space="preserve">not given </t>
  </si>
  <si>
    <t>Togo</t>
  </si>
  <si>
    <t xml:space="preserve">not listed </t>
  </si>
  <si>
    <t>603</t>
  </si>
  <si>
    <t>Rammohan</t>
  </si>
  <si>
    <t>DTP3 and measles</t>
  </si>
  <si>
    <t>614</t>
  </si>
  <si>
    <t>2000, 2005, 2010</t>
  </si>
  <si>
    <t>Joshi</t>
  </si>
  <si>
    <t>multiple indicator cluster surveys</t>
  </si>
  <si>
    <t>Mongolia</t>
  </si>
  <si>
    <t>all : DTP, Hib, HepB, MMR etc/</t>
  </si>
  <si>
    <t>943</t>
  </si>
  <si>
    <t>2001-2012</t>
  </si>
  <si>
    <t>Restrepo-Méndez</t>
  </si>
  <si>
    <t>Various</t>
  </si>
  <si>
    <t>2006-2007</t>
  </si>
  <si>
    <t>Tsawe</t>
  </si>
  <si>
    <t>ever had vaccination</t>
  </si>
  <si>
    <t>Swaziland</t>
  </si>
  <si>
    <t>can't be extracted</t>
  </si>
  <si>
    <t>1164</t>
  </si>
  <si>
    <t>2015-2016</t>
  </si>
  <si>
    <t>Srivastava</t>
  </si>
  <si>
    <t>1072</t>
  </si>
  <si>
    <t>Alieu Sowe</t>
  </si>
  <si>
    <t>Sowe</t>
  </si>
  <si>
    <t xml:space="preserve">Secondary data analysis </t>
  </si>
  <si>
    <t>Fully immunised with vaccines given in notes</t>
  </si>
  <si>
    <t>Gambia</t>
  </si>
  <si>
    <t>206.4</t>
  </si>
  <si>
    <t>661</t>
  </si>
  <si>
    <t>183.8</t>
  </si>
  <si>
    <t>735</t>
  </si>
  <si>
    <t>143</t>
  </si>
  <si>
    <t>518</t>
  </si>
  <si>
    <t>248</t>
  </si>
  <si>
    <t>167</t>
  </si>
  <si>
    <t>109</t>
  </si>
  <si>
    <t>277</t>
  </si>
  <si>
    <t>54</t>
  </si>
  <si>
    <t>736</t>
  </si>
  <si>
    <t>200</t>
  </si>
  <si>
    <t>201</t>
  </si>
  <si>
    <t>318</t>
  </si>
  <si>
    <t>145</t>
  </si>
  <si>
    <t>1187</t>
  </si>
  <si>
    <t>362</t>
  </si>
  <si>
    <t>67</t>
  </si>
  <si>
    <t>1 dose BCG, 1 dose measles, 3 doses DTP or pentavalent and polio vaccine</t>
  </si>
  <si>
    <t>based on vax card or caregiver recall, but card retention high during DHS at 90.2%</t>
  </si>
  <si>
    <t>573</t>
  </si>
  <si>
    <t>1997</t>
  </si>
  <si>
    <t>1988</t>
  </si>
  <si>
    <t>Zoe Matthews</t>
  </si>
  <si>
    <t>Matthews</t>
  </si>
  <si>
    <t>A vaccinated child is defined here as one whose mother either has a card to prove their vaccination status or she has answered yes to the question which asks if the child has ever been vaccinat</t>
  </si>
  <si>
    <t>Ghana</t>
  </si>
  <si>
    <t xml:space="preserve">Cannot extract data based on presentation of results </t>
  </si>
  <si>
    <t>1385</t>
  </si>
  <si>
    <t>Lu Gram</t>
  </si>
  <si>
    <t>Gram</t>
  </si>
  <si>
    <t>626</t>
  </si>
  <si>
    <t>2002</t>
  </si>
  <si>
    <t>NGUYEN MINH THANG</t>
  </si>
  <si>
    <t>Minh Thang</t>
  </si>
  <si>
    <t>fully immunised with WHO defintion by 9 mo VS not fully immunised</t>
  </si>
  <si>
    <t xml:space="preserve">Vietnam </t>
  </si>
  <si>
    <t>a Bacillus Calmette-Guerin (BCG) vaccination against tuberculosis; three doses of diphtheria, pertussis and tetanus (DPT) vaccine; at least three doses of polio vaccine; and one dose of measles vaccine.</t>
  </si>
  <si>
    <t>reviewed and discussed (A-M and K)</t>
  </si>
  <si>
    <t>615</t>
  </si>
  <si>
    <t>2010-2015 (?)</t>
  </si>
  <si>
    <t>Abdramane Bassiahi Soura</t>
  </si>
  <si>
    <t>Soura</t>
  </si>
  <si>
    <t>WHO time frame, should have received all the necessary vaccines before their first birthday (i.e. incomplete vaccination = unvaccinated)</t>
  </si>
  <si>
    <t xml:space="preserve">Burkina Faso and Kenya </t>
  </si>
  <si>
    <t xml:space="preserve">Don't think this can be extracted based on the fact that N per category is not given </t>
  </si>
  <si>
    <t>968</t>
  </si>
  <si>
    <t>Han Song</t>
  </si>
  <si>
    <t>Song</t>
  </si>
  <si>
    <t>WHO vaccine series by 9 months</t>
  </si>
  <si>
    <t>366</t>
  </si>
  <si>
    <t>445</t>
  </si>
  <si>
    <t>347</t>
  </si>
  <si>
    <t>464</t>
  </si>
  <si>
    <t>89</t>
  </si>
  <si>
    <t>197</t>
  </si>
  <si>
    <t>213</t>
  </si>
  <si>
    <t>160</t>
  </si>
  <si>
    <t>438</t>
  </si>
  <si>
    <t>a BCG vaccine at birth or soon after; three doses each of DPT and polio vaccine at 6, 10 and 14 weeks of age; and the measles vaccine at 9 months or soon thereafter</t>
  </si>
  <si>
    <t xml:space="preserve">Think 145 for men vaccinated in the table is an error, entered 445 as per the %, but just flagged that this was a mistake in the publication </t>
  </si>
  <si>
    <t>1224</t>
  </si>
  <si>
    <t>Ikuma Nozaki</t>
  </si>
  <si>
    <t>Nozaki</t>
  </si>
  <si>
    <t>Complete Vaccination</t>
  </si>
  <si>
    <t>Myanmar</t>
  </si>
  <si>
    <t xml:space="preserve">Data not given by wealth quintile </t>
  </si>
  <si>
    <t>1 BCG, 1 measles, 3 DTP</t>
  </si>
  <si>
    <t xml:space="preserve">Bivariate analyses were performed to evaluate the relationships between vaccination status and the various factors
using survey-weighted logistic regression. — make sure this makes sense with the extraction; global Demographic and Health Survey (DHS) Program supported by USAID seems to be the reason there are so many of these — the questionnaire is standardized </t>
  </si>
  <si>
    <t>1125</t>
  </si>
  <si>
    <t>Duduzile Ndwandwe</t>
  </si>
  <si>
    <t>Ndwandwe</t>
  </si>
  <si>
    <t>South Africa</t>
  </si>
  <si>
    <t>138</t>
  </si>
  <si>
    <t>149</t>
  </si>
  <si>
    <t>140</t>
  </si>
  <si>
    <t>256</t>
  </si>
  <si>
    <t>225</t>
  </si>
  <si>
    <t>bacillus Calmette–Guérin (BCG) (one dose), polio vaccine (four doses; including two doses of oral polio vaccine (OPV) and two doses of inactivated polio vaccine (IPV)), diphtheria-tetanus-pertussis-containing vaccines (DTP) (three doses) and measles-containing vaccines (MCV) (one dose). The DTP-containing vaccine currently used in South Africa is a hexavalent vaccine that also includes IPV, Haemophilus influenzae type b and Hepatitis B virus antigens</t>
  </si>
  <si>
    <t>1376</t>
  </si>
  <si>
    <t>2007-2008</t>
  </si>
  <si>
    <t>Daouda Sissoko</t>
  </si>
  <si>
    <t>Sissoko</t>
  </si>
  <si>
    <t>3173</t>
  </si>
  <si>
    <t>at least 1 dose of the 8 listed in notes</t>
  </si>
  <si>
    <t xml:space="preserve">eight vaccine doses (1 dose of BCG vaccine, 3 doses each of DTP vaccine and OPV, and 1 dose of MCV were considered completely unvaccinated (CUV), and were compared to children who had received at least one dose of vaccine. </t>
  </si>
  <si>
    <t>1296</t>
  </si>
  <si>
    <t>Anonh Xeuatvongsa</t>
  </si>
  <si>
    <t>Xeuatvongsa</t>
  </si>
  <si>
    <t>nationwide population-based cross-sectionalstudy that used data obtained through multistage cluster sampling</t>
  </si>
  <si>
    <t>187</t>
  </si>
  <si>
    <t>130</t>
  </si>
  <si>
    <t>complete vaccination vs partially vaxxed (unvax excluded)</t>
  </si>
  <si>
    <t>Laos</t>
  </si>
  <si>
    <t>92</t>
  </si>
  <si>
    <t>57</t>
  </si>
  <si>
    <t>95</t>
  </si>
  <si>
    <t>73</t>
  </si>
  <si>
    <t>81</t>
  </si>
  <si>
    <t>103</t>
  </si>
  <si>
    <t>“standard six”antigens—BCG, DTP3 (3 doses),OPV3 (3 doses), and measles vaccines</t>
  </si>
  <si>
    <t>Unvaccinated taken from the "partially vaccinated" column, defined as at least one vaccine missing from the series, but children without vaccination records were excluded from the survey</t>
  </si>
  <si>
    <t>903</t>
  </si>
  <si>
    <t>2012-2016</t>
  </si>
  <si>
    <t>Syed Manzoor Ahmed Hanifi</t>
  </si>
  <si>
    <t>Hanifi</t>
  </si>
  <si>
    <t>3732</t>
  </si>
  <si>
    <t>all 8 doses by 12 months of age</t>
  </si>
  <si>
    <t>1360</t>
  </si>
  <si>
    <t>BCG (Bacillus Calmette–Guérin) at birth, Penta (diphtheria-teta nus-pertussis-hepatitis B-Haemophilus influenzae type b) and OPV (oral polio vaccine) in 3 doses at 6, 10, and 14 weeks of age, followed by measles vaccine (MV) at 9 months</t>
  </si>
  <si>
    <t>Not much here because definitions are different from ours</t>
  </si>
  <si>
    <t>1402</t>
  </si>
  <si>
    <t>2000-2010</t>
  </si>
  <si>
    <t>Sann Chan Soeung</t>
  </si>
  <si>
    <t>Soeung</t>
  </si>
  <si>
    <t xml:space="preserve">Cambodia </t>
  </si>
  <si>
    <t>936</t>
  </si>
  <si>
    <t>1990-1991</t>
  </si>
  <si>
    <t>W. Imran</t>
  </si>
  <si>
    <t>Imran</t>
  </si>
  <si>
    <t>all 3 doses of OPV</t>
  </si>
  <si>
    <t>Polio — 3 doses</t>
  </si>
  <si>
    <t>2000-2019</t>
  </si>
  <si>
    <t>Local Burden of Disease Vaccine Coverage Collaborators</t>
  </si>
  <si>
    <t>LBDVCC</t>
  </si>
  <si>
    <t>secondary data analysis and modelling</t>
  </si>
  <si>
    <t>338</t>
  </si>
  <si>
    <t>1992–2006</t>
  </si>
  <si>
    <t>941</t>
  </si>
  <si>
    <t>2001, 2006, 2011, 2014</t>
  </si>
  <si>
    <t>KC</t>
  </si>
  <si>
    <t>BCG, polio, DTP, measles</t>
  </si>
  <si>
    <t>711</t>
  </si>
  <si>
    <t>Kannankeril</t>
  </si>
  <si>
    <t xml:space="preserve">fully vaccinated </t>
  </si>
  <si>
    <t xml:space="preserve">N for urban and rural breakdown given in results </t>
  </si>
  <si>
    <t>1059</t>
  </si>
  <si>
    <t>2010-2015</t>
  </si>
  <si>
    <t>Hajizadeh</t>
  </si>
  <si>
    <t>1077</t>
  </si>
  <si>
    <t>Mohammad Hajizadeh</t>
  </si>
  <si>
    <t>4 core vaccines, see notes</t>
  </si>
  <si>
    <t>Bacille Calmette-Guérin [BCG], diphtheria-tetanus-pertussis [DTP, 3 doses], Polio [3 doses] and Measles vaccines</t>
  </si>
  <si>
    <t>Kyrgyz
Republic</t>
  </si>
  <si>
    <t>Namibia</t>
  </si>
  <si>
    <t>940</t>
  </si>
  <si>
    <t>2000-2003, 2010-2013</t>
  </si>
  <si>
    <t>Ahmad Hosseinpoor</t>
  </si>
  <si>
    <t>Hosseinpoor</t>
  </si>
  <si>
    <t>3 doses DTP3</t>
  </si>
  <si>
    <t>51 countries</t>
  </si>
  <si>
    <t>3 doses DTP</t>
  </si>
  <si>
    <t>774</t>
  </si>
  <si>
    <t>2000-2003</t>
  </si>
  <si>
    <t>Taufiq Mashal</t>
  </si>
  <si>
    <t>Mashal</t>
  </si>
  <si>
    <t>all doses, see notes</t>
  </si>
  <si>
    <t>Afghanistan</t>
  </si>
  <si>
    <t>BCG, DPT3, POV3 and measles</t>
  </si>
  <si>
    <t>1287</t>
  </si>
  <si>
    <t>2013-2015</t>
  </si>
  <si>
    <t>Maya M.V.X.van den Ent</t>
  </si>
  <si>
    <t>van den Ent</t>
  </si>
  <si>
    <t>Cross-sectional surveys</t>
  </si>
  <si>
    <t>DTP3 coverage</t>
  </si>
  <si>
    <t xml:space="preserve">Madagascar </t>
  </si>
  <si>
    <t>DTP3 ?</t>
  </si>
  <si>
    <t>799</t>
  </si>
  <si>
    <t>Martins</t>
  </si>
  <si>
    <t>172</t>
  </si>
  <si>
    <t>HepB3 coverage</t>
  </si>
  <si>
    <t>70</t>
  </si>
  <si>
    <t>65</t>
  </si>
  <si>
    <t>107</t>
  </si>
  <si>
    <t>HepB</t>
  </si>
  <si>
    <t>1078</t>
  </si>
  <si>
    <t>Portnoy</t>
  </si>
  <si>
    <t>1462</t>
  </si>
  <si>
    <t>Nkonki</t>
  </si>
  <si>
    <t>BCG, OPV3 and DTP3</t>
  </si>
  <si>
    <t>1024</t>
  </si>
  <si>
    <t>2005-2006</t>
  </si>
  <si>
    <t>Arokiasamy</t>
  </si>
  <si>
    <t>599</t>
  </si>
  <si>
    <t xml:space="preserve">Victora </t>
  </si>
  <si>
    <t>550</t>
  </si>
  <si>
    <t>Uddin</t>
  </si>
  <si>
    <t>multiple surveys</t>
  </si>
  <si>
    <t>435</t>
  </si>
  <si>
    <t>1991, 1993, 1997</t>
  </si>
  <si>
    <t>Xie</t>
  </si>
  <si>
    <t>7</t>
  </si>
  <si>
    <t>BCG, DPT1–3, OPV1–3, measles, HepB</t>
  </si>
  <si>
    <t>1206</t>
  </si>
  <si>
    <t>Wariri</t>
  </si>
  <si>
    <t>West African countries</t>
  </si>
  <si>
    <t>1193</t>
  </si>
  <si>
    <t>Wuneh</t>
  </si>
  <si>
    <t>489</t>
  </si>
  <si>
    <t>Yang</t>
  </si>
  <si>
    <t>394</t>
  </si>
  <si>
    <t>651</t>
  </si>
  <si>
    <t>HepB vaccination</t>
  </si>
  <si>
    <t>16</t>
  </si>
  <si>
    <t>45+</t>
  </si>
  <si>
    <t>198</t>
  </si>
  <si>
    <t>196</t>
  </si>
  <si>
    <t>303</t>
  </si>
  <si>
    <t>pre-1980 cohort, the age range is 16-30, post-1980 cohort age range is 45+</t>
  </si>
  <si>
    <t>266</t>
  </si>
  <si>
    <t>1991-1998</t>
  </si>
  <si>
    <t>Houweling</t>
  </si>
  <si>
    <t>Bolivia, Brazil, Indonesia, Cameroon, Chad, Kenya, Malawi, Pakistan, Tanzania, and Uganda</t>
  </si>
  <si>
    <t>789</t>
  </si>
  <si>
    <t>Lanaspa</t>
  </si>
  <si>
    <t>190</t>
  </si>
  <si>
    <t>all EPI</t>
  </si>
  <si>
    <t>Mozambique</t>
  </si>
  <si>
    <t>72</t>
  </si>
  <si>
    <t>96</t>
  </si>
  <si>
    <t>22</t>
  </si>
  <si>
    <t>EPI in Mozambique includes a Bacille Calmette–Guerin (BCG) and an Oral Polio Vaccine (OPV) dose at birth, a tetra/pentavalent (Hepatitis B, Diphteria, Tetanus, Pertussis, plus Haemophilus influenzae b since august 2009) at weeks 6, 10 and 14, and a measles vaccine single dose at month 9</t>
  </si>
  <si>
    <t>1334</t>
  </si>
  <si>
    <t>Lv</t>
  </si>
  <si>
    <t>flu</t>
  </si>
  <si>
    <t>60</t>
  </si>
  <si>
    <t>350</t>
  </si>
  <si>
    <t>297</t>
  </si>
  <si>
    <t>180</t>
  </si>
  <si>
    <t>467</t>
  </si>
  <si>
    <t>1392</t>
  </si>
  <si>
    <t>217</t>
  </si>
  <si>
    <t>1999</t>
  </si>
  <si>
    <t>Mfenyana</t>
  </si>
  <si>
    <t>1436</t>
  </si>
  <si>
    <t>full immunisation with national immunisation schedule</t>
  </si>
  <si>
    <t>Not given</t>
  </si>
  <si>
    <t xml:space="preserve">Anna added toal children fully immunised, age range </t>
  </si>
  <si>
    <t>1141</t>
  </si>
  <si>
    <t>Mishra</t>
  </si>
  <si>
    <t>633</t>
  </si>
  <si>
    <t>Oryema</t>
  </si>
  <si>
    <t>cluster survey</t>
  </si>
  <si>
    <t>Uganda</t>
  </si>
  <si>
    <t>1491</t>
  </si>
  <si>
    <t>1992,1993, 1998, 1999, 2005, 2006</t>
  </si>
  <si>
    <t>Mohanty</t>
  </si>
  <si>
    <t>diphtheria, pertussis, childhood tuberculosis, poliomyelitis, measles and neonatal tetanus</t>
  </si>
  <si>
    <t>912</t>
  </si>
  <si>
    <t>one dose of BCG, three doses of DPT (or other polyvalent vaccine including DPT), three doses of polio vaccine, and one dose of measles vaccines (either as monovalent vaccine or as measles-containing vaccine combinations with other immunogens)</t>
  </si>
  <si>
    <t>914</t>
  </si>
  <si>
    <t>measles only</t>
  </si>
  <si>
    <t>1470</t>
  </si>
  <si>
    <t>1990</t>
  </si>
  <si>
    <t xml:space="preserve">Innocent A. Semali </t>
  </si>
  <si>
    <t xml:space="preserve">Semali </t>
  </si>
  <si>
    <t>completed all vaccinations required by 12 months</t>
  </si>
  <si>
    <t xml:space="preserve">Tanzania </t>
  </si>
  <si>
    <t>Bacillus Calmette-Guerin (BCG) vaccine, three doses of Diphtheria, Tetanus and Pertusis toxoid (DPT) vaccine, four doses of oral poliovirus vaccine and measles vaccine</t>
  </si>
  <si>
    <t xml:space="preserve">Can't extract rest of data because n per category not given </t>
  </si>
  <si>
    <t>1996</t>
  </si>
  <si>
    <t>extractor</t>
  </si>
  <si>
    <t>role of equity on the impact of vaccination in LMICs</t>
  </si>
  <si>
    <t>how vaccine access varies geographically</t>
  </si>
  <si>
    <t>how vaccine access varies demographically</t>
  </si>
  <si>
    <t>how vaccine access varies socioeconomically.</t>
  </si>
  <si>
    <t>heterogeneity in vaccination access in LMICs</t>
  </si>
  <si>
    <t>strengths</t>
  </si>
  <si>
    <t>limitations</t>
  </si>
  <si>
    <t>Huda</t>
  </si>
  <si>
    <t xml:space="preserve">the highest ranked region was Nsanje, with coverage of 74%. Seven regions had coverage over 50%. The four regions with the lowest ranking had less than 10%vaccine coverage. Although there is no clear pattern to where the regions with high and low vaccine coverage are situated, many of the districts in the Northern Region are among those with low vaccination rates. The population in differen areas is more or less inclined to utilize health care facilities. Health care could be locally available, but people may well differ in their conceptions and knowledge about the possible benefits of the health services. Second, it may simply reflect lack of available health care resources. Lack of qualified health personnel and substandard quality of health care are common in many east African countries. </t>
  </si>
  <si>
    <t>There was no difference between gender and vaccine access and maternal marital status</t>
  </si>
  <si>
    <t>Maternal eduction, socio-economic status and avalibilty of care play a role in vaccine coverage in Malawi 
mothers who could not read and write a simple sentence had a significantly lower probability to fully vaccinate their child. Children in households with a higher annual income (those in the 3rd and 4th quintiles) had a significantly higher likelihood to be fully vaccinated as compared to those children in the lowest quintile group. Similarly, households with unsafe water source and without toilet facilities were significant predictors for not being fully vaccinated</t>
  </si>
  <si>
    <t>coverage was higher for mothers that used more specialized health care facilities during birth, and for mothers that had qualified health personnel present during birth</t>
  </si>
  <si>
    <t>Using a model for individual and regional data explains the variation of vaccine coverage and estimates  both fixed and random effects at the individual-level and regional-level.</t>
  </si>
  <si>
    <t>Response was based both on information from vaccination cards (88%) and/or from mother/guardians recollection (12%). It is specified whether a vaccination card is shown, but no information exists on when the vaccination was given. This makes it impossible to decide whether the child got the vaccination at the recommended age. Without vaccination cards, recall bias might be an issue. Also outcome variables are dicotomised as it only asseses full vaccination or not fully vaccinated. The use of secondary data means that reserchers have no way of fully authenticating the data used and the data used was not inteneded for this use. Alos, the data presented in table 1 and 2 are unclear and it is hard to extract quantitative data from</t>
  </si>
  <si>
    <t>Data is unclear so hard to extract information</t>
  </si>
  <si>
    <t xml:space="preserve">The data depicts that mothers in the youngest age group reported least coverage of childhood immunization in the two wealth classes and the coverage was more pronounced among the children of Christian mothers than their Muslim counterparts. About 25.6% of Christians in the poor wealth class had fully immunized their children compared with only 3.8% among the Muslims. Similar pattern was observed for the rich class but with much higher prevalence (78.0% and 28.2% among the children of Christians and Muslim respectively). While only 3.6% of children of women with no formal education among the poor class had received complete immunization, 18.5% was reported among the rich class. Among mothers with at least secondary education, 20.8% of the children of the poor and 51.2% of the rich had complete immunization. However, in the two classes, the data showed that an increase in level of education was associated with increasing childhood immunization level. </t>
  </si>
  <si>
    <t>The data show that across all the immunization vaccines received by the children, the prevalence was consistently higher among the rich women than the poor. While 38.6% of the children of the rich received complete immunization, only 5.0% of the poor did. About 64.2% and 49.6% children of the rich women received BCG and DPT 3 compared with 15.9% and 8.7% observed among the children of the poor respectively. Also, 57.9% vs 17.8% and 61.2% vs 52.1% of the children of mothers who belong to rich and poor wealth category received oral polio and polio 3 respectively. Approximately, 56% of the children of the rich women had been immunized against measles whereas only 17.1% of the poor women received the vaccine. Complete DPT was least taken by the children across the two wealth categories, while oral polio (17.8%) was mostly taken by the children of the poor, BCG (64.2%) was mostly received by the children of the rich.</t>
  </si>
  <si>
    <t xml:space="preserve">age, religion,wealth was the greatest predictor of vaccine coverage. Media access, working status, husband’s education, prenatal attendants and delivery place contributed to this too </t>
  </si>
  <si>
    <t>The survey data used was large and nationally representative. It also allows sub-regional analysis of the data across all spectrum of health and demographic research.</t>
  </si>
  <si>
    <t>Information on immunization coverage was collected during the survey in two ways–visual verification of vaccination cards or by verbal reporting. For those who could provide their cards, the research assistants entered the vaccination dates into the questionnaires. However, those without a vaccine card were asked to recall when their child was vaccinated. This introduces recall bias. The study splits the participants into poor and rich, however, doesn't define those terms. The classification was dichotomized as 1 (if the child had completed the needed immunization) and 0 (if otherwise).  The study was conducted as a secondary analysis from a national data set, the authors of this research had no way of ensuring or verifying the authenticity and rigor with ensuring the quality of the data during its collection. Secondly, the study results were generated from a DHS survey which does not collect information specific to income and expenditure. Income and expenditure specific questions are indicators used to capture wealth index more appropriately. Instead, asset based wealth profiles that are generated from this study served as a proxy for determining and classifying the households into wealth and non-wealthy households respectively, which might have been subject to a minimal level of bias.</t>
  </si>
  <si>
    <t xml:space="preserve"> </t>
  </si>
  <si>
    <t xml:space="preserve">Anna-Maria </t>
  </si>
  <si>
    <t>Measles vaccination coverage in rural regions of Indonesia appears weakly associated with place of residence after controlling for sex of the child, maternal age, maternal age squared, maternal and paternal education, household wealth and the presence of a skilled birth attendant.</t>
  </si>
  <si>
    <t xml:space="preserve">No differences between vaccination uptake and sex of child </t>
  </si>
  <si>
    <t>Household wealth and maternal/patnernal education found to be strongly correlated with measles vaccination uptake</t>
  </si>
  <si>
    <t xml:space="preserve">Access to a skilled birth attendant strongly associated with vaccination uptake </t>
  </si>
  <si>
    <t xml:space="preserve">Used binomial logistic regression to control for confouding variables; standardized household wealth var to international context </t>
  </si>
  <si>
    <t xml:space="preserve">recall bias in recording measles vaccine; used skilled birth attendant as a proxy to healthcare access; rural-urban differences potentially due to unmeasured factors, such as distance to health facility </t>
  </si>
  <si>
    <t xml:space="preserve">Putri Herliana </t>
  </si>
  <si>
    <t>Immunisation status lower in rural areas Unimmunised children were geographically clustered and lived among the most deprived population</t>
  </si>
  <si>
    <t>Lower among those with higher birth order and greater family size</t>
  </si>
  <si>
    <t xml:space="preserve">Increased odds of being underimmunised among mother's with no education and with the poorest household wealth quintiles. Also higher among children with no health insurance and those without antenatal or postnatal care. Socioeconomic factors were strongly associated with the likelihood of being unimmunised in Indonesia. </t>
  </si>
  <si>
    <t xml:space="preserve">home birth associated with lower immunisation </t>
  </si>
  <si>
    <t xml:space="preserve">large sample size, multilevel modeling to look at hierarchical str of data </t>
  </si>
  <si>
    <t>relied on a precollected dataset, two-level rather than three-level model; hard to infer any sort of causlity given this is a cross-sectional study; potential bias in child's immunisation status; the way immunisation status was classified</t>
  </si>
  <si>
    <t xml:space="preserve">immunisation classified as "fully immunised" and underimmunised, underimmunised meaning they did not recieve the full schedule of vaccines recommended by 12 mo. </t>
  </si>
  <si>
    <t>Data of full immunization coverage in 2011 was 25% in Ethiopia making it among the lowest in similar countries in Sub-Saharan Africa</t>
  </si>
  <si>
    <t>In 2000 utilization of vaccines by poorer households was very low which suggests widening inequality, but over timr that inequality had narrowed. For measles vaccination, theres a decreasing inequality. Meaning that the was less wealth-based inequality in use of services. maternal and paternal education is factor in vaccine inequity</t>
  </si>
  <si>
    <t>Vaccine coverage has improved over time</t>
  </si>
  <si>
    <t xml:space="preserve">Used a large sample size when assessing inequity and used data from four different DHS to assses this overtime </t>
  </si>
  <si>
    <t>One majour limitation is the study does not accurately report particpants size. It gives an estimate and as a result qualitative data cannot be accurately extracted. Data on child vaccinations are collected as part of the women’s questionnaire, they are only available for children whose biological mother is alive and in the household. This does not take into account children whose mothers died giving birth or shortly after. In the analysis, there is a significantly worse outcomes for children whose biological mother is not alive or not in the household, suggesting that immunization rates are overestimated. These biases would be worse for subgroups with higher rates of maternal mortality or (in the case of immunizations) fostering; if the biases are large, they may skew the inequality analysis.</t>
  </si>
  <si>
    <t>Countries with high proportion of fully immunised children such as Burundi benefit consistently from central government’s commitment and funding from external bodies such as the GAVI Alliance and the Measles and Rubella Initiative</t>
  </si>
  <si>
    <t xml:space="preserve">52.8% of children in urban settings were fully immunised while nearly 6 out of 10 children were not fully immunised in rural locations (59.3%). Nearly half of the children of women who reported that distance to health facility was not a problem or a big problem were fully immunised (49.1%). </t>
  </si>
  <si>
    <t xml:space="preserve">No significance between the two genders.  Full immunisation was prevalent among children of first birth order (49.2%) and lowest among those having sixth or higher birth order (37.1%). A significant proportion of children born to women aged 20–24 were fully immunised (45.8%) </t>
  </si>
  <si>
    <t>59.8% of children born to women with higher education were fully vaccinated . As regard wealth quintile, 59.3% of children that belonged to the richest household were fully immunised while 46.7% of children whose mothers were working were fully immunised.</t>
  </si>
  <si>
    <t>The study revealed variation in full immunisation in favour of urban children. Most children of higher birth order were in rural locations. No child was fully immunised in Zimbabwe and this may be aligned with the immunisation funding gap in the country. The over-reliance on donor partners needs to be reconsidered in order to ensure that most children, if not all, are fully immunised. Further, a number of contexual factors may also account for this finding from Zimbabwe. For instance, the freezing of posts within the health sector of Zimbabwe has adversely affected management of Expanded Programme on Immunisation (EPI).19 Primary Care Nurses who operate the health centres in rural locations are inadequate, possess limited skills and knowledge in EPI, and receive little payments which do not motivate them enough. Besides, geographical access to health centres is a challenge to some women as some of them walk 30km to the nearest health facility. Intermittent shortage of essential medicines has also been reported as well as hesitancy and refusal by women. In Namibia, for instance, where most children were fully immunised (79.9%), evidence indicates that even mothers in rural locations are knowleageable about the implications of missed immunisation on their children and are willing to access vaccines for their children amidst transportation cost and other barriers.  The study revealed that factors contributing to this gap were maternal factors such as age, wealth quintile, occupation, distance to health facility and health insurance subscription. Birth order, however, was a child factor that made significant contribution towards the variation in full immunisation. The observed variation is not unexpected in light of the high concentration of health facilites and health personnel in urban locations across SSA. For instance, in the case of Sierra Leone, over 70% of surgeons are concetrated in the capital</t>
  </si>
  <si>
    <t>The study looked at residential status, that is, rural or urban area and vaccine coverage.Based on research they selected and controlled for nine covariates grouped into child factors: sex of child, and birth order as well as maternal factors: maternal age, education, wealth quintile, occupation, sex of household head, health insurance subscription status and distance to health facility. The study also uses DHS data from 23 countries in SSA</t>
  </si>
  <si>
    <t>the survey is crosssectional in nature and as such causal inference cannot be made. Also, the sample size is generally not large for some of the countries and may allow for a wider CI for the prevalence of full immunisation.</t>
  </si>
  <si>
    <t>A higher proportion of urban non-migrant children had received BCG (58.6%) and OPV 1 (62.3%). Most of the rural non-migrant children had received BCG (73.1%), DPT 1 (62.8%), DPT 2 (54.1%), OPV 1 (77.7%), OPV 2 (68.0%) and Measles (53.6%) vaccines. With the exception of OPV 1, most of the rural-urban migrant children had not received the rest of the vaccines in the programme. Most children had not been fully immunized, as only 8.5% of the rural-urban migrant children had been fully immunized. Rural non-migrant (24.3%) children had the highest levels of full immunization amongst children from the three migrant groups. Urban non-migrant (15.2%) had slightly higher levels of full immunization than children of rural-urban migrants.</t>
  </si>
  <si>
    <t>Children of urban non-migrant mothers had 67% higher likelihood (OR = 1.67, 95% CI = 1.20 - 2.32) of full immunization compared to children of rural-urban migrant mothers. This indicates that mothers’ migration significantly influenced the likelihood of their child receiving full immunization.the likelihood of full immunization was significantly lower for children of 5+ birth order after medium birth interval 24 - 47 months (OR = 0.64, 95% CI 0.41 - 0.97) and for children whose mothers who gave birth to their first child at 18 years or less (OR = 0.74, 95% CI 0.56 - 0.99). In contrast, the likelihood of full immunization was significantly higher for children of mothers 34 years or older (OR = 1.54, 95% CI 1.03 - 2.30).</t>
  </si>
  <si>
    <t>children of mothers without employment (OR = 0.57, 95% CI = 0.34 - 0.94), clerical, sales, services, skilled manual employees (OR = 0.57, 95% CI = 0.35 - 0.93) had higher likelihood of full immunization compared to children of professional, technical, management workers, respectively. Children of mothers in the poorest (OR = 0.45, 95% CI = 0.27 - 0.77), poorer (OR = 0.43, 95% CI = 0.26 - 0.70), middle (OR = 0.62, 95% CI = 0.41 - 0.95), and richer (OR = 0.54, 95% CI = 0.37 - 0.78) wealth quintiles had lower likelihood of full immunization compared to children of mothers in the richest wealth quintile.</t>
  </si>
  <si>
    <t>Children from rural areas are more likely to be vaccinated that rural-urban migrants</t>
  </si>
  <si>
    <t>First study to assess the relationship between vaccination and migration in Nigeria</t>
  </si>
  <si>
    <t>-Other factors not addressed in the present study are also likely to be important determinants of full immunization among migrant and non-migrant groups. Second, DHS surveys do not collect data on household income or expenditure, which are the indicators commonly used tomeasure wealth. The assets-based wealth index used here is only a proxy indicator for household economic status, which may not always produce results similar tothose obtained from direct measurements of income and expenditure. Third, the administrativelydefined boundaries used as a proxy for neighbourhoods in this study may non-differentially misclassify individuals into an inappropriate administrative boundary, which can generate information biases and reduce thevalidity of analyses. Fourth, other community correlateslikely to affect the likelihood of full immunization werenot included in the analysis. Some of these include variables not measured or not measurable, such as distanceto immunization centres, and quality of immunizationservices. Fifth, DHS data did not contain direct information about the social networks of the migrant groups.Hence, the extent of the mothers’ social networks in thecommunity they reside in could not be assessed</t>
  </si>
  <si>
    <t>Jaspreet</t>
  </si>
  <si>
    <t>public health primary care system promotes equity in antenatal care/tetanus immunization</t>
  </si>
  <si>
    <t>3.4 - 5.4% not immunized varied by region (not large differences)</t>
  </si>
  <si>
    <t>No significant difference between age group at pregnancy or education level</t>
  </si>
  <si>
    <t>not observed due to high coverage levels</t>
  </si>
  <si>
    <t>study shows public health primary care system promotes equity in antenatal care</t>
  </si>
  <si>
    <t>Due to high levels of coverage, socioeconomic inequalities were not observed</t>
  </si>
  <si>
    <t>Children of the most educated mothers were 1.45 times more likely to have received DTP3 than children of the least educated mothers. Pooled estimates across all 45 countries revealed virtually no inequality by child sex. Nonetheless, six countries (Lesotho, India, Burkina Faso, Gambia, Côte d’Ivoire, Pakistan) had statistically significant differences in DTP3 coverage between boys and girls. maximum difference was in Lesotho with DTP3 coverage 10-percentage points higher among boys compared to girls. Found lower vaccination coverage among malnourished children in a small number of countries.</t>
  </si>
  <si>
    <t xml:space="preserve">inequalities found in relation to the wealth index - DTP3 coverage is on average 20 percentage points higher at the top vs. the bottom of the wealth distribution. maternal education, multidimensional poverty index (measures if household is poor) and the wealth index poverty revealed the largest inequalities. </t>
  </si>
  <si>
    <t>maternal education, paternal education, multidimensional poverty index (measures if household is poor) and the wealth index revealed the largest inequalities. In most countries, they found no inequalities in vaccination coverage by child sex.</t>
  </si>
  <si>
    <t>multi-country analysis looking at multiple equity factors.  first application of the multidimensional poverty index to assess health inequalities.</t>
  </si>
  <si>
    <t>difficult to extract raw numbers, paper shows sample sizes and a relative index of inequality. the DHS wealth index has an important limitation when making cross-country comparisons as it only assesses relative socioeconomic position in any given country.</t>
  </si>
  <si>
    <t xml:space="preserve">found considerable heterogeneity in vaccination coverage and in inequalities across countries. DTP3 coverage ranged from 37.4% in Ethiopia to 97.1% in Rwanda with an average of 77.1% across all 45 countries. Average MCV coverage was similar. Higher national DTP3 coverage was associated with lower inequalities in coverage and explained the most variation across countries. Greater political stability, government expenditures and external resources for health also predicted lower inequalities in DTP3 coverage. </t>
  </si>
  <si>
    <t>Large land areas and higher out-of-pocket spending, linguistic fractionalization and gender inequality were associated with an increase in inequalities.</t>
  </si>
  <si>
    <t xml:space="preserve">Average wealth-related inequality was 0.20 (95% CI 0.11, 0.30) indicating that vaccination coverage is on average 20 percentage points higher among the wealthiest compared to the poorest children. found important wealth, education and multidimensional poverty index-related inequalities in vaccination coverage. </t>
  </si>
  <si>
    <t>Political stability, gender equality and smaller land areas were the most important predictors of higher and more equitable levels of vaccination coverage. Lower out-of-pocket spending, higher external resources for health and higher national coverage were also associated with lower inequalities in coverage.</t>
  </si>
  <si>
    <t>first study to investigate the country-level predictors of within-country inequalities in vaccination coverage.</t>
  </si>
  <si>
    <t>difficult to extract raw numbers, paper shows sample sizes and a slope index of inequality. study limited to Gavi-supported countries.</t>
  </si>
  <si>
    <t xml:space="preserve">The children of the communities with high percentage of hospital deliveries were more likely to be vaccinated. </t>
  </si>
  <si>
    <t>Ethnicity showed a significant relationship with child immunization status. The children belonging to the Urdu ethnicity were 31.4 likely to be completely immunized than children of other ethnic groups where Sindhi children were 21.6% likely to be fully vaccinated and Punjabi children were only 5.8% fully vaccinated</t>
  </si>
  <si>
    <t>Percentage of immunization in children who belong to the lowest wealth quintile was 10.3%, which is lowest among children of other wealth quintiles who received full immunization. Majority of fully immunized children (about 50%) belong to noneducated mothers although Parent’s education (especially mother’s education) has positive association with the vaccination uptake, which shows that parental education has strong positive effect on child health. 57% of the mothers have access to media whose child cover all prescribed doses of vaccines. Only 18% of the fully immunized children belong to working mother, which is very low as compared with children of nonworking mothers.</t>
  </si>
  <si>
    <t>Maternal education and socioeconomic factors were the main indicators of vaccination</t>
  </si>
  <si>
    <t>used PSU data which is nationally representative</t>
  </si>
  <si>
    <t xml:space="preserve">First, the study used PSUs as a proxy for the community, which may generate information bias. Second, some important factors which may influence the immunization uptake (eg, distance to the health facility) are not included. Third, the use of indirect measure of household’s wealth status may be criticized. </t>
  </si>
  <si>
    <t>factors such as mother’s literacy, region and location of the child, and socio-economic status explain the disparities in immunization coverage in Nigeria.</t>
  </si>
  <si>
    <t>Children from urban areas and richer geo-political zones are more likely to be fully immunized.</t>
  </si>
  <si>
    <t>mother’s literacy and SES increase the concentration of fully immunized children</t>
  </si>
  <si>
    <t>Children from richer households are more likely to be fully immunized.</t>
  </si>
  <si>
    <t>show factors that explain the disparities in immunization coverage for fully immunized, partially immunized, never immunized children</t>
  </si>
  <si>
    <t>relies on self-reported data- some mothers/caregivers may not be able to differentiate between different vaccine types. only percentages shown in paper, cannot extract raw numbers.</t>
  </si>
  <si>
    <t>Pulse PolioImmunization (PPI) campaign increased the three doses of OPV (45%) and three doses of DPT(29%) in 1999</t>
  </si>
  <si>
    <t>Muslim children were significantlyless likely to be immunized. The disparities based on religion declined for first dose of polio, but remained unchanged for three doses of polio and for non-polio EPI vaccinesMuslim children were significantlyless likely to be immunized. 9. Forward caste (FC) children had a significantly higher likelihood of being immunized than the scheduled caste(SC) or scheduled tribe (ST) children, while the otherbackward  caste  (OBC)  children  fared  somewhere between forward caste and SC/ST in both 1993 and1999. Though the caste gap for polio immunization declined modestly for both the first dose and three dosesof OPV, it remained statistically significant at least at thebivariate level.</t>
  </si>
  <si>
    <t>Children from wealthier households were more likely to be immunized both before and after the implementation of the PPI campaign. The wealth-based inequitiesdeclined moderately for first dose of polio, and three doses of OPV, but remained unchanged for non-polio EPI vaccinations at the bivariate level</t>
  </si>
  <si>
    <t>Wealth, religion, gender and cast were indicators of vaccination</t>
  </si>
  <si>
    <t>had a sample of 6337 and 6557 which was representative</t>
  </si>
  <si>
    <t>neither NFHS I nor NFHS II were explicitly designed to evaluate the PPI campaign. Second,  several programmatic approaches were adopted during PPI campaign. However, the data do not allow us to discern the specific components of PPI campaign that might have led to the observed changes. Third, as with any full coverage program, in the absence of a comparison group, it is difficult to assess the counter factual scenario. Fortunately, in this study setting, the imple-mentation of the campaign did not coincide with any major health reforms or major changes in the routinehealth system that might have confounded the effects ofthe PPI campaig</t>
  </si>
  <si>
    <t xml:space="preserve"> the  impact  of  polio  NIDs  on  non-polio EPI  coverage  has  been  mixed.  Additional  efforts through  NIDs  were  not  adequate  in  some  countriesin  sub-Saharan  Africa  to  overcome  other  macro-level barriers—political, economic, health systems—resulting  in  limited  success  in  improving  the  EPI.</t>
  </si>
  <si>
    <t xml:space="preserve">Urban children were consistently more likely  to  be immunized  than  rural  children  in  the  pre EPI intervention survey,  though  the  odds ratio was not significant in some   countries.   </t>
  </si>
  <si>
    <t>The  children  of  literate  mothers  have  higher  likelihood  of getting immunized compared to children of illiterate mothers. Only  for  the  six  countries  where  significant gender differentials were observed in at least one ofthe  surveys.  There was an increased  likelihood  of  boys  being  immunized compared to girls in the  post-intervention survey  than in  the pre-intervention  survey,  and  vice-versa.</t>
  </si>
  <si>
    <t>There was a higher likelihood of the richest children getting immunized compared to the poorest children in the post-compared to in the pre-intervention survey, resulting in a widening of wealth-based differentials,and vice-versa.</t>
  </si>
  <si>
    <t>wealth, gender, urban/rural living and  motheres litracy were indicators of vaccination</t>
  </si>
  <si>
    <t>the study looked at national and characteristic data and their effect on vaccination</t>
  </si>
  <si>
    <t>The pre- and post-intervention DHS surveys were conducted at different points of time before and after the implementation of the polio eradication initiativein different countries. This resulted effectively in investigating different numbers of years of NID implementation. However, this provided us an opportunity to investigate the impact of number of years of NIDs   on the EPI.Second, several programmatic approaches were  adopted  during  the  polio  eradication  initiative. Unfortunately, the available data do not allow us to discern the specific components of the polio eradication initiative that might have led to the observed changes.Third,  in  most  of  the  countries,  polio  immunizationinitiatives are continuing, hence the study results do not reflect the situation at the end of the initiative.</t>
  </si>
  <si>
    <t xml:space="preserve">The absence of radio or TV was strongly associated with an increase in the likelihood of being unvaccinated </t>
  </si>
  <si>
    <t>predictors that were frequentlyand strongly associated with being unvaccinated were limited caregivers’ education, limited care givers’ partners’ education, poor TT vaccination status of caregiver,</t>
  </si>
  <si>
    <t>wealth index was signiﬁcantly associated with being unvaccinated in 58 surveys, 68% of those for which this variable was reported. The poorest household were less likely to be vaccinated</t>
  </si>
  <si>
    <t>Wealth, TT vaccination of care giver, care giver education indicated vaccination rate</t>
  </si>
  <si>
    <t>Large sample, highly representative</t>
  </si>
  <si>
    <t>First, for somechildren, the vaccination status was as certained by care-giver’s recall. A bias may be introduced overall if recall signiﬁcantly differs between the different predictor groups.Furthermore, the inclusion of children who received vaccines beyond the correct vaccine schedule will have probably reduced the proportion of unvaccinated children.Therefore, our ﬁndings should be seen as a best case scenario. Secondly, data for all potential predictors were not available in all surveys. For example, the predictor‘caregiver’s decision when child is ill’ appeared in only 30 surveys (MEASURE-DHS). Thirdly, DHS and MICS, in their different waves, were designed in slightly different ways. Although data were harmonised prior to the analyses, some inconsistencies may remain undetected. Forth,not all surveys were recent and ﬁndings may no longer be relevant in some rapidly changing countries. Finally, many potential predictors of a child receiving no vaccination arelikely to be missed by multiple indicator surveys.</t>
  </si>
  <si>
    <t>The number of antenatal visits, an oft-used used proxy for access to care, was significantly associated withfull vaccination; those without any visits had substantially lower full vaccination (71.6%) compared to those with four or more visits(88.5%) (95% CI 0.275–0.93). Women with more autonomy in healthcare decisions were more likely to have children who werefully vaccinated (86.1%) than those without autonomy (78.8%)</t>
  </si>
  <si>
    <t>Urban to rural devide was not found to be significant</t>
  </si>
  <si>
    <t>other’s level of education, place of birth, number of people in the household, and number o fchildren in the home aged less than 5 years were all found to be non-significant factors in determining whether or not a child had received full vaccination</t>
  </si>
  <si>
    <t>Those falling in the poorest wealth quintile were more likely not to be fully vaccinated (73.0%) than those in the richest wealth quintile (91.1%)</t>
  </si>
  <si>
    <t>wealth, antinatal visits and mothers autonomy over health decisions were a determinant of vaccination</t>
  </si>
  <si>
    <t>the robust database from the DHS is a strength and ensured a sample representative of the entire country. The data were obtained from previously validated questionnaires</t>
  </si>
  <si>
    <t>Some information is based on parental recall,and individuals of different demographic groups may remember information about their child’s vaccination status differently</t>
  </si>
  <si>
    <t>Some of the children (n = 17, 6.03%) were either born or have lived in rural/riverine areas of the Amazon before.Living in such areas was significantly associated with incomplete vaccination, while living in urban areas was a protective factor. The average time of residency in the urban area of Assis Brasil was 2.78 years (median = 2.79, range = 0.02 to 4.99), and each year of residence in the urban area provided an additional chance of 29% of completing the vaccine calendar for the first year of life (aOR = 0.71, p = 0.010)</t>
  </si>
  <si>
    <t>About 53.73% of the mothers/caregivers had less than 8 years of education. The odds of not completing the vaccine scheme increased significantly in those mothers with less than 8 years of schooling, when compared with those with more education (aOR = 2.60, p = 0.010), even when adjusting for possession of the household.</t>
  </si>
  <si>
    <t>Not owning a house, a very unfavorable socioeconomic condition, was a strong predictor of incomplete vaccination in adjusted analysis (aOR = 2.12, p = 0.033).</t>
  </si>
  <si>
    <t>The main factors associated with not completing the vaccination basic schedule for the first 12 months of life were maternal education, possession of the household, and time of residence outside the urban area</t>
  </si>
  <si>
    <t>This study collected information directly from the vaccine card, therefore eliminating recall bias that exists using only parent’s report</t>
  </si>
  <si>
    <t>The first one is that incomplete vaccination may have been underestimated, because children not having an official card (which probably reflects less parental concern about health), were excluded from the analysis. The second limitation is that most of the excluded children were of indigenous origin and therefore the power of the study in detecting association between ethnicity and lack of immunization was reduced. The third limitation is that the study was not directed to
evaluate factors associated with delayed vaccination, which could have detect other associations with vaccine compliance reported in the literature</t>
  </si>
  <si>
    <t xml:space="preserve">Urban children in Bangladesh are more likely to complete the immunization schedule successfully than rural children. The coverage of urban children aged 12- 23 months is 70% compared to 59% in the rural area. However, the situation in urban slums is worse. The 2001 coverage evaluation surveys show that the coverage in Dhaka slums is 80% of overall city coverage. Proximity to health facilities is also closely related to immunization coverage. Those living within far proximity from a clinic are less likely to be immunised </t>
  </si>
  <si>
    <t>Children whose mothers had attended secondary school or higher had nearly 40% higher coverage rates than those whose mothers had not attended. The coverage rate for various ethnic minorities within CHT is examined, significant ethnic differences emerge. Rate for the Bangalees who settled there from the plains was the highest but still short of the national average. The range in coverage for the ethnic minorities varied from a low of 9% for the Mrus to 18% for the Tripura</t>
  </si>
  <si>
    <t xml:space="preserve">The occupation of the major breadwinners of the households (in most cases fathers) also played a significant role in the immunization of their children. Children whose fathers had salaried jobs were two-and- a-half times more likely to be immunized than those whose fathers were day-labourers (considered a low-status occupation). A proxy indicator often used for household economic status is the 'self rated food security status'. Through this, households are aske to rate their perceived status as one of three (or four)pre-coded groups: Surplus, Balance, or Deficit. the children who belonged to 'surplus' households had a nearly 50% higher immunization coverage than those who belonged to chronically 'food deficit' households. </t>
  </si>
  <si>
    <t>Income, ethnicity, maternal eduction, urban/rural living and proximity from clinic are linked to vaccination in Bangladesh</t>
  </si>
  <si>
    <t>large sample size makes the data representative</t>
  </si>
  <si>
    <t xml:space="preserve">other factors that could have contributed to vaccine inequity were not considered </t>
  </si>
  <si>
    <t>those living near the capital had greater coverage than those living in the south, north, or west sides of the country, with those living in the southern regions showing coverage that was persistently below 50%.</t>
  </si>
  <si>
    <t>Mother’s education was associated with higher vaccination rates for all four vaccines. Similarly, higher father’s educational attainment was associated with an increase in vaccination among children. However, lacking knowledge about fathers’ educational attainment was associated with increased vaccination for DPT and polio, compared to having a father who lacked primary-level education. Sex stratification revealed no differences in estimated cover-age but did suggest that the influence of father’s education was marginally larger among male children: for example, father’s secondary education was associated with DPT vaccination among boys (B = 0.59, p = 0.003) but not girls (p = 0.409), though differences were not significant (p = 0.148).</t>
  </si>
  <si>
    <t>there was a significant associations between socio eccomic status and vaccination for all four diseases. Living in the wealthiest households was associated with a four-fold increase in the odds of vaccination. Population-averaged estimates contrast the expected probability of vaccination in households in the bottom and top 20th percentiles of wealth, with those whose mothers had no primary schooling as compared to those with at least primary schooling</t>
  </si>
  <si>
    <t>looked at how maternal education, geography and SES affected vaccination in Madagascar</t>
  </si>
  <si>
    <t>this is the first study to investigate the role of socioeconomic inequalities in childhood vaccination in Madagascar. MLLM accounts for district, cluster-level, and householdshared variability, and thus produces a less biased estimate of socio-economic inequalities. However, the reasons for shared variability are unobserved. News reports suggest that lack in infrastructure,such as roads, electricity, kerosene, or gasoline, lack in staff to provide vaccines, and limited supply of vaccinations all contributeto reduced immunization coverage in many parts of Madagascar</t>
  </si>
  <si>
    <t>Missing data is problematic in observational studies; multi-levelmodels account for missing data as long as observation is not associated with vaccination. If this assumption does not hold, analysesmay be conservative: unvaccinated children who are ill or die are both more likely to be from poorer households in poorer areas and families may have proactively sought vaccination for remaining children prior to data collection, as sensitivity analyses suggest.Data were collected in 2008–2009, immediately before the Malagasy government was overthrown and thus do not reflect effects due to the disruption in aid and deterioration in economic wellbeing. Inequalities may have shifted in the interim.</t>
  </si>
  <si>
    <t>Overall, in the GAVI supported areas, the HepB3/DTP3 ratio increased from 57% in 2002 to 94% in 2009; a 37% increase in seven years; with the most dramatic increase between 2002 and 2005.The TBD/DTP1 ratio increased from 64% in 2004 to 88% in 2009; a 25% increase in five years. From 2002 to 2009, following GAVI support to the hepatitisB vaccination programme, the national coverage of three dose ofhepatitis B vaccine increased dramatically, from 71% to 93% as persurvey data. Overall, the 2002 coverage gap that affected Western and Central provinces was closed in 2009, with West/east coverage ratio that increased from 0.53 to 0.98 and a Center/East coverageratio that increased from 0.74 to 1.0. Several factors may explainthis improvement. First, GAVI provided the hepatitis B vaccine and AD syringes to Western provinces and national poverty countiesin the Central region, lifting the cost barrier to infant vaccination.The evolution of the estimated ratios of three dose of hepatitis Bvaccine expressed in dose administered/DTP3 targeted indicated that in GAVI-supported areas, the project was effective at integrating hepatitis B vaccine in routine EPI. Second, government of China support of new policy was a major co-factor. In 2002, theHepB3/Targeted DPT3 ratio was 0.72 when the vaccine was free but with user-fees; by 2005, it had increased to 0.91 when services fees were abolished. Third, the government of China trained health care providers to increase their awareness. Fourth, social mobilizationand supervision in 2002–2009 improved awareness of parents, whosought vaccination more actively. Finally, the government of China allocated funds to each province to improve universal vaccination among infants</t>
  </si>
  <si>
    <t>among 22 GAVI project provinces, 16 provinces had reached the GAVI China target in all counties and five additional provinces had reached it in 85% of counties</t>
  </si>
  <si>
    <t>Reported coverage and estimated coverage showed less progress in terms of the 5th to 1st quintile coverage ratio from 2002 to 2009, from 0.95 to 1, and from 0.85 to 0.97, respectively (The baseline 2002 values were alreadyhigher). Although the ratio was higher between 2nd and 4th quin-tile than ratio between 5th and 1st in 2002, all ratios reached close to 1 in 2009.From 2002 to 2009, the surveyed TBD coverage increased from 60% to 91% overall. In the 1st quintile, it increased from 76% to 97% while in the 5th quintile, it increased from 27% to 85%. In China, between 1992 and 2009, the GDP per capita increased from 2311(USD 419) to 25,575 RMB (USD 3744) , (a 8.94 times increase, 4.6 times if corrected for the value of the currency). In the same time interval, surveyed TBD coverage increasedfrom 22% to 91% (4.1 times) while surveyed three dose of hepatitis B vaccine coverage increased from 30% to 96% (3.2 times).Thus, increasing coverage, follows the same trend as GDP. From2004 to 2009, the Western/eastern three dose of hepatitis B vaccine coverage ratios improved from 0.72 to 0.98 while the Rural to Urban coverage ratio improved from 0.91 to 1.0</t>
  </si>
  <si>
    <t>explains factors associated with heb b coverage in china</t>
  </si>
  <si>
    <t xml:space="preserve"> the reported coverage is based up on a list of registered children that may not represent the real target population. For example, migrant children and children born out of plan may not be registered on the target lists. This could underestimate the denominator. Second, local CDCs may over estimate their performance while reporting coverage data. This could over estimate the numerator. Third, grass root level may make mistakes when handling and reporting data through the reporting system. This could under or over-estimate the reported coverage.As a result, the reported coverage is consistently higher than surveyed coverage and tends to over-estimate performance. Morespecifically, this misrepresentation may hide inequalities</t>
  </si>
  <si>
    <t>The most frequent vaccines for children with only one vaccine were polio in low and lower-middle, and BCG in upper-middle-income countries. MCV was the least frequent vaccine in all groups of countries, showing that children who receive MCV tend to have also received the three remaining vaccines. Polio was the first vaccine to reach poor children, and BCG the first to reach those from wealthy families</t>
  </si>
  <si>
    <t>Zero-dose children were more frequently found in rural than in urban areas</t>
  </si>
  <si>
    <t>Boys and girls were equally likely to belong to the zero-dose category.</t>
  </si>
  <si>
    <t>Zero-dose prevalence ranged from 5.2% in upper-middle income countries to 11.1% in low-income countries, with a total pooled prevalence of 7.7% in all countries studied. Zero dose children were usually from poorer households. Children who receive BCG are quite likely to continue to receive DPT1, with a drop-out rate of 4%. However, drop out between DPT1 to MCV is 16% on average. There are large inequalities in drop-out rates, with drop-out being twice as high for children from poorest households, with a DPT1 to MCV drop-out rateof 18% compared to 9% in wealthier households.</t>
  </si>
  <si>
    <t>Country and household wealth, type of vaccine and geography effect vaccination coverage</t>
  </si>
  <si>
    <t>The strengths of the analyses include the use of data from 92 countries, and novel ways of examining the immunisation cascade and co-coverage</t>
  </si>
  <si>
    <t>First, the analyses covered the majority of low- and lower-middle income countries, but only half of upper-middle income countries,as in these settings, surveys such as DHS or MICS are seldom conducted. Second, although we used the most recent survey from each country, the period covered ranges from 2010 to present, with a median year of 2015, therefore our results may not represent the current situation on vaccination in a given country. The analysis also does not account for possible declines in immunisation ratesdue to COVID-19 related disruptions. Per early assessments, disruptions to routine immunisation have been widespread and could result in large declines in immunisation coverage as well as further exacerbate inequalities. Thirdly, although doses received during a campaign were computed, it was not possible to separate these from doses received during routine use of health services.Thus, it was not possible to investigate, for example, whether the polio doses reported for children with fewer vaccines were administered as part of campaigns. In agreement with standard international practice, information on immunisation was based on mother’s recall when a vaccination card was not available, a potential source of recall bias. Also, in agreement with recommendations,  we  treated  children  with  missing  information  on vaccination as not immunized</t>
  </si>
  <si>
    <t xml:space="preserve"> between 1991 and 2011, the possession of the child’s vaccination card which shows the immunization schedule and the date of the next appointment increases by more than 7 times the chances of the child to be fully immunized. Antenatal visits during pregnancy increase the likelihood of children to be immunized during their first years of life</t>
  </si>
  <si>
    <t xml:space="preserve">fully immunized children were more numerous in urban areas in 1991 with a proportion of 62.24%. On the other hand, this trend was reversed from 1998 with 40.28% located in urban areas, 36.66% in 2004 and 41.56% in 2011. </t>
  </si>
  <si>
    <t xml:space="preserve">A downward trend is observed in the proportion of fully immunized children in relation to the birth order of the latter. In our sample, children born in low birth weight are the least represented. Therefore, they are also the least fully immunized with aproportion close enough between the periods. On the other hand, those born in high weight are fully immunized by more than 60% with a peak of 67.26% in 1991. . Regarding the child’s gender, the trend varies from one period to another. In 1991 and 1998, the proportion of fully immunized males was superior to that of females and the reverse is observed in 2004 and 2011. Children at the second position among siblings are the most represented among fully immunized children in 1991 and 2011. Meanwhile in 1998 and 2004, it is rather those occupying the first position. Mothers aged 25–29 years age group are the most represented among fully immunized children. This proportion is 29.66% in 1991, 29.17% in 1998, 29.34% in 2011 and lowest in 2004 (27.98%). In contrast, women in the 15–19 years age group are the least represented with a proportion varying between 3.89% in 1991 and 5.66% in 1998. With regard to the mother’s religion, mothers who fully immunize their children are Catholic or Protestant and this by 84.28% in 1991, 82.18% in 1998, 75.10% in 2004 and 78.84% in 2011. Meanwhile those with no religion are the least represented. In addition, all mothers in 1991 have a religion. For the level of education, mothers with a higher level of education are the least represented among fully immunized children. The proportion is 3.81% in 2011 and less than 1% in 1998. Meanwhile, those who fully immunize their children generally have a primary level of education followed by those with a secondary level education. In addition, it is observed that approximately 20% of mothers who fully immunize their children are not educated. </t>
  </si>
  <si>
    <t>immunisation cards, antinatal care, birth weight, mother age religion and geography all contributed to vaccine coverage in Cameroon</t>
  </si>
  <si>
    <t>Data from 4 seperate years showing vaccine progress overtime and data is more representative due to large sample</t>
  </si>
  <si>
    <t>did not consider all factors affecting vaccination equity e.g income</t>
  </si>
  <si>
    <t>Children born outside of Dehli had lower vaccination rates</t>
  </si>
  <si>
    <t>The odds of being completely vaccinated were lower for female children, children born to illiterate mothers (unlike illiterate fathers), children in Muslim households. Children born in hospitals had higher odds of being vaccinated completely. Further, parents who were in possession of a birth certificate for their child were also the ones who were more likely to have their child completely immunised.</t>
  </si>
  <si>
    <t>Odd of being vaccinated were lower with children in households belonging to lower SEP with the odds of immunisation to be 2.5 times higher among the less poor compared with the poorest.</t>
  </si>
  <si>
    <t>mother litrecy, hospital births, city and SEP affect odd of vaccination</t>
  </si>
  <si>
    <t>provides insights into the rates and determinants of immunisation uptake by urban poor communities. We also report estimates of hepatitis B vaccine coverage which have so far been only infrequently reported. Further, the study demonstrates considerable cluster-level variation in immunisation coverage attributable to certain measured and unmeasured cluster-level factors</t>
  </si>
  <si>
    <t>It did not capture appropriateness of timing of vaccinations and information on supply side issues that could have existed during the survey period. Further, around 36% of the information regarding immunisation was obtained from mother’s recall, the correctness of which cannot be verified</t>
  </si>
  <si>
    <t>huda</t>
  </si>
  <si>
    <t>Much of the disparity in vaccine utilization between the indigenous and upper caste groups can be explained by geographic differences, factors such as urban versus rural location of household, region type (hilly or mountainous), and the distance to the nearest health facility</t>
  </si>
  <si>
    <t>the average rate of utilization of vaccine is 70.5 % in upper caste, almost 7 % higher than both the indigenous and Dalit groups. Those differences are statistically significant at less than 1 % significant level. Parental education significantly contributes to the disparity between indigenous and upper caste groups; however, the magnitude of contribution is very small. In case of the disparity between Dalit and upper caste, the contribution of parental education is insignificant and the magnitude of contribution is nominal.</t>
  </si>
  <si>
    <t>Much of the disparity in vaccine utilization between the indigenous and upper caste groups can be explained by socio-economic characteristics such as household income, parental education, and access to media. When we compare the decomposition results of the Dalit and upper caste groups, there is little difference from the differences between the indigenous and upper caste groups.</t>
  </si>
  <si>
    <t xml:space="preserve">Cast plays a huge role in vaccine ustiliastion </t>
  </si>
  <si>
    <t>Used data from two time periods showing change over time</t>
  </si>
  <si>
    <t xml:space="preserve">Data collected was not originally inteneded for this study </t>
  </si>
  <si>
    <t>The observed immunization inequality among the urban poor was statistically significant (95% CI −0.083:-0.077). Coverage rates among urban poor children largely living in informal settlements are lower than the overall urban average</t>
  </si>
  <si>
    <t>The proportion of not fully immunised children was high among young mothers (32% vs 28%). Mother’s level of education was a major contributor to overall inequality by 78%. The other important contributors were birth order (18%) and involvement in any income generating activities  (22%). The result also indicates that the degree of health inequality in terms of child immunization is less determined by marital status or ethnic groups.</t>
  </si>
  <si>
    <t>poorest households had low values for all the vaccines. The overall coverage among the poorest household (63%) was lower compared to the poor (69%) and the least poor (74%) households.</t>
  </si>
  <si>
    <t>SES, maternal education, mothers age, birth order and marital status all contribute to vaccine equity</t>
  </si>
  <si>
    <t>data consideres many factors that are linked to vaccine inequity</t>
  </si>
  <si>
    <t xml:space="preserve">Small sample size and some data used depended on partents recall which could introduce bias into the data </t>
  </si>
  <si>
    <t>Huda/Anna-Maria</t>
  </si>
  <si>
    <t>Mothers who had four and above ANC visit during pregnancy were 2.01 (AOR = 2.01; 95% CI: 1.17, 2.30) times higher odds of fully immunizing their children than mother who did not have ANC visit during pregnancy. . A mother who had a PNC visit was 1.55 (AOR = 1.55; 95% CI: 1.46, 1.65) times more likely to have fully immunizing their child compared to a mother who did not have a PNC visit. Children born at a health facility were 1.51 (AOR = 1.51; 95% CI: 1.41, 1.63) times higher odds of being fully immunized than those children born at home. Children born to mothers who have media exposure were 1.11 (AOR = 1.11; 95% CI: 1.04, 1.18) times higher likelihood of fully immunizing their children than children born to mothers who did not have media exposure</t>
  </si>
  <si>
    <t>Children who live in the rural areas were 0.79 (AOR = 0.79; 95% CI: 0.70, 0.89) times lower likelihood of fully immunized compared to children living in the urban areas. The odds of being fully immunized were increased by 42% (AOR = 1.42; 95% CI: 1.28, 1.47) in children living in areas where the distance to a health facility is not a big problem compared to children living in areas where the distance to a health facility is a big problem.</t>
  </si>
  <si>
    <t>The odds of being fully immunized among children whose mother attained secondary school and above were 1.38 (AOR = 1.38; 95% CI: 1.25, 1.53) times higher than children whose mother had no education. Children whose mothers’ age 35–49 years were 0.64 (AOR = 0.64; 95% CI: 0.55, 0.74) times lower odds of being fully immunized than those children whose mothers age 15–19 years. Married mothers were 1.41(AOR = 1.41; 95% CI: 1.27, 1.56) times higher likelihood of fully immunizing their children than living alone mothers. Children born to father who attained secondary education and above were 1.28 (AOR = 1.28, 95% CI: 1.11, 1.48) times higher likelihood of fully immunized than children whose father did not have formal education. Employed mothers were 0.85 (AOR =0.85, 95% CI: 0.80, 0.91) times higher likelihood of fully immunizing their children than those employed women.</t>
  </si>
  <si>
    <t xml:space="preserve">Children from rich households were 1.26 (AOR = 1.26; 95% CI: 1.18, 1.40) times higher probability of fully immunized compared to children in the poor household. </t>
  </si>
  <si>
    <t>There was a significant difference between SSA countries in full childhood immunization. Maternal education, maternal occupation, maternal age, marital status, father education, sex of household head, media exposure, distance to health facilities, number of ANC visits, postnatal care, place of residence, place of delivery, number of living children, wealth index, and country were significantly associated with full childhood immunization.</t>
  </si>
  <si>
    <t xml:space="preserve"> two-level mixed-effects logistic regression model was used to identify the individual and community-level factors associated with full childhood immunization. Participant size was large therefore results would have been representative. Data was also collected from 9 SSA countries </t>
  </si>
  <si>
    <t xml:space="preserve">Data was collected from between 2013 - 2017 and therefore some of the data from some countries would have been less representative of the current vaccination coverage </t>
  </si>
  <si>
    <t>the countries with the largest sub-national absolute inequalities in MCV1 coverage were those with the lowest national MCV1 coverage overall – namely India, Indonesia, and Myanmar.c</t>
  </si>
  <si>
    <t>More than half of the districts that had achieved 95% coverage were located in Nepal and Thailand, with these also being the two countries with the narrowest geographical gaps in MCV1 coverage. In the other four countries, marked geographic inequalities remained. Rural urban inequalities in India and Bangladesh were significant factors that conributed to vaccine inequity but they were low</t>
  </si>
  <si>
    <t>In Bangladesh, mothers’ education levels were predominant sources of MCV1 coverage inequalities. In India, Myanmar, and Nepal, ANC-related inequalities were found to be conspicuous. Gender-related inequality in India played a significant role in vaccine inequity</t>
  </si>
  <si>
    <t xml:space="preserve">There were significant socioeconomic and nutrition-related inequalities in MCV1 coverage between the most and least vulnerable children, both absolute and relative, in all countries except Thailand. On the relative scale, MCV1 coverage inequalities were uneven across all countries and dimensions. In Bangladesh, the wealth quintiles were predominant sources of MCV1 coverage inequity. </t>
  </si>
  <si>
    <t>Wealth, education, and ANC-related inequalities were more pronounced than those based on gender and urban/rural residence</t>
  </si>
  <si>
    <t>First, the DHS and MICS are typically conducted every 5 y and are thus not able to provide real-time data, making the initiation of timely actions difficult. Second, respondent recall biases in an unknown direction may be significant, particularly because we considered both the children’s vaccination cards and their mothers’ recall as reliable sources of vaccination information. Third, both DHS and MICS collected information on vaccination coverage for children who were alive at the time of the survey, and the response rate ranged from 95.8% in Myanmar to 98.4% in Thailand. Therefore, the unavailability of information on children who died before the survey and nonrespondents may also be a source of bias. Fourth, the Thailand MICS 2015–2016 only produced estimates at the national level and only for five regions (Bangkok, Central, North, Northeast, and South) of the country, but cannot provide high-resolution details on local performances</t>
  </si>
  <si>
    <t xml:space="preserve">Mother's education, number of ANC visits, immunisation plan, household wealth found to be some of the most significant factors associated with vaccination coverage and complete vaccination </t>
  </si>
  <si>
    <t xml:space="preserve">odds of complete vax 1.17 (0.75-1.84) vs 1.00 urban vs rural, but strong predictor in regression model </t>
  </si>
  <si>
    <t xml:space="preserve">Odds of 0.56 and 0.79 for no formal education vs primary education, respectively (1 for secondary and higher) </t>
  </si>
  <si>
    <t xml:space="preserve">0.60 odds of complete vax in poorest quintile compared to 1 in richest </t>
  </si>
  <si>
    <t xml:space="preserve">mother's education, antenatal visits, household wealth all predictors of immunisation </t>
  </si>
  <si>
    <t>rigourous analysis with clearly presented results and tables</t>
  </si>
  <si>
    <t>Firstly, the cross-sectional nature of the study design limits our ability to draw causal inferences between individual–and community–level factors and childhood immunization status. Secondly, the use of secondary data limited us to include other variables that could explain childhood immunization such as availability of immunization services, location of health services, mother’s attitudes and beliefs towards immunizations. Lastly, information obtained from mothers on vaccination coverage is based on self-report, which may result in recall bias.</t>
  </si>
  <si>
    <t>Study showed educational, urban/rural, and economic inequalities in immunisation coverage</t>
  </si>
  <si>
    <t>Figure 3 illustrates a significant difference in measles immunization coverage between rural and urban residents in Ethiopia across all four time periods. Coverage for rural residents increased by, on average, more than 29 percentage points from 2000 to 2016. However, the increase in coverage only occurred from 2000 to 2011 for urban residents by a 16.5 percentage points and leveled off between 2011 and 2016.</t>
  </si>
  <si>
    <t>Coverage of measles immunization varied based on educational status with higher coverage among the more educated as compared to the non-educated participants. This is seen in 2016’s 30 percentage point difference on average in measles immunization coverage between participantswith secondary or higher education and those with no education. The coverage across all educational categories increased from 2000 to 2011. Then, from 2011 to 2016, it leveled off for non-educated and primary educated groups but decreased slightly for individuals with secondary and higher education. There was a general increasing trend for measles immunization coverage for the education categories across time (2000–2016 (Fig. 2 and Table 1). Findings show there was no sex-based difference in childhood measles immunization in Ethiopia across all years.</t>
  </si>
  <si>
    <t>The poorest quintiles for all 4 years had 18.2% (2000), 24.8% (2005), 45.3% (2011) and 43.2% (2016) immunization coverage while the richest had 52.1% (2000), 52.5% (2005), 79.7% (2011), and 74.2% (2016) across the years (Fig. 1). This demonstrates a significant coverage difference between the two groups. Interestingly, coverage of measles immunization increased over the years from 2000 to 2016 for the poorest by 25 percentage points and richest by 22.1 percentage points on average (Fig. 1 and Table 1).</t>
  </si>
  <si>
    <t xml:space="preserve">The pro-urban finding around this vaccine is not surprising as utilization of health services in rural regions is inadequate because of availability, accessibility, quality of services and the characteristics of the users and the communities in which they live. Geographical access is a key factor in utilization of healthcare services as predominantly seen in rural areas with limited delivery of healthcare services </t>
  </si>
  <si>
    <t>This study made use of nationally-representative surveys to explore the nature and degree of inequality in Ethiopia from different perspectives. In the current literature, studies on this topic are rare and do not show significance. From this perspective, we believe the present findings make an important contribution to the knowledge base and provide a solid basis for further research</t>
  </si>
  <si>
    <t xml:space="preserve">First, the DHS data is crosssectional and therefore no causality can be inferred from the associations. The authors have no influence over the selection and measurement of the variables when using secondary database analysis Second, we were not able to examine the effect of determinant factors on the observed measles inequality. </t>
  </si>
  <si>
    <t>here are differences in immunization coverage rates between different socioeconomic groups in the area with the least poor benefiting more than the poorest, thus creating equity problems. Health managers need community-based information about the vaccination status of their population to define their priorities, determine the disadvantaged and vulnerable groups, and plan and implement interventions that aim to improve immunization coverage in these areas</t>
  </si>
  <si>
    <t>N/A</t>
  </si>
  <si>
    <t xml:space="preserve">This finding illustrates that immunization rate decreases with increasing age. This is in line with other studies.[37] It was determined that every year of the child’s life decreased the full immunization coverage. </t>
  </si>
  <si>
    <t>As shown in Table 2, the very poor, poor, and least poor socioeconomic levels significantly had a higher rate of full immunization than the poorest socioeconomic level for children aged under 5 years (odds ratio [OR] 1.934, 95% confidence interval CI 1.513–2.820).</t>
  </si>
  <si>
    <t>considers role of SES in SE Nigeria</t>
  </si>
  <si>
    <t>Severely lacking in the presentation of the results and the analysis of the data collected, the discussion leaves much to be desired. Likely a little bias in how vaccination status was collected</t>
  </si>
  <si>
    <t>Katy</t>
  </si>
  <si>
    <t>mostly focused on a general look at equity</t>
  </si>
  <si>
    <t>They looked at multiple countries but only at national level</t>
  </si>
  <si>
    <t>This was not included</t>
  </si>
  <si>
    <t xml:space="preserve">Specifically focused on the role of weath in inequity only four out of the eight countries have demonstrated narrowing of gaps in DPT3 coverage between the last two DHS surveys; Despite gains in recent years in access to care and in health outcomes, including benefits for the poor, the gap between the highest and the lowest wealth quintiles remains wide in most cases for health care access and outcomes. 
</t>
  </si>
  <si>
    <t>looked at this only in terms of availability of a skilled HCW at birth</t>
  </si>
  <si>
    <t>looked at a wide range of DHS data from 8 countries on some key topics, vaccination coverage, maternal health</t>
  </si>
  <si>
    <t>Because they looked at a broad range it was all fairly light touch</t>
  </si>
  <si>
    <t>coverage was lower in poorer households though this was partially mitigated by SIAs</t>
  </si>
  <si>
    <t>not the focus</t>
  </si>
  <si>
    <t>SIA participation was significantly associated with household poverty in 6 of 25 data sets. All those data sets were collected in non-endemic countries. They indicated that SIA participation was lower among children residing in the poorest households than among children residing in wealthier households. In other data sets (including those collected from endemic countries), SIA participation was not associated with household poverty. the coverage of 3 doses of OPV is generally lower among children residing in the poorest households, irrespective of participation in SIAs. However, poverty-related differentials in 3-dose OPV coverage are often narrower among SIA participants than among nonparticipants.</t>
  </si>
  <si>
    <t>lit review and metaanalysis of DHS data for Polio with specific reference to SIAs, methodologically appropriate and interesting question</t>
  </si>
  <si>
    <t>data available for only a subset of countries</t>
  </si>
  <si>
    <t>Improving a mother’s education level has been promoted worldwide as a mechanism for enhancing the outcome of child health, especially in developing countries</t>
  </si>
  <si>
    <t>Our results showed the presence of significant rural–urban disparity in the probability of the FPI in both survey rounds.</t>
  </si>
  <si>
    <t>In the univariate analysis, the risk factors of the coverage of FPI included the birth order of child, the ethnic group of child, the maternal education level, the maternal employment status, the household residence, the immigration status, and the socioeconomic status for both surveys. Furthermore, the mother’s age was found as a significant determinant of the coverage of FPI in the 2017 survey only. After the decomposition analysis of the risk factors of inequity in the coverage of FPI, a mother’s education level stood out with the largest contribution of 38% or 39% for the 2014 survey and the</t>
  </si>
  <si>
    <t>this is particularly mentioned as a limitation for rural communities but also, interestingly, to explain why working mothers are negatively associated with vacciantion coverage of children as they may be limited by work/ prioritise work</t>
  </si>
  <si>
    <t xml:space="preserve">this is a really thorough dive into specific data for China </t>
  </si>
  <si>
    <t>this may be quite location specific although they do comment on similarites with other studies</t>
  </si>
  <si>
    <t>Factors related to child vaccination registered a steady improvement. Although the poorest quintile had lower coverage than the richest, change occurred relatively faster in the poorest quintile, and the gaps gradually narrowed as a result. The sole exception was measles vaccination, since both the rich and poor seem to avoid immunizing their children against measles, perhaps because in Bangladesh the incidence of measles has declined over the last three decades. The complacency that has set in surrounding measles vaccination needs to be addressed by the health-care system.</t>
  </si>
  <si>
    <t>this paper is an extremely thorough look at inequity indicators and how they have changed in Bangladesh. Whilst it covers more than just immunisation it would be a worthwhile reread to get the wider context in Bangladesh to frame things appropriately</t>
  </si>
  <si>
    <t>not many- data limitations and geographic focus arguably limited</t>
  </si>
  <si>
    <t>focused on one district in Pakistan and mainly looked at coverage achieved rather than measuring factors contributing to inequity</t>
  </si>
  <si>
    <t>Focused on inequity in a relatively high coverage district- still found contributing factors influenced coverage (things like mother's working and wealth)</t>
  </si>
  <si>
    <t xml:space="preserve">they found this to be a large contributing factor but did not break it down </t>
  </si>
  <si>
    <t>they highlighted this and measurement errors as even a district with supposedly high coverage experiences pockets of low access</t>
  </si>
  <si>
    <t>two data sources linked makes this a thorough look at a district in Pakistan</t>
  </si>
  <si>
    <t>focus is not really on measuring the factors that contributed to hetereogeneity in coverage but rather showing the hetereogeneity itself</t>
  </si>
  <si>
    <t>Results show that PKH impact tends to be larger among children aged &lt;12 months living with less educated mothers compared to those living with more educated ones. For children living with less educated mothers, results show that PKH significantly increases vaccination rates for BCG, OPV3, DPT3, and MCV by 13.6, 13.6, 10.1, and 9.7 percentage points respectively, which translate into 44%, 52%, 39%, and 33% increases compared to the control means in 2009. PKH impact tend to be larger among children aged &lt;12 months in urban areas compared to those in rural areas. For children aged &lt;12 months in urban areas, PKH significantly increases vaccination rates for BCG, OPV3, DPT3, HBV3, and MCV by 9.5, 9.7, 9.2, 7.8, and 10.2 percentage points respectively, which translate into 26%, 29%, 30%, 34%, and 30% increases compared to the control group means in 2009. And since PKH specifically targeted poor households, our results provide policy options to increase child vaccination among poor children who might be difficult to reach by the routine health systems.</t>
  </si>
  <si>
    <t>interesting from the discussion section perspecitive ie. what can be done to address inequity</t>
  </si>
  <si>
    <t>only focused on "poor" households so difficult to compare relative changes</t>
  </si>
  <si>
    <t>Uthman</t>
  </si>
  <si>
    <t xml:space="preserve"> Non-vaccinated children tended to have a mother who had no formal education and who was currently not working, live in poorer households and were from neighborhoods with higher maternal illiteracy rates</t>
  </si>
  <si>
    <t xml:space="preserve">Primarily in NE Nigerian districts </t>
  </si>
  <si>
    <t>Children of mothers with no formal education were 178% more likely to be non-vaccinated compared with children of mothers with secondary or higher education (OR D 2.78, 95% CrI 2.07 to 3.70)</t>
  </si>
  <si>
    <t>Children from the poorer households were 88% more likely to be non-vaccinated compared with children from the richer households (OR D 1.88, 95% CrI 1.29 to 2.74)</t>
  </si>
  <si>
    <t>wide variation in the burden of polio non-vaccinated childhren in Nigeria, with almost half of the states showing evidence of special-cause variation which merits further investigation to identify possible causes</t>
  </si>
  <si>
    <t xml:space="preserve">interesting conclusion that findings underscore need for strategies in high-risk neighborhoods as a phenomenon shaping childhood vax status </t>
  </si>
  <si>
    <t xml:space="preserve">reporting bias on education, sleection bias on neighborhood measurements, household wealth used proxy measure, did not assess oral polio vaccines during SIAs </t>
  </si>
  <si>
    <t>examines the role of sociodemographic inequity in DTP3 dropouts</t>
  </si>
  <si>
    <t>The percentage of children who lived in rural areas slightly increased from 2000 to 2005 (82% to 88%). Distribution by geographical region showed an increase in the proportion of children from the Plateau/Mountain and the Coastal region, and a decrease in the proportion from the Capital Phnom Penh; while the proportion from the other two regions remained the same between 2000 and 2005</t>
  </si>
  <si>
    <t>This means that in 2000, more children in the wealthiest households received at least one dose of DPT vaccine. In contrast, in 2005 the percent of children are equally distributed by household wealth quintiles. The overall percent of DPT3 dropouts significantly decreased from 2000 to 2005 (27% to 12%). The larger decrease was observed in the lowest household wealth quintile compared to highest quintile. The children of the poorest households was about 3 times as likely at risk of DPT3 dropout as those of the wealthiest households in 2000 (OR = 2.85; P = 0.000); and about 2 times as likely at risk in 2005.</t>
  </si>
  <si>
    <t>focus on 2 time points in Cambodia for specific vaccine- DPT means there is a strong measure of change</t>
  </si>
  <si>
    <t>may be affected by reporting biases and recall bias</t>
  </si>
  <si>
    <t xml:space="preserve">Geweniger </t>
  </si>
  <si>
    <t>Household wealth status, administrative regions, maternal education, and sex of household head were identified to be strongly associated with full vaccination coverage (1-dose BCG, 3-dose DTP3-HepB-Hib, 3-dose polio, 1-dose measles (MCV1), 3-dose pneumococcal (PCV3), and 2-dose rotavirus vaccines) after adjusting for background characteristics. Higher levels of full vaccination coverage were associated with children from richer households, urban regions of Addis Ababa and Dire Dawa, primary maternal education, and male-headed households in comparison to children from poorer households, rural regions of Afar and Somali, no maternal education, and female-headed households respectively.</t>
  </si>
  <si>
    <t>With respect to geographic characteristics, full vaccination coverage among children in urban and rural areas were 60.9% [48.2, 73.6] and 29.7% [25.7–33.6] respectively while it was highest in the capital Addis Ababa at 81.6% [73.7–89.5] and lowest in the Afar region at 12.4% [3.6–21.2] (see Fig. 2).</t>
  </si>
  <si>
    <t>With respect to religion, full vaccination coverage was relatively higher among Christian children at 40.8% [36.1–45.6] in comparison to Muslim children at 24.0% [18.1–30.0]. With respect to ethnicity, full vaccination coverage was relatively higher among Tigray children at 62.5% [53.8–71.2] and lowest among Somali children at 21.4% [11.8–31.0].  full vaccination coverage was lowest among children whose mothers were between 15–19 or 35–49 years old at the time of birth (29.5% [20.8–38.1] and 25.9% [18.6–33.2] respectively), had no education (26.1% [22.0–30.3]), were not married or not residing with a partner (26.8% [15.1–38.5] and 23.0% [14.1–32.0] respectively), or who were living in female-headed households (25.2% [18.5–31.9]). Children whose mothers had secondary or higher education had 5 times the odds of full vaccination coverage compared to children whose mothers had no education (crude OR 5.31 [2.77–10.17]). With respect to child characteristics, full vaccination coverage was relatively highest among the first three born children at 39.4% [34.2–44.5], and there were no sex-related (male/female) discrepancies in full vaccination coverage.</t>
  </si>
  <si>
    <t>With respect to household wealth status, full vaccination coverage was lowest among the poorest quintile (19.2% [13.0–25.5]) and highest in the richest quintile (58.3% [47.6–69.0]). Children in the richest quintile had 6 times the odds of full vaccination coverage compared with children in the poorest quintile (crude OR 5.87 [3.16–10.88]).</t>
  </si>
  <si>
    <t xml:space="preserve">Nearly half of the contributing factors for under-immunisation in low and middle-income countries are immunisation systems related, with geographical factors affecting access and distance to health facilities being most common [34]. As further evidence of geographical barriers to accessing immunisation services, we identified significant differences in the odds of full vaccination coverage among the different regions of Ethiopia. Low population density and weak health infrastructure have been identified as challenges for routine immunisation services in Afar, Somali, and Gambella [14]. Afar and Somali regions in particular are dominated by pastoralist nomadic communities. Considering weak health infrastructure, distance to health facilities and mobility patterns of the population, routine immunisation services are difficult to deliver. </t>
  </si>
  <si>
    <t xml:space="preserve">Extremely comprehensive results and discussion tying research back into the Ethiopian EPI </t>
  </si>
  <si>
    <t>The vaccination coverage data collected in the Ethiopia DHS 2016 were subject to several sources of bias. Mothers’ verbal reports for vaccination status of their children were subject to recall bias. As these data were collected as part of the women’s questionnaire, only the children whose biological mothers were alive at the time of survey were included, and thereby subject to selection bias.</t>
  </si>
  <si>
    <t>Across SSA, the effect of spatial access on immunisation uptake has been varied. Some studies found travel time to health facilities to be an important determinant of child immunisation [15, 18, 19, 30, 64] while others did not find a significant association [29, 65, 66]. These varied findings were attributed to intra-regional disparities between urban and rural regions depicting an ‘urban advantage’ due to high density of health centers that reduced the effect of travel time on child immunisation outcomes. However, urban advantage in access to healthcare services including childhood immunisation is significantly minimized or reversed after adjusting for wealth since poverty; a previously predominant phenomenon in rural areas, is increasing in urban settings especially in urban slums</t>
  </si>
  <si>
    <t xml:space="preserve">Mother's education (increasing) and parity (low) were found to have increased odds of full vaccination </t>
  </si>
  <si>
    <t xml:space="preserve">Increasing wealth associated with increased odds of full vaccination </t>
  </si>
  <si>
    <t>Children living in regions with a mean travel time &lt; 1-h had significantly higher immunisation coverage for both DPT3 (91%) and fully immunised status (78%) compared to those who lived &gt; 1 h from the immunising health facility with coverage of 82 and 60% respectively (p value&lt; 0.001)</t>
  </si>
  <si>
    <t xml:space="preserve">One of the only papers examining spatial inequities adjusted for other equity factors. Thourough analysis </t>
  </si>
  <si>
    <t xml:space="preserve">Respondent-based reported factors were used to identify determinants of child immunisation; therefore, models in this analysis do not account for providerrelated factors associated with immunisation uptake such as waiting times, quality of services, stock-outs and strikes. Finally, the inclusion of data obtained from the mother’s recall of immunisation information may have introduced recall bias. However, it has been shown that mother’s vaccination recall can be a good measure of child immunisation indicators, especially for the youngest child cohort (12–23 months) minimising the effect of recall bias. </t>
  </si>
  <si>
    <t>focused mostly on children of adolescent mothers in India</t>
  </si>
  <si>
    <t>The probability of children availing full immunisation appeared to be significantly higher with increasing economic level (ie, wealth quintile) of adolescent mothers. Mother’s and father’s education were non-linearly associated with the probability of availing full immunisation. Social groups did not appear to wield statistically significant influence on the likelihood of children availing full vaccination. The children of adolescent mothers residing in rural areas were about 24% more likely to avail full immunisation compared with their urban counterparts. Children of rural adolescent mothers with no education in the poorest wealth quintile were 40–43% less likely to avail full immunisation compared with children of urban adolescent mothers with high school and above education in the richest wealth quintile during 1990–2006</t>
  </si>
  <si>
    <t>focused on a specific group and looked at 3 time periods to assess change</t>
  </si>
  <si>
    <t>as the focus is on adolescent mother's the comparitors may be quite different</t>
  </si>
  <si>
    <t>Distance to vaccination sites is a commonly cited reason for under-vaccination [34]. However, the FVC was not significantly different between mothers who perceived it was a big problem, and those did not.</t>
  </si>
  <si>
    <t xml:space="preserve">Of the factors in regards to the child, birth order was found to be a risk factor contributing to the inequity in FVC, with children of higher birth order having the higher FVC. However, our findings differed from studies carried out, for example, in the Philippines and the U.S., where children were less likely to be fully vaccinated if the birth order was higher. Maternal factors were significant determinants to explain the inequity of the urban–rural difference in FVC. This study found that there was a significant association between the mother’s age and FVC,with children with an older mother having a higher FVC. </t>
  </si>
  <si>
    <t>This study indicated that there was FVC inequality between urban and rural areas, in that higher FVC was observed among children in rural areas, as shown in previous reports worldwide</t>
  </si>
  <si>
    <t>reasonable data and approach which support the interpretation</t>
  </si>
  <si>
    <t>focused on one province at one time point</t>
  </si>
  <si>
    <t>not much to extract here despite large sample size- inequity has decreased over time in India</t>
  </si>
  <si>
    <t>huge recruitment</t>
  </si>
  <si>
    <t>only presented change in coverage</t>
  </si>
  <si>
    <t>found that wealth inequities had complex relationship with immunisation- in some places it failed for everyone, in others it partially worked but worked better for the richer groups</t>
  </si>
  <si>
    <t xml:space="preserve">Full immunization ranges from a low 10% of rural children and 23% of urban children in Bihar, to 60% rural and 75% urban children in Tamil Nadu. The range is even higher for no immunization: while a majority of rural (62.6%) and 42% of urban Bihari children are completely not immunized, only 6% of rural and less than 2% of urban children in Tamil Nadu are missed entirely by the immunization system. In general, the states with the worst immunization levels (full and none, urban and rural) tend to be clustered in the north and north-east, with Bihar, Uttar Pradesh (UP), Rajasthan and Assam being the worst performers on most counts. On average, states with worse levels tend to have larger urban–rural differentials than states with better immunization levels, particularly in the case of no immunization. Even in states with high levels of immunization, however, urban children are more likely to be fully immunized and less likely to have no vaccines than are rural children in the same state </t>
  </si>
  <si>
    <t>Boys fare better than girls at almost every level of household wealth, with the gender differentials larger in no immunization than in full immunization. In most states girls are disadvantaged compared to boys for both full and no immunizations</t>
  </si>
  <si>
    <t>throrough use of data and detailed analysis by Indian state</t>
  </si>
  <si>
    <t xml:space="preserve">almost 30 years old now </t>
  </si>
  <si>
    <t>This shows that the inequality in child vaccination is more profound for DPT followed by Measles and BCG</t>
  </si>
  <si>
    <t>The urban poor children were far behind non-poor children for the selected vaccines. However, the differences were greater for DPT and Measles. For instance, 49% of urban poor children were vaccinated for DPT compared with 77% of the non-poor, while only 50% of urban poor children were vaccinated against Measles compared with 80% of non-poor children. These results were supported by the non-poor/poor ratio. For childhood vaccination, use of antenatal care by the mother and possession of a health card were important factors in decreasing the non-poor/poor gap. There are very few specific health-related programmes for the urban poor, unlike the National Rural Health Mission (NRHM) which caters specifically for maternal and child health services among the rural population.</t>
  </si>
  <si>
    <t>great look at how inequities vary between vaccines as well as the ruban poor</t>
  </si>
  <si>
    <t>unknown how far this will generalise</t>
  </si>
  <si>
    <t>place of residence of the elderly in Beijing has the strongest correlation with the uptake of free influenza vaccines, with individuals who live in rural areas more likely to receive this health service.</t>
  </si>
  <si>
    <t>Our results show that there is no correlation between gender and free influenza vaccination in Beijing, implying that the old women and men enjoy the same opportunities under the policy.</t>
  </si>
  <si>
    <t>free access to influenza vaccination for the elderly in Beijing has a negative correlation with economic status, showing a pro-poor distribution. The results show that education level of the elderly is positively correlated with vaccination uptake at an even stronger degree than economic status,</t>
  </si>
  <si>
    <t>this is one of the few studies that looked at elederly vaccination</t>
  </si>
  <si>
    <t>focused on Beijing only- may explain some of the contradictory results</t>
  </si>
  <si>
    <t>y. In Thailand, child immunization was distributed uniformly over the economic gradient of mothers or caregivers. Surprisingly, immunization coverage in rural areas and in the children whose mothers or caregivers had no formal education was slightly higher than in urban areas and in those educated beyond secondary school. These findings suggest that better service coverage is provided in rural areas (mainly by district health systems) than in urban areas</t>
  </si>
  <si>
    <t>large sample and snapshot of inequity in THailand</t>
  </si>
  <si>
    <t>broad scope</t>
  </si>
  <si>
    <t>At the national level, we find major improvements in outreach in urban and rural areas with a clear drop in the percentage of children that received no immunization, but full immunization rates are almost stagnant. The data seems to indicate a successful effort in addressing complete system failure that is captured by the no-immunization variable, but an expanding partial failure of continuity of services that is reflected in the increasing population of children with only partial immunization</t>
  </si>
  <si>
    <t>Indeed, we find that the gender gap decreases, disappears, or even reverses when looking at cases of complete system failure but holds steady or increases for full immunization.</t>
  </si>
  <si>
    <t>charts improvements in Indian immunisation</t>
  </si>
  <si>
    <t>may cover data that has been examined elsewhere</t>
  </si>
  <si>
    <t>The results suggest that the CFI coverage was higher among children with mothers who received a “high” maternal health care utilisation index (62%) than those who received “low” maternal health care service utilisation (47%). The CFI coverage was also higher among women who registered their pregnancy and also obtained an MCP card (55%) than their counterparts (38%). The CFI increased with an increase in the educational level of the mothers. The CFI was highest among children with lower birth order and lower birth intervals compared to their counterparts. The CFI was highest among scheduled tribes (55%) followed by other backward classes (51%), scheduled castes (51%), and other castes (48%). Again, in contrast to the exiting notion, the proportion of female children (52%) who received full immunisation is slightly higher than male children (49%). The percentage of CFI in the richest wealth quintile households was two times higher (62%) compared to their poorest counterparts (26%).</t>
  </si>
  <si>
    <t>The household’s economic status was statistically the most significant factor for CFI coverage in the state Children who belonged to richer (OR = 4.33, 95% CI 2.67–7.01) and richest (OR = 6.59, 95% CI 3.75–11.55) wealth quintile households received significantly higher CFI coverage than the poorer (OR = 2.12) and poorest counterparts (OR = 1.00). Surprisingly, compared to urban areas the odds of CFI coverage were higher in rural areas (OR = 1.35, 95% CI 1.01–1.81).</t>
  </si>
  <si>
    <t>nice look in depth on a local question of disparity</t>
  </si>
  <si>
    <t>Focuesed on Gujarat only so the comparator is itself and the fact that Gujarat had seemingly low coverage</t>
  </si>
  <si>
    <t>Measles immunization increased with the household wealthquintile and with parent’s education.... However, with the exception of birth order, the effect of socio-economic determinants on measles immunization was not statistically significant in the multivariate analysis</t>
  </si>
  <si>
    <t>Interestingly, rural residence reduced inequality in measles immunization by 19%. This is explained by the fact that, though more prevalent among the poor, rural residence had a positive effect on measles immunization. This could be a result of the SIA efforts in reaching geographically disadvantaged households by implementing vaccination sites (schools, churches, mosques) in the remote and rural areas of the country</t>
  </si>
  <si>
    <t xml:space="preserve">Apart from wealth, main differences seen were the result of parent's education </t>
  </si>
  <si>
    <t>The wealth-related inequality in measles immunization increased until 2003 and then dropped in 2008/09. The pattern took a “queuing” form, i.e., the general access to measles immunization was better than for SBA, but middle and richer wealth quintiles groups benefited most, while for the poorer groups a large proportion was still not vaccinated. In 2008/09, the queuing pattern seems to have diminished.</t>
  </si>
  <si>
    <t xml:space="preserve">decomposition analysis provided several areas to be targeted in order to reduce inequality in health care. These were: poverty reduction, educational attainment (preferably secondary level and above), antenatal care attendance and parity. </t>
  </si>
  <si>
    <t>Techniques used were multivariate logistic regression and decomposition of the concentration index (C), an interesting approach to looking at factors related to wealth inequities but contributing to low immunisation rates</t>
  </si>
  <si>
    <t>The study is limited to the information collected through DHS; other factors couldhave played a role in the analyses. Assessing access (cost and distance) to health facilities might be especially interesting when analysing inequalities in SBA. About20% of household heads were not the parents of the child; their occupation may have been useful as well</t>
  </si>
  <si>
    <t>Integration of ITN distribution with a vaccination campaign might improve measles vaccination coverage among the poor</t>
  </si>
  <si>
    <t>higher vaccination campaign coverage in ITN districts than non-ITN districts.</t>
  </si>
  <si>
    <t>Among children in the poorest wealth quintile, vaccination coverage was higher in ITN than in non-ITN districts.</t>
  </si>
  <si>
    <t>evaluates the effect of integrating ITN distribution on measles vaccination campaign coverage</t>
  </si>
  <si>
    <t>focus is on ITN vs non-ITN so difficult to extract numbers we need</t>
  </si>
  <si>
    <t>Receiving an ITN during the campaign was associated with higher vaccination coverage.</t>
  </si>
  <si>
    <t xml:space="preserve">investigated the coverage, equity and cost of linking distribution of free ITNs to a measles vaccination campaign. </t>
  </si>
  <si>
    <t>focus is on ITN vs no ITN received and on costs so no breakdown in numbers by demography/socioeconomically</t>
  </si>
  <si>
    <t xml:space="preserve">Fully immunized children were lowest in slums compared to urban and rural areas. </t>
  </si>
  <si>
    <t>focuses on different vaccines and coverage in slum, urban and rural areas in India</t>
  </si>
  <si>
    <t>overarching raw immunisation numbers not shown</t>
  </si>
  <si>
    <t>While looking across the regions, result shows that female children were consistently in a disadvantageous position in full immunization coverage in most of the regions except the Northeast; The gender gap in full immunization coverage is smaller in urban than in rural areas</t>
  </si>
  <si>
    <t>gender discrimination – disfavouring the girl child – is apparent in coverage of full and no immunization. Full immunization coverage was three percentage points higher among male than female children. The disparity in no immunization was minimal. The result of gender disparity ratio indicates that the female child is persistently disadvantaged in coverage of full immunization (Figure 3). The gender disparity ratio declined from 108 in 1992–93 to 106 in 1998–99. However, it again increased to 109 in 2005–06. GDR increased drastically in coverage of no immunization. It is important to mention here that this may be due to the extreme low level of no immunization among both male and female children. The GDR in full immunization was consistently higher among SCs/STs children as compared to other caste groups. Gender disparity in full immunization was higher among Muslims and other religious groups than among Hindus during 2005–06</t>
  </si>
  <si>
    <t>Gender disparity favoured the male child among the poorest, middle and richer wealth quintiles, while it was in favour of the female child among the poor and richest quintiles in 2005–06 (Table 2). GDR in full immunization increased among richer wealth quintile (103 to 114) while it has decreased among poor (115 to 97), middle (115 to 110) and richest (102 to 98) wealth quintiles during 1992–2006. The disparity in no immunization was highest among poor quintile (177) and lowest among richest quintile (103) during 2005–06. However, the disparity decreased in the two extreme quintiles (poorest and richest) while increased in the remaining quintiles.</t>
  </si>
  <si>
    <t>main breakdown of how gender disparity links with other factors</t>
  </si>
  <si>
    <t>sadly only one country considered in this way</t>
  </si>
  <si>
    <t>it is clear that proportion of completed childhood (12–23 months) immunization varies according to the wealth quintile, ranging from 23.4% within poorest stratum to 75.4% within richest wealth quintile. It is evident too that immunization coverage has a wide gap between urban and rural areas of Pakistan.</t>
  </si>
  <si>
    <t>very focused analysis</t>
  </si>
  <si>
    <t>This implies that one way to improve the access rate to different opportunities is to implement policies that increase coverage rate of health services.</t>
  </si>
  <si>
    <t>In 2013, region was the most significant contributor to inequality of access to child vaccinations (59.8).</t>
  </si>
  <si>
    <t>In terms of circumstances, the parents’ (father and mother) education, region and residence were the most influential</t>
  </si>
  <si>
    <t>looks at Togo which appears to be understudied</t>
  </si>
  <si>
    <t xml:space="preserve">mainly focuses on changes over time, bit vague on the equity quantities </t>
  </si>
  <si>
    <t>Our results suggest that immunization coverage for measles and DPT-3 are sub-optimal in the large states of Uttar Pradesh and Madhya Pradesh, but interestingly in better performing states as well, the poor performers tend to be those rural districts where the incomes per-capita are significantly lower. Amongst demographic groups, children from SC/ST households and Muslims have the poorest access to immunizations.</t>
  </si>
  <si>
    <t>Our analysis points to poverty and maternal education as key variables that policy makers can target to improve immunization coverage.</t>
  </si>
  <si>
    <t>In other words, poverty is a crucial factor influencing both immunization coverage, as well as the timing of age-appropriate immunizations. our analysis also finds mother's education to have a positive influence on immunization coverage</t>
  </si>
  <si>
    <t>Our results show that after controlling for an array of socioeconomic characteristics, for both measles and DPT-3, the district's income per capita is a strong predictor of better immunization outcomes for children; average distance to primary health centres and district hospitals, are associated with lower DPT-3 immunization coverage in ruralareas as well</t>
  </si>
  <si>
    <t>well contextualised with other studies on inequity in India</t>
  </si>
  <si>
    <t>unsure on the amount of overlap in terms of data used</t>
  </si>
  <si>
    <t>The significant factors contributing to the immunisation rate varied through the years. In 2000, age, living in a household with a water source, rural/urban place of residence and region of residence were statistically significant</t>
  </si>
  <si>
    <t>gender not significant possible as women better educated in Mongolia than men</t>
  </si>
  <si>
    <t>Maternal education and economic status were influential when coverage was low but as coverage improved across the board, the inequity was no longer significant</t>
  </si>
  <si>
    <t>large representative sample in understudied Mongolia</t>
  </si>
  <si>
    <t>. Immunisation coverage in MICS surveys is limited because it does not account for the fact that young children may not yet have reached the age to have all their recommended immunisations and therefore this is also unaccounted for in our results [36]. Another limitation of the MICS data was the lack of some maternal data</t>
  </si>
  <si>
    <t>Although 28 countries had higher levels of coverage in their rural areas than in their urban areas, the differences were generally very small and only those for Mauritania, Swaziland and Uzbekistan were statistically significant. The remaining 58 countries had higher levels of coverage in their urban areas than in their rural areas and the differences for 35 of these countries achieved statistical significance. I</t>
  </si>
  <si>
    <t>Although most of our study countries showed higher levels of full immunization coverage among boys than girls (Table 3), such sex-related differences were of less than three percentage points in each of 59 countries and only achieved statistical significance in Azerbaijan, Belize, India, Mali and Somalia.</t>
  </si>
  <si>
    <t>g. In most of the study countries, the increase in coverage with wealth was monotonic, that is, coverage in the lowest wealth quintile was lower than that in the second-lowest, coverage in the second-lowest quintile was lower than that in the third-lowest and so on.</t>
  </si>
  <si>
    <r>
      <rPr>
        <rFont val="Arial"/>
        <color theme="1"/>
        <sz val="10.0"/>
      </rPr>
      <t xml:space="preserve">this covers a huge number of countries </t>
    </r>
    <r>
      <rPr>
        <rFont val="Arial"/>
        <b/>
        <color theme="1"/>
        <sz val="10.0"/>
      </rPr>
      <t>We should compare to this directly in the discussion</t>
    </r>
  </si>
  <si>
    <t>Fairly broad</t>
  </si>
  <si>
    <t>The majority of women who: have 3–5 children (90.5%); have primary education (90.1%); are from the middle-socio-wealth quintile (96.0%); are literate (89.5%); reside in urban areas (93.8%) – have immunized their children.</t>
  </si>
  <si>
    <t>The results revealed that four factors (literacy, P &lt; 0.05; exposure to the radio, P &lt; 0.05; residence, P &lt; 0.01; and wealth quintile, P &lt; 0.001) are correlated with immunization. children whose mothers have primary education are more likely to be immunized than those whose mothers have higher education. The findings indicate that reading the newspaper increases the chances of using childhood immunization. Wealth quintile is also associated with immunization.</t>
  </si>
  <si>
    <t>looks at Swaziland which is underrepresented here</t>
  </si>
  <si>
    <t>not much view of the data or breakdown therein</t>
  </si>
  <si>
    <t>The coverage of fully immunised children is also higher among children from urban (41.7%) compared to rural settings (35.2%)</t>
  </si>
  <si>
    <t xml:space="preserve">socioeconomic gradient in immunisation coverage, with higher proportions of fully immunised children in households in the highest wealth quintiles, while a higher proportion of never immunised children are in lower wealth quintile households; partial immunisation is more concentrated among poorer than richer children; nonimmunisation is also concentrated among poorer households across all regions.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Mother’s education contributed to 14% of the inequality in full immunisation and 25% of the inequalityin never immunisation. </t>
  </si>
  <si>
    <t>contrary to other studies, they decompose the concetration index- socioeconomic factors explain almost all inequity</t>
  </si>
  <si>
    <t>may overlap with similar studies</t>
  </si>
  <si>
    <t>Overall, the socioeconomic determinants included in our model explain 89 and 84% of the inequality in full and partial immunisation respectively. The same socioeconomic determinants explain about 100% inequality in never immunisation and immunisation intensity.</t>
  </si>
  <si>
    <t>disparity of 16.06 percentage points to the advantage of the rural areas and the exposure variables explained 76.49% of the disparity. Material factors explained 92.03% of the explained disparity with maternal occupation and household wealth quintile being the only significant individual material variable contributors to the explained disparity.</t>
  </si>
  <si>
    <t>disparity of 16.06 percentage points to the advantage of the rural areas and the exposure variables explained 76.49% of the disparity</t>
  </si>
  <si>
    <t>maternal occupation and household wealth quintile being the only significant individual material variable contributors to the explained disparity.</t>
  </si>
  <si>
    <t>Lower household wealth quintile and working especially in agriculture were associated with higher immunization coverage and they were more common in rural areas.</t>
  </si>
  <si>
    <t>good justification of the unexpected results, survey with high immunisation card availibility (90.2%), reducing recall bias</t>
  </si>
  <si>
    <t xml:space="preserve">still some recall bias in analysis, not generalizable to households with absent mothers, sample size leans to rural areas, less of a sample from urban, no reasons given for non-immunisation </t>
  </si>
  <si>
    <t xml:space="preserve">Interesting differences in which lower wealth status + rural areas had INCREASED vaccination compared to wealthy + urban, opposite of most studies </t>
  </si>
  <si>
    <t xml:space="preserve">Matthews </t>
  </si>
  <si>
    <t>The significant factors were: child's age, place of residence (urban or rural), mother's education, father's occupation, region and type of prenatal care</t>
  </si>
  <si>
    <t xml:space="preserve">As in previous studies of mortality and health coverage, urban children have the advantage over rural children, the odds ratios for this variable showing similar levelsfor both models. The magnitude of the effect is lower than for other explanatory factors, however, and this may be partly due to the urban advantage being diluted by the low coverage levels within areas of urban poverty. </t>
  </si>
  <si>
    <t>The importance of maternal education to child health is underlined from the results of this study as from previous work and numerous analyses of infant and child mortality. Paternal occupation also found to be significant. Maternal education and familial wealth are primarily demand factors on vaccination coverage in that they affect the likelihood of parents to seek immunisation protection for their children</t>
  </si>
  <si>
    <t xml:space="preserve">Regional differences are also marked. The inversion of the expected regional order is interesting with Volta showing the highest odds ratio, rather than the Northern (Northern, Upper East and Upper West combined) or Central regions, which, in 1988, had considerably higher child mortality rates and lower health service coverage levels than the rest of the country. This indicates that the socioeconomic makeup of the traditionally high risk regions may account for their low vaccination rate. The socioeconomic predictors of unvaccinated children are shown to be very important, especially maternal education, region and type of prenatal care. </t>
  </si>
  <si>
    <t>The most favourable set of characteristics is the baseline category: children aged greater than 18 months, from an urban area in Greater Accra, who have mothers with secondary education or higher, fathers with a white collar job and whose mothers received prenatal care from a trained doctor or nurse. The least favourable characteristics are the opposite: children aged 0±5 months, from a rural area in Volta region, who have uneducated mothers, fathers with an agricultural job and whose mothers received no prenatal care.</t>
  </si>
  <si>
    <t xml:space="preserve">The risk groups identified by the high odds ratios from the analysis could be a special target for immunisation campaigns. However, more work is necessary to find out the factors which are causing particular families and localities to exhibit low uptake. Interesting analysis on clustering completed </t>
  </si>
  <si>
    <t>very strong possibility results are biased based on the way that the vaccination status of each child was determined — difficult for researchers to obtain vaccine cards</t>
  </si>
  <si>
    <t>We observed marked socio-economicdifferentials in timely coverage of all vaccines: childrenliving in poorer, less educated, rural areas were severelydelayed in receiving the appropriate immunisations</t>
  </si>
  <si>
    <t>For example, for the last DPTHH dose, the proportion of children delayed more than 8 weeks were 27% forurban children and 31% for rural children (P &lt; 0.001</t>
  </si>
  <si>
    <t>Most markedly, children in theleast educated group received their DPTHH/polio at14 weeks on average 2.5 weeks later than children in themost educated group (P &lt; 0.001)</t>
  </si>
  <si>
    <t>children in poorestquintile received BCG on average 2.7 weeks later thanchildren in the wealthiest quintile (P &lt; 0.001)</t>
  </si>
  <si>
    <t>assess impact of different inequities on the delay in immunisation; justifies methods</t>
  </si>
  <si>
    <t>This study had a number of limitations. Our maininclusion criterion was possession of a vaccination cardand follow-up until the due date of the immunisation inquestion. Follow-up ended primarily due to death, migra-tion out of the study area or the end of surveillance itself.6% of our sample had no vaccination card and 74%stopped follow-up before 1 year of age. We would expectchildren without vaccination cards to have a poorer vac-cination status, and so our coverage and timeliness esti-mates may be slightly overestimated in our population.However, there were no differences between participantswith and without vaccination cards in terms of educa-tion, socio-economic status and urban/rural residence. Asmentioned, in the methods section, correction for obser-vable differences between participants with and withoutmissing information using inverse probability weightingyielded near-identical results, suggesting minimal bias.Secondly, household vaccination card information could be criticised as a reliable source of information onvaccination status (Fisher &amp; Vaessen 1987; Miles et al.2012). A systematic review of validation studies in high-income settings found coverage estimates using householdvaccination cards to be up to 61 percentage points lowerthan coverage using patient-speciﬁc medical records orregistries (Miles et al. 2012). These results indicated thatvaccination cards may underestimate coverage. As 1-yearcoverage remained near-complete in Ghana, this biasmay not have been so important</t>
  </si>
  <si>
    <t>gap in the coverage was found to occur primarily in vulnerable groups such as the poor minority or poor rural children. No evidence was found of a difference in immunization coverage because of sex or birth order. However, the age of children showed a significant influence on the rate of immunization. Mother’s education and regular watching of television had a significant influence on child immunization.</t>
  </si>
  <si>
    <t>children in rural areas were less likely to receive full immunization</t>
  </si>
  <si>
    <t>Model I shows that the likelihood for children in poor families, minority children and children in rural areas receiving full immunization is only 0·59, 0·64 and 0·67 times the likelihood for children in non-poor families, non-minority children and children in urban areas receiving full immunization, respectively</t>
  </si>
  <si>
    <t>Poverty factors didn’t show a significant influence on the rate of children with no immunization, except the rural factor in Model I. However, as in later analysis, the prediction from coefficients of Model II suffered considerably among minorities and the poor.</t>
  </si>
  <si>
    <t>While many individual characteristics showed no influence on child immunization, household wealth, hard-to-reach geographic location, education and communication on immunization, and the availability of immunization services at the community level played key roles in the size of the gap in immunization coverage.</t>
  </si>
  <si>
    <t>gives justification to increasing national immunizatio programmes within integrated national and internationally funded social and development programmes</t>
  </si>
  <si>
    <t>models are relatively complex; no clear discussion on limitations of the analysis/methods/data itself</t>
  </si>
  <si>
    <t>found this paper a little confusing to get through</t>
  </si>
  <si>
    <t xml:space="preserve">Soura </t>
  </si>
  <si>
    <t xml:space="preserve">In summary, the differences in child vaccination rates between Nairobi and Ouagadougou informal settlements are, in our view, a result of inequalities in access to immunization services. It is also possible that Nairobi slums residents are more exposed to adverse health behaviors than the residents of Ouagadougou informal settlements. Indeed, although families in the slums of Nairobi have an advantage in terms of possessions, compared to those in Ouagadougou informal settlements, their daily life may be generally more distressing, with people not having enough resources to meet all their basics needs (paying for rent, water, food, health, etc.). Concerns for the day-to-day life can lead a parent to pay less attention to his/her child’s health, especially when it comes to preventing a disease whose symptoms are not yet visible. Consequently, children living in slums have been shown to be less likely to be vaccinated and have higher infant morbidity and mortality rates.
</t>
  </si>
  <si>
    <t>The length of residence of the mother in the slum community also has a significant relationship in an unexpected direction. Children of recent migrants in the slum community (&lt;5 years) have a lower risk of incomplete vaccination. All else being equal, the disadvantage of the Nairobi slums’ children is real (Table 4, models 4). Compared to children in Ouagadougou’s informal settlements, those in Nairobi have 17.1 times greater risk of not receiving all vaccines. This risk is estimated to be 9.5 in the case of incomplete vaccination before 12 months.</t>
  </si>
  <si>
    <t>The importance of the mother’s educational level in child vaccination status was present in all the models. This relationship is the most commonly observed in child health studies, due to the strong behavioral change induced by education. A health benefit among children of Christian mothers was also observed, due to the fact that in sub-Saharan Africa, Christians seem more open to allopathic medicine 44 and more positively disposed and less likely to oppose primary health care utilization around vaccination</t>
  </si>
  <si>
    <t>These relationships are in the expected direction indicating a lower risk of incomplete vaccination among children whose mothers are more educated and in the less poor families (vaccination before 12 months of age specifically).</t>
  </si>
  <si>
    <t xml:space="preserve">Majale evinced the diverse heterogeneity of low-income informal settlements in developing countries, which defied generalization, and in the particular case of Nairobi, illustrates the diversity of typologies of settlements that can be found within a single metropolitan area with variations across characteristics.11 While some informal settlements completely lack public services, others have access to health facilities, sewers, running water, and electricity, even if these services are inadequate.12 Moreover, poverty, pollution, criminality, and overcrowding as well as social exclusion and the types of diseases vary according to the settlement.12 There are few comparative studies that have looked at informal settlements across countries accounting for these contextual nuances. </t>
  </si>
  <si>
    <t>Ran four models, showing a well-thought out analysis</t>
  </si>
  <si>
    <t>First, the cross-sectional nature of the data used requires caution in interpreting the results, especially in making causal inferences. Then, there is a potential selection bias in the sample. It is possible that children less vaccinated have died and those who survived are those who were best vaccinated. Another selection bias relates to the Maternal and Child Health Study. Since this survey covered children born under surveillance, those who arrived by migration and were less than 5 years old were not taken into consideration. It is important to note, however, that there is small number of parents who usually migrate to the Nairobi’s slums with their children, and most children were born in the slums. Another limitation is that we could not control for potential confounding variables, as they were not collected during the surveys (e.g., parent’s knowledge and attitudes towards vaccination, place of delivery, and antenatal care). Finally, another limitation is related to the variable capturing standard of living. We classified households in informal settlements in Nairobi and Ouagadougou on the basis of goods and means of transportation. These goods do not have the same values from one place to another. However, we used a relative poverty approach to test if belonging to a “lower” socioeconomic group is always associated with a disadvantaged health status.</t>
  </si>
  <si>
    <t>Results from bivariate analyses indicated that caste/ethnic affiliation, mother’s education, wealth status, ecological region, provinces, number of children under 5, money to pay to get to a healthcare facility and distance to healthcare facilities were significantly associated with complete childhood immunisation</t>
  </si>
  <si>
    <t>Children living in Hill region were more likely to be fully immunised and more likely to get complete doses of polio vaccines and DPT vaccines than children living in Mountain region</t>
  </si>
  <si>
    <t>children from the previously untouchable caste (OR 0.58; CI 0.33 to 0.99) and the Terai caste (OR 0.54; CI 0.29 to 0.99) were less likely to be fully immunised than children from the high Hindu caste</t>
  </si>
  <si>
    <t>Although statistical significance was weaker, more abundant wealth status was correlated with a child’s likelihood of being vaccinated</t>
  </si>
  <si>
    <t>The findings of this analysis are consistent with previous research and indicate that family financial problems (acute poverty; for example, the money to visit health facility) as well as being a member of a low or underprivileged caste all affect the likelihood that a child will or will not be immunised.</t>
  </si>
  <si>
    <t>nationally representative sample incorporating all sections of socioeconomic, demographic and geographic characteristics, and therefore, the findings are robust and generalisable nationwide</t>
  </si>
  <si>
    <t xml:space="preserve">use of cross-sectional data and rely on the validity of the mother’s answers to questions about vaccine utilisation since some mothers may have been unaware of different doses of vaccines that their children received; excluded children over 23 months </t>
  </si>
  <si>
    <t>complete vaccination coverage remained independently associated with middle or high economic status (adjusted OR [AOR]: 2.64, 95% CI: 1.85–3.78), older maternal age (AOR: 2.87, 95% CI: 1.62–5.10), ≥4 ANC visits (AOR: 1.87, 95% CI: 1.28– 2.73), and maternal tetanus vaccination before delivery</t>
  </si>
  <si>
    <t>complete vaccination coverage was associated with urban residence (odds ratio [OR]: 2.03, 95% confidence interval [CI]: 1.35–3.04)</t>
  </si>
  <si>
    <t>Child sex and the number of children in the household are also well-known predictors of vaccination coverage in some social contexts [10, 11, 29]. However, these factors were not significant in Myanmar, although we did observe slightly higher complete vaccination coverage rates among male children (58% vs. 52%) and single children versus households with ≥2 children (58% vs. 52%).</t>
  </si>
  <si>
    <t>complete vaccination associated with middle or high economic status (OR: 3.18, 95% CI: 2.26–4.47),</t>
  </si>
  <si>
    <t>The present study also revealed that incomplete vaccination coverage was independently associated with low economic status, younger maternal age, fewer ANC visits, and no pre-birth maternal tetanus vaccination. These findings may help the EPI program more specifically target and better address these demographic groups.</t>
  </si>
  <si>
    <t>secondary analysis of DHS data is thought to substantially contribute to public health knowledge in developing countries [40, 41], and we believe that our findings can help inform decisions regarding related policies and programs.</t>
  </si>
  <si>
    <t>The present study has several limitations. For example, only extracting data for 12–23-month-old children may have introduced bias (the sample unit for the 2015–2016 MDHS was households). Since vaccination coverage was assessed using both the child’s vaccination card and the mother’s recollection according to WHO recommendations, there were potential risk of recall bias and subject bias that mothers of children who don’t have the vaccination card tend to report a vaccination for their children due to shame and stigma [38]. Furthermore, the DHS is not designed to assess the EPI program status, as it does not consider factors that can influence immunization systems, such as access and distance from the vaccination services, missed vaccination opportunities, and limited availability and knowledge of health workers</t>
  </si>
  <si>
    <t>There is a substantial burden of incomplete childhood vaccination in South Africa. Individual-level factors such as maternal attendance of antenatal care during pregnancy, and geographical factors such as province of residence significantly influenced this burden.</t>
  </si>
  <si>
    <t>Varied in provinces but no rural/urban differences</t>
  </si>
  <si>
    <t>Maternal attendence of antenatal care during pregnancy improves vaccine uptake</t>
  </si>
  <si>
    <t>Conversely, the odds of being incompletely vaccinated were 32% lower in children from rich households, compared with those from poor households (OR = 0.68; 95% CI 0.47–0.98); lost significance in adjusted model</t>
  </si>
  <si>
    <t>In the adjusted model, the higher odds of incomplete vaccination among children whose mothers attended antenatal care, compared with those whose mothers did not attend ANC, were maintained in both magnitude and direction</t>
  </si>
  <si>
    <t>surveys represent the best available population-based data covering all the provinces and regions in the country. This, therefore, allows the results from this study to be fairly generalizable within the reference South African context</t>
  </si>
  <si>
    <t>First, its findings depend on the quality of DHS data. Although the DHS program is generally considered as one of the most reliable sources of quantitative data, particularly maternal and child health data, it may be that the responses were affected by recall and social desirability biases because the survey data were self-reported. Another limitation of our study is that it did not assess health facility-level determinants of incomplete childhood vaccination, such as poor vaccination scheduling, vaccine stock-outs, and long waiting periods, which are important enablers of incomplete vaccination of children; multilevel regression needed but was not analytically feasible due to the insufficient sample size of the dataset</t>
  </si>
  <si>
    <t xml:space="preserve">Not much affect for our tracked factors, still interesting results </t>
  </si>
  <si>
    <t xml:space="preserve">Maternal and paternal education found to be strong predictive factors for immunisation </t>
  </si>
  <si>
    <t xml:space="preserve">Meanwhile, residing in a rural area was associated with non-vaccination in unadjusted and multivariate models when considering only contextual factors. Conversely, this variable was found protective when taking into account both compositional and contextual factors. This inverse association between place of residence and non-vaccination contradicts the impressive body of evidence reported from both Asia and Africa </t>
  </si>
  <si>
    <t xml:space="preserve">Increasing maternal and paternal educational attainment was protective against child non-receipt of vaccines through a graded trend (P trend ,0.0001). Firstly, children born from mothers with no schooling relative to those born from mothers having at least 13 years of schooling were almost two and a half times more likely to be CUV. A similar but less marked trend was observed with respect to father’s educational attainment. </t>
  </si>
  <si>
    <t>Thirdly, the association between CUV and wealth index showed a significant, dose-response relationship indicating that the risk of being CUV increased with lower household wealth. Interestingly, the household wealth index had almost no effect on risk of being CUV in urban areas but remained a strong determinant of CUV in rural settings.</t>
  </si>
  <si>
    <t>Our study has several strengths. Firstly, it is original as we used more stringent measures of non-vaccination compared to traditional measure of non-vaccination based only on coverage of DPT1 [6]; second, we modelled the non-receipt of vaccines throughout two different delivery systems; third, we used highly computational but robust statistical techniques within a multilevel framework. Finally, we minimized potential selection bias and achieved nationwide representative estimates (generalization) by using India’s most recent publicly available nationally representative survey data, the DLHS-3</t>
  </si>
  <si>
    <t>There are some limitations to this study. The cross-sectional nature of the data limits the ability to draw causal inferences. We also recognized that our study may be potentially limited by the fact that the determination of vaccination status was based mainly on mother or care giver report, which may be less precise than information provided by health card. Nevertheless, this practice is commonly used by the Demographic and Health Surveys (DHS) which form the basis for the DLHS since its first series [55]. Moreover, other studies have shown that mothers’ reports of their children’s vaccination status are fairly accurate</t>
  </si>
  <si>
    <t>This study found that the proportion of infants who were fully immunised was stilllower than the national target and maternal ethnicity, paternal education, andnotification of the vaccination date by medical staff were associated with fullvaccination status</t>
  </si>
  <si>
    <t>Bivariate analysis revealed that maternal/paternal education was associated withvaccination status. The association with paternal education was significant in themultivariate analysis</t>
  </si>
  <si>
    <t>Final multivariateanalysis of this study did not show any association between vaccination status andmaternal/paternal occupation (proxy for SES); may be explained by the fact that the EPI programme inLao PDR is free of charge; therefore, maternal/paternal occupation may not affectvaccination status</t>
  </si>
  <si>
    <t>The completion of the recommended vaccine schedule is determined by numerousfactors, and some of these are location specific. Identification of these factorsshould result in actions facilitating the optimal use of vaccination services by allthe children in Lao PDR</t>
  </si>
  <si>
    <t>One of the few looking at communication strategies or barriers to vax in Laos; pretty solid methods</t>
  </si>
  <si>
    <t xml:space="preserve"> First, all the children and their caretakers who did not possess any certification of vaccination or did not have written records were excluded from this analysis. Cross-sectional, thus no cause-effect relationship </t>
  </si>
  <si>
    <t>The regression models with interaction between sex and background variables showed that poverty, low maternal education, and second or higher birth order had stronger negative effects on FIC coverage for girls than for boys.</t>
  </si>
  <si>
    <t>FIC coverage was better for children living near the EPI outreach centres or town</t>
  </si>
  <si>
    <t xml:space="preserve">Minimal gender disparity (3%) but increasing with poverty or lower maternal education </t>
  </si>
  <si>
    <t>FIC coverage better for those who came from households above the lower poverty line, who received antenatal care, and who were born at a health facility.</t>
  </si>
  <si>
    <t>Although, overall, the gender disparity was minimal (3%), it was markedly higher for children who live below the poverty line, whose mothers did not attend high school, and for children of birth order two or higher. Missing MV is the main reason for a child not being FIC</t>
  </si>
  <si>
    <t>The present study was based on data collected at trimonthly household visits from the vaccination cards of the newborn children. This procedure pro- vides accurate birthdate and vaccination information. This is a major strength compared to many studies based on cross- sectional surveys.</t>
  </si>
  <si>
    <t>The exclusion of children without a vaccination card or inability to show the card during the home visit had the potential to result in a biased sample, which is a possible limitation of the study. In fact, we found no significant differences in the proportion of excluded male and female children.</t>
  </si>
  <si>
    <t>over 20% of children surveyed were not fully immunized, primarily from communities where inequities of both access and impact persist. These inequities relate mainly to socio-economic exposures including wealth and education level, population mobility and ethnicity</t>
  </si>
  <si>
    <t xml:space="preserve">In terms of other equity parameters, both urban/rural and gender disparities are negligible, and education level gaps in coverage have narrowed slightly </t>
  </si>
  <si>
    <t>In terms of other equity parameters, both urban/rural and gender disparities are negligible, and education level gaps in coverage have narrowed slightly. Ethnicity and migration were also noted to be factors associated with low immunization status.</t>
  </si>
  <si>
    <t>the most significant differences in coverage in Cambodia relate to the education level exposure (24.7% difference in DPT3 coverage between highest and lowest education level, and 21% difference for highest and lowest wealth index). Cambodia demonstrates a 300% difference in under-5 mortality between the highest and lowest socio-economic groupings (mortality rate of 90/1000 for lowest wealth index, and 30/1000 for highest wealth index)</t>
  </si>
  <si>
    <t>What this analysis confirms is that it is socio-economic equity parameters (wealth and education level) that are the most strongly associated with lower access to immunization services in Cambodia and other regional countries, rather than other equity parameters including gender or location (see Figure 3).</t>
  </si>
  <si>
    <t>broad review on literature and data to generate proposed shifts in planning and operational guidelines to improve equity in immunisation</t>
  </si>
  <si>
    <t>in reference to the specific years of the DHS data, we recognize the limitation of comparison of data across countries from different years. Although this is a methods limitation, we reiterate that the main intent is to compare differences within countries and not across them. The value of the comparison across countries is limited in this analysis to the observation that inequities within countries are a major health policy challenge in the region. With respect to the other main source of data (the immunization programme review) the reviewers adopted a purposeful sampling approach through active search for under-immunized populations. That is, the aim was to better understand the socio-economic barriers to immunization and health care access that were indicated by the DHS findings. The statistical findings from the review are therefore not intended to be representative of a cross-section of the general population, but rather of a specific sub-population (the under-immunized).</t>
  </si>
  <si>
    <t>Urban/rural differences, wealth differences, and suprising education effects on vax coverage in Pakistan</t>
  </si>
  <si>
    <t>Urban areas of Pakistan compared with rural areas and Punjab province compared with KP, Sindh, and Balochistan show more percentage of fully vaccinated children; Furthermore, there are less chances of a child born in rural Pakistan to be a dropout of polio vaccination relative to his/her urban counterparts in all the three survey waves.</t>
  </si>
  <si>
    <t>Gender of the child appears to be non-significant (significant only at 10% level of significance) in bivariate relationship with both no OPV and OPV dropouts, except for the PDHS 1990e1991. Birth order shows that in 1990e1991 and 2006e2007, as the child birth order increases, his/her chances of never getting vaccinated increases significantly</t>
  </si>
  <si>
    <t>The wealth status of a household is a significant predictor of whether the child is never vaccinated and a dropout of polio vaccination relative to a poor household for the survey year 1990e1991 and not in the year 2006e2007 and 2012e2013 (Table 3).</t>
  </si>
  <si>
    <t>Results of this study, however, point toward improving the socio-economic status of women, which will help decrease the chance of polio dropout cases and thus bring improvement in service delivery and program implementation. Also, father's education appears to be a crucial factor determining whether a child will receive any polio vaccination or will be dropped out</t>
  </si>
  <si>
    <t>Nevertheless, the data are nationally representative, and hence results can begeneralizable across Pakistan.</t>
  </si>
  <si>
    <t>here are certain limitations to our study, i.e. information on health service delivery in their area of residence and other socio-economic characteristics were not gathered consistently in all the three rounds of PDHS. Therefore, only those characteristics that were consistently asked in all the three rounds of PDHS data sets are considered. These are not panel data but a snap shot of cross sections; thus, causality cannot be inferred from the empirical analysis.</t>
  </si>
  <si>
    <t>In the period from 2000 to 2010, there were substantial increases in coverage and progress towards reducing subnational heterogeneity. The period from 2010 to 2019, however, showed slowing progress and, in some cases, regression of coverage compared to the 2000–2010 period. In 2019, only five countries had high absolute geographical inequality (Angola, Ethiopia, Madagascar, Nigeria and Pakistan) In 2019, MCV1 coverage was relatively lower in remote rural areas: in remote rural locations, 33.3% of children were MCV-unvaccinated, compared with 15.2% of children living in urban areas</t>
  </si>
  <si>
    <t>fantastic paper taking in a huge amount of information to model coverage at a fine subnational scale</t>
  </si>
  <si>
    <t>modelled coverage, included 26 covariates so potentially tricky to disentangle</t>
  </si>
  <si>
    <t>The rural–urban difference in the coverage gap has increased in Gujarat, Haryana, Rajasthan and Kerala over the period, while the considerable rural–urban difference was also recorded in Bihar, Uttar Pradesh, Madhya Pradesh and the northeastern states—Nagaland, Arunachal Pradesh, Assam and Manipur during 2005–06.</t>
  </si>
  <si>
    <t>marks progress on a number of indicators in India over time</t>
  </si>
  <si>
    <t>little or no breakdown of health into things like immunisation</t>
  </si>
  <si>
    <t>3 Our study confirms that geographical location, or the urban/rural divide, does not contribute to differences in immunization coverage.</t>
  </si>
  <si>
    <t>5 In our study, the sex of the child did not significantly influence coverage. Girls were only slightly less likely to be fully immunized at the age of 12 months compared to boys, a difference that did not show significance at any time point after adjustment for other socioeconomic determinants.</t>
  </si>
  <si>
    <t>In 2001, the poorest children were 1.5-fold less likely not to be fully immunized (aOR: 1.56; 95% CI: 95% 1.37–1.79) compared to children from the other quintiles. In 2014, the likelihood of not being fully immunized was not significant (aOR: 1.17; 95% CI: 0.93–1.46; Table 5). Children of non-educated mothers were four timesmore likely not to be fully immunized in 2001 (aOR: 4.13; 95% CI: 3.52–4.85), which was reduced to 1.5-fold in 2014 (aOR: 1.53; 95% CI: 1.20–1.96; Table 5).. Children of non-educated mothers were four times more likely not to be fully immunized in 2001 (aOR: 4.13; 95% CI: 3.52–4.85), which was reduced to 1.5-fold in 2014 (aOR: 1.53; 95% CI: 1.20–1.96; Table 5).</t>
  </si>
  <si>
    <t>HAS ODDS RATIOS_ save to compare to</t>
  </si>
  <si>
    <t>could be more explicit in data; data from two different surveys with different survey methods, which could limit the comparison between time periods.Second, the absence of ethnicity data in MICS meant that we could not study ethnicity as a social determinant of inequity for immunization coverage. Third, the MICS sample size was smaller than in three previous DHS. Fourth, to calculate SII and RII, the methods require a somewhat even distribution of inequity in the groups compared, otherwise differences in the poorest or richest quintiles compared to the overall population can be hidden and the results misleading</t>
  </si>
  <si>
    <t xml:space="preserve">Katy/Anna-Maria </t>
  </si>
  <si>
    <t>The results of the χ2 test and logistic regression showed that uptake of full immunization was highly associated with mothers educational status, birth order and household wealth.</t>
  </si>
  <si>
    <t>When different geographical regions were taken into consideration, the East and South states had a greater proportion of fully immunized children than the North-east and Central states. The geographical distribution of the percentage of children fully immunized showed that there are a large number of districts in the northern and eastern parts of the country with similar geographies that have a low percentage of fully immunized children. urban areas had higher coverage than rural areas</t>
  </si>
  <si>
    <t>Immunization coverage was slightly lower among female than male children. The children whose mothers had a higher level of education had the highest rate (70.50%) and those whose mothers had never attended school had the lowest rate (51.50%). Immunization coverage was higher among the children from femaleheaded households compared with those of male-headed households</t>
  </si>
  <si>
    <t xml:space="preserve">The study results suggest that household wealth is a significant factor in the persistence of inequalities in child full immunization coverage in India, with low economic status, low illiteracy of mothers and high birth order families being most deprived. </t>
  </si>
  <si>
    <t>throrough statistical analysis, one of the few papers to do a decomposition approach to this type of data</t>
  </si>
  <si>
    <t>overlapping with other studies on data</t>
  </si>
  <si>
    <t>persistent pro-rich inequalities in vaccination coverage in urban (median C=0.154, IQR 0.141) and rural areas (median C=0.163, IQR 0.171)</t>
  </si>
  <si>
    <t>results suggested that immunisation coverage is pro-rich in the majority of countries</t>
  </si>
  <si>
    <t>covers a number of countries- so valuable to compare to in the discussion</t>
  </si>
  <si>
    <t>some overlap and there could have been more information on the other questions</t>
  </si>
  <si>
    <t>regional variation in SES impact on coverage</t>
  </si>
  <si>
    <t>decomposition analysis of the Cn suggested that the difference in child vaccination completion rates between rural and urban areas was the main factor contributing to the concentration of child vaccination among the poor in the Gambia and Namibia</t>
  </si>
  <si>
    <t>The probabilities of child vaccination varied by different ethnic groups in the Gambia and Namibia. While household wealth negatively associated with child vaccination completion in the Kyrgyz Republic, maternal education positively associated with child vaccination in the Gambia and Namibia</t>
  </si>
  <si>
    <t xml:space="preserve">concentration of child vaccination among the poor in the Kyrgyz Republic was chiefly determined by household wealth; While child vaccination was concentrated among children with higher SES in rural areas in the Gambia and the Kyrgyz Republic, the vaccination rate was greater among poor children in rural + urban regions in namibia </t>
  </si>
  <si>
    <t>The vaccination coverage rates were found to be higher in rural than urban areas in the three countries. The observed rural-urban variation in child vaccination rates may be due to difficulties in effectively ensuring vaccination coverage in urban areas; results also indicated differences in child vaccination coverage across different ethnic groups persists in the Gambia and Namibia</t>
  </si>
  <si>
    <t xml:space="preserve">interesting differences compared to other papers, has a strong and unique methadology </t>
  </si>
  <si>
    <t>due to the unavailability of some data in the DHS, we could not include some
of the main determinants related to regional access to resources e.g. distance to a health center or access to prenatal care) in the decomposition analysis. Second, although the validity of maternal report to determine child vaccination status was confirmed in previous studies (e.g. [29]), it would be ideal to obtain vaccination status of children using a written record to avoid the potential for recall bias. Third, the DHS collects vaccination status of still living children; thus, the results are generalizable for those who were alive during the survey period. Fourth, as the DHS is a crosssectional survey, it was not possible to establish temporality between explanatory factors and child vaccination, precluding causal inference.</t>
  </si>
  <si>
    <t>Overall, within-country inequalities in DTP3 immunisation persist, but seem to have narrowed over the past 10 years. Monitoring economic-related inequalities in immunisation coverage is warranted to reveal where gaps exist and inform appropriate approaches to reach disadvantaged populations.</t>
  </si>
  <si>
    <t xml:space="preserve">Overall, DTP3 immunisation coverage tended to be lowest in children from poorer households, and increased with rising economic status, indicating prorich inequality. </t>
  </si>
  <si>
    <t>In our study of household health surveys, inequality in DTP3 immunisation coverage was noted both between and within countries. The extent of within country inequality varied by country: most countries (but not all) showed substantial pro-rich inequality. In most countries, improved national coverage over the past 10 years was driven by accelerated improvements in poorer quintiles.</t>
  </si>
  <si>
    <t xml:space="preserve">Large data set examining 51 countries to examine coverage in DTP3 among wealth quintiles; good for seeing broad trends </t>
  </si>
  <si>
    <t>Pairwise diff erence and ratio inequality measures, which compare data in quintiles 1 and 5, do not take into account all data and can limit interpretability of results. In our study, we chose to present such measures for the sake of simplicity. To avoid possible limitations, we did compare conclusions arising from these measures with more complex inequality measures that take into account the full data (slope index of inequality for absolute inequality and concentration index for relative inequality) to ensure that they were similar</t>
  </si>
  <si>
    <t>Progress in DPT3, OPV3 and measles immunisation differed among regions, in addition to the unequal distribution of respective immunisation coverage in 2000. The lack of security played a significant role in the low coverage of immunisation regardless of the availability of immunisation services.</t>
  </si>
  <si>
    <t>Variations by district according to resources and insecurity</t>
  </si>
  <si>
    <t>N/A — but note on lack of female autonomy, especially in rural areas in which they are not allowed to visit health facilities alone or even to make decisions regarding the spending of money on healthcare, limits their access to healthcare</t>
  </si>
  <si>
    <t>The results of the present study indicated that security within a country is an important factor for delivering immunisation services. A report indicates that the southern region of the country is under the poorest conditions with regard to security [24]. Despite the presence of relatively large number of vaccinators and EPI centres per population, immunisation coverage in this region failed to increase from 2000 to 2003. The influence of political instability on child health in general has been noted [25]. The independent significant impact of lack of security on child immunisation indicates the difficulties in public health service efforts aimed at reaching all potential beneficiaries under conditions of armed conflict.</t>
  </si>
  <si>
    <t>trength of the present study was that we analysed the progress in infant immunisation coverage over time for all districts and regions of the country. The strong correlations of immunisation coverage by district among different immunisation schedules were regarded as consistent and reliable coverage data for each district. In addition, we also visualised the coverage distribution at the district level; our results indicated a wide degree of inequality between different parts of the country despite overall good progress.</t>
  </si>
  <si>
    <t>Methodology not as strong as I would've liked to have seen, seems like bias introduction in several forms likely. No limitations expressed by authors; could be more critical in conclusions</t>
  </si>
  <si>
    <t>Health facility data from these surveys demonstrate that all components of a well-functioning immunization program are critical for equitable immunization services in Madagascar. For instance, shortcomings in immunization supply chain may provide one piece of the puzzle why the three poorest regions included in this study reached only 44–53% DTP3 coverage</t>
  </si>
  <si>
    <t xml:space="preserve">Accessibility is measured as a percentage of the communities located at a distance of less than 5 km from the nearest health facility. Accessibility varied between 26% and 33% in 2013 (26% in Androy, 32% in Atsimo Andrefana, 29% in Anosy and 33% in Itasy). </t>
  </si>
  <si>
    <t>analyzed data from health facilities, highlighting barriers to immunization in specific communities; looked at different aspect of immunisation equity</t>
  </si>
  <si>
    <t>While the first facility survey included all districts and health facilities in the four regions, the second survey did not include inaccessible districts and health facilities. This may have biased the results, as these inaccessible areas could be even more affected by inequities due to distances, insecurity, and poverty. As a number of districts and health facilities were excluded from the second survey, results from the first survey were recalculated to make this comparable to the health facilities included in the second survey. Additionally, three regions included in both surveys belong to the poorest regions with the lowest immunization rates in the country, while one included an affluent region with the highest immunization rate in the country. This may also affect comparability of results between regions. Finally, changes to methodology were made in the second survey that may have introduced bias and affected comparability of results with the first survey.</t>
  </si>
  <si>
    <t>geographic, demographic, and socioeconomic info included in introduction, but wasn't part of this study — given it looked at health facility data</t>
  </si>
  <si>
    <t xml:space="preserve">the patients living on less than US$ 1300 a month were more likely to be susceptible to HBV infection (possibly non-vaccinated). </t>
  </si>
  <si>
    <t>In this study, compliance with hepatitis B vaccination schedule was significantly associated with gender.</t>
  </si>
  <si>
    <t>In the present study, the income disparity was found to be significantly associated with the outcome of hepatitis B vaccination</t>
  </si>
  <si>
    <t xml:space="preserve">results point toward the need for improvement in the HBV vaccination coverage among HIV carriers in the southern Brazilian region, in particular focusing on low-income individuals. </t>
  </si>
  <si>
    <t xml:space="preserve">self-administered questionnaire. HIV patients </t>
  </si>
  <si>
    <t xml:space="preserve"> measles SIAs tend to provide a more equal coverage across socioeconomic groups than routine measles immunization programs</t>
  </si>
  <si>
    <t>really cool look at equity by vaccine activity</t>
  </si>
  <si>
    <t>results reported at national leve</t>
  </si>
  <si>
    <t>We can hypothesise that transport costs and opportunity costs are factors behind the lower utilisation rates in rural areas. These two factors deter participation in two ways. Firstly, transport costs have been found to constitute a larger share of patient costs in other health interventions [42]. When the women who access public healthcare incur transport costs, healthcare is no longer free to them. Secondly, the women in the rural area included in this study are expected to fetch firewood and do other work.</t>
  </si>
  <si>
    <t>f inequality in immunisation coverage in favour of the least poor and that the inequality is being driven by urban township sites, to mean that the urban poor use public health services more than their rural counterparts.</t>
  </si>
  <si>
    <t>very detailed in methods but there is morethat could be shown in the results</t>
  </si>
  <si>
    <t>Poor household economic status has a greater absolute level of association with children not fully immunized, followed by mother’s and father’s illiteracy. C</t>
  </si>
  <si>
    <t>focuses specifically on urban children</t>
  </si>
  <si>
    <t>extremely localised and likely overlaps with other studies</t>
  </si>
  <si>
    <t>First, coverage increased in almost all countries and inequalities declined because increases in the poorest wealth quin tiles tended to be faster than they were in the richest wealth quintiles</t>
  </si>
  <si>
    <t>important evaluation of how equity has changed- COMPARE TO THIS IN DISCUSSION</t>
  </si>
  <si>
    <t xml:space="preserve">very high level </t>
  </si>
  <si>
    <t>full vaccination coverage was lower in urban areas, 33.9–57.1%, than in rural areas, 55.2–76.8%</t>
  </si>
  <si>
    <t>examines very specific problem of how to get vaccination up in urban street dwellers and hard-to-reach rural pops</t>
  </si>
  <si>
    <t>for the aims of our study, limited info to extrac</t>
  </si>
  <si>
    <t>By 1997, urban travel times became a bigger barrier to care, wealth and maternal education differentials increased, and relative female immunization decreased.urbanicity are positively associated with immunization us</t>
  </si>
  <si>
    <t>increasing educational attainment from less than primary to primary increases utilization by about 5 percentage points, and increasing from primary to college increases it by another 12 percentage points, which is a large effect on a mean immunization rate of 80%. a government policy to completely subsidize immunization administration fees is estimated to increase utilization 8 percentage points in the same model</t>
  </si>
  <si>
    <t xml:space="preserve">household wealth, mother’s education and urbanicity are positively associated with immunization use while the opportunity costs are the barriers to immunization use; doubling household wealth only increases utilization by 1.1 percentage points. </t>
  </si>
  <si>
    <t>projected the immunisation changes if you varied inputs</t>
  </si>
  <si>
    <t>now probably out of date (data from the 90s). no uncertainty</t>
  </si>
  <si>
    <t>equity gap in BCG immunisation coverage in-country was more than the recommended 20% points or more in Cote d’Ivoire, Guinea, Mali and Nigeria across all equity dimensions except for sex. equity gap in DTP3 was highest and more than 20% points in Guinea, Mali, Niger and Nigeria across all dimensions except for child’s sex</t>
  </si>
  <si>
    <t>Overall, those living in urban areas, those in regions with the highest coverage, those in the wealthiest quintile and those with maternal secondary education or more had lower DTP1 to DTP3 dropouts compared with the other extreme.</t>
  </si>
  <si>
    <t>large scale view of improvements in West Africa</t>
  </si>
  <si>
    <t>national level with overlapping indicators</t>
  </si>
  <si>
    <t>study conducted in rural area, found no significant difference in immunisation by wealth</t>
  </si>
  <si>
    <t>Ethiopia and rural ETH generally understudied</t>
  </si>
  <si>
    <t>limited approach to data and equity indicators, study population all in rural area and less well off- difficult to see equity gradient</t>
  </si>
  <si>
    <t>find that older generations are less likely to be vaccinated</t>
  </si>
  <si>
    <t>positive associations between income and education and vaccination. Marriage status, insure status and income were not found to be significantly associated with vaccination status in this study</t>
  </si>
  <si>
    <t>this looks at migrants (adults) in China- this is fairly unique</t>
  </si>
  <si>
    <t>findings may be fairly unique to study population, compares generations but of course these two groups have different ages so that could be influencing results</t>
  </si>
  <si>
    <t>This study shows that the ranking of households into wealth groups and the magnitude of poor-rich inequality in under-5 mortality and immunisation coverage are sensitive to the measure of economic status used.</t>
  </si>
  <si>
    <t>compares wealth metrics</t>
  </si>
  <si>
    <t>mainly focuses on wealth metrics</t>
  </si>
  <si>
    <t>According to official data from Mozambique’s government (Demographic National Questionnaire 2011), vaccination coverage in rural areas nationwide was 89.9% for BCG, 72.4% for DTP3, 70.9 % for OPV, and 77.7% for measles. Compared to national vaccination coverage in rural areas, the vaccination coverage found in this study is very high.</t>
  </si>
  <si>
    <t>There were no significant differences on vaccination coverage by sex (coverage among males 94.3%; coverage among females 95.7%; p = 0.64). Inequity in vaccination affects illiterate, poor families especially if they have 3 or more children</t>
  </si>
  <si>
    <t>all equal except the different with and without piped water ie. those with piped water were more likely to be vaccinated</t>
  </si>
  <si>
    <t>Study children belong to low-income, uneducated, large families, which make them vulnerable regarding to vaccination coverage. Our data show a different and unexpected situation. The vaccination coverage of the oldest group reflects good immunisation services even 5 years before the survey was done.</t>
  </si>
  <si>
    <t>only study on Mozambique so far</t>
  </si>
  <si>
    <t>all samples taken from poor rural area, small number of samples</t>
  </si>
  <si>
    <t xml:space="preserve"> coverage rate is now signif-icantly higher in rural areas of Beijing (64.1%) compared to urban(33.5%) after the implementation of the free vaccinations policy, amajor disparity which may in part be explained by the different pro-vision methods of primary health care and public health services forthese two different populations. In rural areas, immunology is animportant part of the village doctors’ regular work. These doctorshave closer relationships with their patients, making it convenientfor them to perform health promotion work and personally rec-ommend the receipt of vaccinations. Due to this patient–doctortrust, accurate information is easily accepted by residents. </t>
  </si>
  <si>
    <t>females are less likely to be vac-cinated. This may be due to differences between elderly males andfemales in health status and accessibility of health care services. Females, especially elderly females, alwayshave less chronic diseases and better health status than males.Therefore, females may have lower health care needs naturally andtherefore do not believe they need the influenza vaccination, asthere is a clear relationship between better health and lower healthcare needs</t>
  </si>
  <si>
    <t>examination of flu vaccination in the elderly in a detailed way</t>
  </si>
  <si>
    <t>one area (Beijing) of China so unclear if trends eg rural/urban are representative of country</t>
  </si>
  <si>
    <t>The predictors of up-to-date immunisation for children up to 5 years of age were increasing age, adequate housing and adequate refuse disposa</t>
  </si>
  <si>
    <t>A view on an area in South Africa which is unique</t>
  </si>
  <si>
    <t>large sample collected but could have been analysed in more detail. However, these data have not been linked to demographic, environmental and health data. Moreover, the work in South Africa is limited by lack of data from the most deprived parts of the country such as the Eastern Cape. Further limited by self-reporting</t>
  </si>
  <si>
    <t>uge differences are found across rural–urban migrant statuses. Within the rural children with  migrant status, the coverage of childhood vaccination is lesser as compared to rural children with non-migrant status</t>
  </si>
  <si>
    <t>Overall, the full immunization coverage of children (0–59 months) is  shown higher among migrant children (59%) than  non- migrant (53%) respectively.</t>
  </si>
  <si>
    <t xml:space="preserve">focuses on migrant populations </t>
  </si>
  <si>
    <t>may overlap with other studies</t>
  </si>
  <si>
    <t>discusses the benefits of outreach services but still found that usage dropped in subsequent vaccination andfew finished the whole course</t>
  </si>
  <si>
    <t>view of situation and outreach in Uganda</t>
  </si>
  <si>
    <t>talking about outreach services rather then immunisation</t>
  </si>
  <si>
    <t>The rich–poor ratio and the concentration index in immunization coverage for the country stagnated during 1998–05 compared with 1992–98, but increased in Uttar Pradesh and Maharashtra, indicating a widening of the rich–poor gap in child care services.</t>
  </si>
  <si>
    <t>general view of improvements over time in India</t>
  </si>
  <si>
    <t>will overlap with other studies</t>
  </si>
  <si>
    <t>discusses the correlation between healthcare indicators</t>
  </si>
  <si>
    <t>no information for this analysis</t>
  </si>
  <si>
    <t>SIAs will affect more zero dose children in lower wealth households which will make it look more impactful there</t>
  </si>
  <si>
    <t xml:space="preserve"> Generally, the proportions of zero-dose children reached declines with increasing wealth, with those from the poorest households being more likely to be reached by the SIA than those from the richest households.</t>
  </si>
  <si>
    <t>interesting comparison in terms of vaccine activity</t>
  </si>
  <si>
    <t>usual reporting biases, existing heterogeneity ini coverage is not the study focus</t>
  </si>
  <si>
    <t>The observations presented above suggest that disparity in completion of immunization among children is derived from household, community and health system determinants.</t>
  </si>
  <si>
    <t>Completion of immunization was also more likely in urban households in 1990 and in 2004</t>
  </si>
  <si>
    <t>during the three periods consistently low education of household head reduced the likelihood of child's immunization completion (OR = 0.6; 95% CI: 0.4-0.7) in 1990, in 1996 (OR = 0.5; 95%CI: 0.3-0.7) and (OR = 0.4; 95%CI: 0.3-0.5) in 2005. At the same time likelihood of immunization increased among households with more than two children who were less than five years old</t>
  </si>
  <si>
    <t>There was no significant immunization disparity with wealth quintile in 1990 and 1996 but there was significant disparity in 2004. Earlier DHS data analysis revealed disparities in the gains in immunizations (DPT3) as the richest were more likely to be immunized compared to the poorest[20]. This study found out that wealth was not significantly associated with completion of immunization in 1990 and later in 1996 suggests equity in completion of immunization in that period. The observed equity could have been a result of the EPI vertical strategies increasing access to immunization to all, with the goal to raise immunization coverage to 80% and above[21].</t>
  </si>
  <si>
    <t>In conclusion, contrary to other periods, in 1996 there was no disparity in immunization coverage by any of the social characteristics except for education. Other periods revealed disparity in immunization coverage which was more marked with urban, education, household population and wealth indicators. Thus the analysis supports reports from other studies on health disparities with social characteristics, hence the need to have strategies to address the inequity. That not withstanding, equity prevailing in 1990 and which was more pronounced in 1996 could be a result of vertical nature of EPI which had strategies to reach all vulnerable including outreach services. With integration of EPI and other vertical programmes could have generated efficient implementation of the coverage strategies including outreach.</t>
  </si>
  <si>
    <t xml:space="preserve">Good discussion tying trends in years back to health policy, suggested further action to reduce the observed inequities </t>
  </si>
  <si>
    <t>Limitation to this study was the limited flexibility of the data sets as no possibility of adding extra data to further enrich the analysis raising some questions like; Given the household diversity there could be a need of obtaining data from different data sources in order to be able to make valid comparisons. DHS data sets were retrospective and could be out of date or the time intervals could not have been long enough for detecting trends. Such questions not withstanding, the DHS objectives and methodology included systematic collection of data on each immunization antigen during each period repeatedly in the same enumeration area. In addition the time interval of ten and fifteen years should be long enough for a trend to stabilize. The methodology was very rigorous minimizing data loses, at the same time data was collected from the same census enumeration areas each period thus making study population constant.</t>
  </si>
  <si>
    <t>where the aims stated?</t>
  </si>
  <si>
    <t>appropriate methodology?</t>
  </si>
  <si>
    <t xml:space="preserve">appropriate methodology for aims? </t>
  </si>
  <si>
    <t>appropriate recruitment strategy for aims?</t>
  </si>
  <si>
    <t>Was the data collected in a way that addressed the research issue?</t>
  </si>
  <si>
    <t>relationship between researcher and participants?</t>
  </si>
  <si>
    <t>ethical consideration?</t>
  </si>
  <si>
    <t>rigorous data analysis?</t>
  </si>
  <si>
    <t>clear statement
of findings?</t>
  </si>
  <si>
    <t>value of research</t>
  </si>
  <si>
    <t>aimed to assess regional inequality and vaccine uptake</t>
  </si>
  <si>
    <t>yes</t>
  </si>
  <si>
    <t>used secondary data and considered weather recall bias would affect results when using parents without a vaacine card</t>
  </si>
  <si>
    <t>reseachers were not directly involved in data collection</t>
  </si>
  <si>
    <t>rules for confidentiality and anonymity were followed</t>
  </si>
  <si>
    <t>Used two modles to explain random variations in vaccine rates at an individule level and at a regional level</t>
  </si>
  <si>
    <t>the discussion and results section highlighted the findings. However, table 1 and 2 were unclear. Did not understand what the n number was and could not confidently extract data as a result</t>
  </si>
  <si>
    <t>Explained the link between wealth, maternal education and healthcare in Malawi. Also showed that marital stutus and trust in local healthcare did not affect vaccine coverage</t>
  </si>
  <si>
    <t xml:space="preserve">Examin the relationship between inequality in household wealth and complete childhood immunization in core-North Nigeria. </t>
  </si>
  <si>
    <t>secondary data, Cluster design sampling technique was used for data collection. This involved the use of complete list of enumeration areas (EAs) that were prepared for the last population census exercise in Nigeria which was conducted in 2006. The primary sampling unit was defined on the basis of EAs with each EA constituting a cluster where a fixed sample of 45 households were selected per cluster. Samples were selected using a stratified three-stage cluster design taking into consideration of rural-urban dichotomy of Nigeria. Specifically, a sample of 4079 was used which consisted of 3349 and 730 women from poor and rich households respectively. This meant the sample was representative of core-North Nigeria</t>
  </si>
  <si>
    <t>researchers not involved in data collection</t>
  </si>
  <si>
    <t>not stated</t>
  </si>
  <si>
    <t>yes, explains the use of chi-square and a binary logistics model</t>
  </si>
  <si>
    <t xml:space="preserve">Yes. However, whilst stating that wealth was linked to vaccination, they did not define poor or rich </t>
  </si>
  <si>
    <t>links wealth, maternal age, class, father involvment and relegion to vaccine inequity</t>
  </si>
  <si>
    <t>investigated rural-urban differentials in measles vaccination coverage among young Indonesian children, and sought to identify key factors influencing the probability of a child receiving the first dose of measles vaccination in Indonesia</t>
  </si>
  <si>
    <t>adequate</t>
  </si>
  <si>
    <t xml:space="preserve">marginally lower measles vax rate in rural Indonesia compared to urban, showed association between vax and household wealth, skilled birth attendant, and education </t>
  </si>
  <si>
    <t>assess factors associated with low immunisation coverage of children in indonesia</t>
  </si>
  <si>
    <t>no identifiable information in dataset</t>
  </si>
  <si>
    <t xml:space="preserve">investigated factors associated with routine immunisation coverage from the most recent demographic and health survey in Indonesia </t>
  </si>
  <si>
    <t>Examining changes in maternal and child health inequalities in Ethiopia and look at the reasons for this inequality</t>
  </si>
  <si>
    <t xml:space="preserve">yes, chose particpants based on wealth quintile to see maternal health inequity over time </t>
  </si>
  <si>
    <t>no mention</t>
  </si>
  <si>
    <t>Yes- Used concentration curve and concentration index, which capture inequality across a continuous spectrum of wealth, and what they reveal about the changing pattern of inequality over time and looked at the decomposition of the concentration indexes to see the changing role of various demographic and socioeconomic factors in the observed wealth-based inequality in health services and outcomes.</t>
  </si>
  <si>
    <t>yes- however, particpant size was not stated but thy gave an estimate</t>
  </si>
  <si>
    <t>demonstarted the role of inequity in vaccine coverage overtime in Ethiopia</t>
  </si>
  <si>
    <t>aims to investigating the rural–urban differential in full childhood immunisation in Sub Suharan Africa</t>
  </si>
  <si>
    <t>yes, The DHS survey protocols and procedures are scrutinised and approved by the ethics committee of ORC Macro and partner organisations of participating countries.</t>
  </si>
  <si>
    <t>campaired the urban rural gap in 23 SSA countries and provided extensive data and gave reasons for variations in the data</t>
  </si>
  <si>
    <t>This study assessed the individual- and community-level explanatory factors associated with child immunization differentials between migrant and non-migrant groups.</t>
  </si>
  <si>
    <t>This study is based on analysis of secondary data with all participant identifiers removed. The survey was approved by the National Ethics Committee in the Federal Ministry of Health, Nigeria and the Ethics Committee of the Opinion Research Corporation Macro International, Incorporated (ORC Macro Inc.), Calverton, USA. Informed consent was obtained from the participants prior to participation in the survey, and data collection was done confidentially. Permission to use the DHS data in this study was obtained from ORC Macro Inc.</t>
  </si>
  <si>
    <t>migration and vaccination in Nigeria</t>
  </si>
  <si>
    <t>unclear if researchers involved in data collection</t>
  </si>
  <si>
    <t>yes but difficult to get raw numbers from tables/text which show percentages</t>
  </si>
  <si>
    <t>equity in prenatal care</t>
  </si>
  <si>
    <t>looks at inequalities in vaccination coverage across 45 Gavi-supported countries; findings have helped Gavi refine its equity monitoring strategy.</t>
  </si>
  <si>
    <t>looks at inequalities in vaccination coverage across 45 countries.</t>
  </si>
  <si>
    <t>Did not require ethical approval for secondary data</t>
  </si>
  <si>
    <t>yes, individual and community level analysis</t>
  </si>
  <si>
    <t>shows indicators of inequity in Pakistan and the link between maternal education and vaccination</t>
  </si>
  <si>
    <t>assesses inequalities in full and partial immunization coverage in Nigeria.</t>
  </si>
  <si>
    <t xml:space="preserve">looked at the role of ppi on polio and epi vaccinations </t>
  </si>
  <si>
    <t>looked at the role of NIDs and the EPI on vaccination</t>
  </si>
  <si>
    <t>Assessed vacconation rates from 92 LMICs</t>
  </si>
  <si>
    <t>not required</t>
  </si>
  <si>
    <t>shows the effects of income, birth order, wealth, antinatal care and mother autonomy on vaccination of children in Bangladesh</t>
  </si>
  <si>
    <t>ethics approval</t>
  </si>
  <si>
    <t xml:space="preserve">showed factors affecting vaccination in brazil </t>
  </si>
  <si>
    <t xml:space="preserve">factors that result in vaccine inequity in Bangladesh </t>
  </si>
  <si>
    <t>irst study to investigate the role of socioeconomic inequalities in childhood vaccination in Madagascar</t>
  </si>
  <si>
    <t xml:space="preserve">Heb b vaccine in china </t>
  </si>
  <si>
    <t>showed number of zero dose children in 92 LMICs#</t>
  </si>
  <si>
    <t>ethical approval</t>
  </si>
  <si>
    <t>Showed vaccination coverage and factors contributing to it in Cameroon</t>
  </si>
  <si>
    <t>shows vaccination coverage in urban poor India</t>
  </si>
  <si>
    <t>showed the link between cast and vaccine utilisation</t>
  </si>
  <si>
    <t>looked at the role on SES, maternal charactersitics and child characteristics and its role in vaccine coverage</t>
  </si>
  <si>
    <t>showed factors contributing to vaccine inequity in SSA</t>
  </si>
  <si>
    <t>inquiality in the big six and the MVP1 vaccine</t>
  </si>
  <si>
    <t xml:space="preserve">showed how ses conibuted to urban infant vaccination </t>
  </si>
  <si>
    <t>showed factors contributing to vaccine inequity in Zhejiang, Province</t>
  </si>
  <si>
    <t xml:space="preserve">explained DPT drop out in cambodia </t>
  </si>
  <si>
    <t>aimed to examine both individual- and community-level risk factors of childhood immunization and addressed the relationships with different types of vaccination in Malawi. Specifically, we aimed to compare immunization coverage and trends in relation to the individual- and community-level factors between 2004 and 2010 MDHS.</t>
  </si>
  <si>
    <t>This study expanded on previous studies and assessed socio-economic inequality using five dimensions of inequality; economic status, educational status, place of residence, sex and sub national regions. Furthermore, inequality was assessed using simple, complex, relative and absolute measures. Finally, it filled the gap of evidence in trends of inequality</t>
  </si>
  <si>
    <t>primary data</t>
  </si>
  <si>
    <t>lacking</t>
  </si>
  <si>
    <t>There is still a gap between the national immunization targets and the immunization coverage rates, and data are rarely disaggregated according to socioeconomic status. As a result, there is a dearth of information about the coverage of subgroups, especially at the local level. This study determined the socioeconomic differentials in immunization coverage for children under 5 years and under 1 year in Enugu urban, Southeast Nigeria</t>
  </si>
  <si>
    <t xml:space="preserve">yes </t>
  </si>
  <si>
    <t>This is a light touch review on a broad range of topics but investigated some key metrics</t>
  </si>
  <si>
    <t>specific focus and address an important linkage of SIAs for polio to equity</t>
  </si>
  <si>
    <t>a deep dive into specific data for China</t>
  </si>
  <si>
    <t xml:space="preserve">really great look at the state of inequity in Bangladesh </t>
  </si>
  <si>
    <t>primary and secondary data</t>
  </si>
  <si>
    <t>interesting data, though very geographically focused- only one district</t>
  </si>
  <si>
    <t>good from the perspective of asking what can be done to address inequity</t>
  </si>
  <si>
    <t>found individual-level and community contextual characteristics were independently associated with childhood vaccination status, suggesting that interventions to reduce childhood polio non-vaccination should focus on high-risk groups of people as well high risk places</t>
  </si>
  <si>
    <t>nice snapshot into the reasons for DTP dropout in Cambodia</t>
  </si>
  <si>
    <t xml:space="preserve">presumably </t>
  </si>
  <si>
    <t>valuable for development and implementation oftargeted strategies to improve vaccination coverage among themissed out children who receive other health services. Also,geospatial analysis of vaccination coverage will be beneficial forsubnational  targeting  and  reaching  zero-dose  and  under-immunised children to improve coverage and equity outcomes</t>
  </si>
  <si>
    <t>quantifies spatial accessibility to immunising health facilities and determine its influence on immunisation uptake in Kenya while controlling for potential  equity-related confounders</t>
  </si>
  <si>
    <t>This study provides evidence of persisting socioeconomic disparity in access to full immunisation among children of Indian adolescent mothers in the last one and half decades</t>
  </si>
  <si>
    <t>interesting and contradictory findings</t>
  </si>
  <si>
    <t>there could have been better presentation of the data itself but yes</t>
  </si>
  <si>
    <t>despite a large sample, the findings are sparse</t>
  </si>
  <si>
    <t>could be clearer</t>
  </si>
  <si>
    <t>not mentioned but secondary data</t>
  </si>
  <si>
    <t>a snapshot of the state of immunisation in India before large improvements on hetereogeneity</t>
  </si>
  <si>
    <t>nice comparison between vaccines as well as look at the urban poor</t>
  </si>
  <si>
    <t>focus on survey of elederly and flu vaccines is a nice contrast</t>
  </si>
  <si>
    <t>board scope but nice discussion of the scene in Thailand</t>
  </si>
  <si>
    <t>looking at changes in time- I wonder if other studies have used the same datasets</t>
  </si>
  <si>
    <t>local look at an area with seemingly low coverage</t>
  </si>
  <si>
    <t>not mentioned</t>
  </si>
  <si>
    <t xml:space="preserve">survey team carried out population-based survey </t>
  </si>
  <si>
    <t>shows that mass distribution of ITNs through vaccination campaigns achieves rapid, high and equitable coverage at low cost.</t>
  </si>
  <si>
    <t>questionnaire survey carried out by graduate male and female field workers who were specially recruited and trained for this purpose</t>
  </si>
  <si>
    <t>shows maternal and child health coverage indicators in slums as compared to urban and rural areas</t>
  </si>
  <si>
    <t>this is a great look at how heterogeneity due to one aspect: gender is affected by other characteristics</t>
  </si>
  <si>
    <t>there are focused aims in this paper which are answered  specifically relating to wealth inequity in coverage in pakistan</t>
  </si>
  <si>
    <t xml:space="preserve">this is a good look at Togo which I would say is understudied at least in our search. Sadly it mainly looks at changes over time </t>
  </si>
  <si>
    <t>well contextualisd and mentions non linear relationships between characteristics and imunisation coverage ie, that education may outweight wealth to a certain extent</t>
  </si>
  <si>
    <t>one of the only studies examining Mongolia</t>
  </si>
  <si>
    <t>covers 86 countries- we should compare directly to this</t>
  </si>
  <si>
    <t>wish they had shown their data  more but thorough analysis of the only study in Swaziland</t>
  </si>
  <si>
    <t xml:space="preserve">decomposition of inequity and what drives it </t>
  </si>
  <si>
    <t xml:space="preserve">opposite results to most other studies, in which rural areas had higher rates of vaccination compared to urban areas </t>
  </si>
  <si>
    <t>identifies the socioeconomic factors which predict immunisation uptake in Ghana whilst assessing whether there is evidence for clustering of vaccination outcomes between siblings and between those inhabiting the same locality</t>
  </si>
  <si>
    <t>assesses the extent of socio-economic inequity in coverage and timeliness of keychildhood immunisations in Ghana</t>
  </si>
  <si>
    <t>Examines inequality in immunization, identify the most vulnerable groups in immunization coverage, and identify the gap in coverage between hard-to-access people and the remainder of the population in Vietnam</t>
  </si>
  <si>
    <t>examined differences in child vaccination rates between Nairobi and Ouagadougou’s informal settlements; investigated whether the identified differences are related to the differences in demographic and socioeconomic composition between the two settings or rather to specific effects related to each of them (such as health policy differences). Haven't seen much research on informal settlements thus far</t>
  </si>
  <si>
    <t>approval metioned</t>
  </si>
  <si>
    <t>Examines reasons for differences in immunisation differences across Nepal and makes policy recommendations to increase childhood immunisation rates</t>
  </si>
  <si>
    <t xml:space="preserve">Given the low vaccination rate in Myanmar, study findings may help EPI program target and better address these demographic groups </t>
  </si>
  <si>
    <t>findings of the present study underscore the need to conduct research aimed at unraveling the contextual determinants of poor childhood vaccination uptake at multiple levels and perspectives</t>
  </si>
  <si>
    <t>investigates compositional and contextual determinants of non-receipt of childhood vaccines in India using multilevel modelling</t>
  </si>
  <si>
    <t>primary (?)</t>
  </si>
  <si>
    <t>only nationwide study to identify factors associated with thevaccination status of children in Lao PDR except 1; suggests that targeted and culturally acceptable sub-group specificmessages, using appropriate means of communication, are necessary[39]. It alsosuggests that fathers may play a role in decision-making as well and that thevaccination status may be improved by providing health education to improvehealth literacy of both mothers and fathers [24,39]. This study highlights thathealth-care workers should clearly provide information on vaccinations, includingthe vaccination schedule.</t>
  </si>
  <si>
    <t>approval mentioned</t>
  </si>
  <si>
    <t>Social norms and practices that value sons over daughters in Bangladesh in treatement and access to medical care also applies to immunisation, leading to unnoticed higher mortality among girls. Study examines sociocultural factors in gender-bias in immunisation coverage</t>
  </si>
  <si>
    <t>primary + secondary data</t>
  </si>
  <si>
    <t xml:space="preserve">minimal </t>
  </si>
  <si>
    <t>Utilizing immunization and health systems literature, analysis of global health databases and the EPI review findings, this paper examines the characteristics of immunization access and outcome inequities, and describes proposed longer-term strategic and operational responses to these problems.</t>
  </si>
  <si>
    <t xml:space="preserve">examines the factors associated with never-vaccinated children (no OPV) and OPV dropouts (missed any one dose of OPV) among children aged 12-23 months using three waves of Demographic and Health Survey data of Pakistan </t>
  </si>
  <si>
    <t>best estimates of subnational MCV1 globally</t>
  </si>
  <si>
    <t>no</t>
  </si>
  <si>
    <t>sadly does not break the health indicators down into components ie immunisation</t>
  </si>
  <si>
    <t>odds ratios! great to compare to</t>
  </si>
  <si>
    <t>ok</t>
  </si>
  <si>
    <t>overlapping with other studies but did do ODDS RATIOS</t>
  </si>
  <si>
    <t>yes but could have gone further</t>
  </si>
  <si>
    <t>there will be overlaps but the number of countries considered makes an interesting study to compare our findings to</t>
  </si>
  <si>
    <t>aimed to explain higher coverage among poor in these countries; has a unique methadology in which a normalized concentration index (Cn) was used to quantify and decompose socioeconomic inequalities in vaccination coverage in each country</t>
  </si>
  <si>
    <t>aimed to provide update about the state of between-country inequality and within-country economic-related inequality in the delivery of three doses of (DTP3)</t>
  </si>
  <si>
    <t>evaluate the progress and variation in infant immunisation coverage by district and region in Afghanistan and to assess the impact of conflict and resource availability on immunisation coverage</t>
  </si>
  <si>
    <t xml:space="preserve">primary data on health facilities </t>
  </si>
  <si>
    <t>examines health system barriers to immunisation in Madagascar through health facility surveys</t>
  </si>
  <si>
    <t>examines particularly HIV+ individuals who are adults</t>
  </si>
  <si>
    <t>great look at how different vaccination activities can help with acces</t>
  </si>
  <si>
    <t>specific analysis on benefits of free healthcare given geogrpahic inequality</t>
  </si>
  <si>
    <t>nice analysis on urban coverage but very local</t>
  </si>
  <si>
    <t>essential reading on how equity has changed</t>
  </si>
  <si>
    <t>collecting data</t>
  </si>
  <si>
    <t>study of benefits of phone reminders for vaccination in hard-to-reach populations</t>
  </si>
  <si>
    <t>projects immunisation change under different scenarios- no uncertainty though</t>
  </si>
  <si>
    <t>large scale view of West Africa which is understudied</t>
  </si>
  <si>
    <t>view of rural ETH</t>
  </si>
  <si>
    <t>fairly unique study on migrants in China</t>
  </si>
  <si>
    <t>mainly about wealth metrics so a bit misleading in this setting</t>
  </si>
  <si>
    <t>Mozambique which is understudied but only a small number of samples from a poor rural area</t>
  </si>
  <si>
    <t>illustrates the issues with adult vaccination which may be entirely separate to child immunisation</t>
  </si>
  <si>
    <t>could be more detailed</t>
  </si>
  <si>
    <t>only study looking at South Africa thusfar</t>
  </si>
  <si>
    <t>focused on migrant populations in India</t>
  </si>
  <si>
    <t>This study examined the factors associated with utilization of outreach immunization services among children age 10–23 months in Hoima District, Uganda.</t>
  </si>
  <si>
    <t>study viewed healthcare improvements across the board</t>
  </si>
  <si>
    <t>viewing other healthcare characteristics as indicators across LMICs</t>
  </si>
  <si>
    <t>interesting study on benefits of SIA across wealth quintiles</t>
  </si>
  <si>
    <t>Decomposes wealth-related inequalities in SBA and measles immunization into their contributing factors for Kenya</t>
  </si>
  <si>
    <t xml:space="preserve">could be more detailed </t>
  </si>
  <si>
    <t>This study determined the trend in immunization coverage, disparities and the influence of other community and household factors among children in Tanzania between 1990 and 2004 and the changes in trends over time</t>
  </si>
  <si>
    <t>who</t>
  </si>
  <si>
    <t>what</t>
  </si>
  <si>
    <t>covidence id</t>
  </si>
  <si>
    <t>status</t>
  </si>
  <si>
    <t>complete on Covidence?</t>
  </si>
  <si>
    <t>reviewer 2 notes</t>
  </si>
  <si>
    <t>check complete</t>
  </si>
  <si>
    <t>In Progress</t>
  </si>
  <si>
    <t>not started</t>
  </si>
  <si>
    <t>Reviewer #2</t>
  </si>
  <si>
    <t>Aims/CASP</t>
  </si>
  <si>
    <t>AIMS/CASP</t>
  </si>
  <si>
    <t>check extraction</t>
  </si>
  <si>
    <t>Is the table clear enough so the extraction is accurate? results also weighted</t>
  </si>
  <si>
    <t>Everyone</t>
  </si>
  <si>
    <t>CASP</t>
  </si>
  <si>
    <t>All</t>
  </si>
  <si>
    <t>tidy the CASP into yes, and other levels so it is easier to automatically assign numeric values to</t>
  </si>
  <si>
    <t>Aims and Objectives</t>
  </si>
  <si>
    <t>Make sure info is in the correct themes</t>
  </si>
  <si>
    <t>Anna-Maria</t>
  </si>
  <si>
    <t>Complete</t>
  </si>
  <si>
    <t xml:space="preserve">Add to extraction/aims </t>
  </si>
  <si>
    <t xml:space="preserve">All </t>
  </si>
  <si>
    <t>Extraction/Aims</t>
  </si>
  <si>
    <t>Aims</t>
  </si>
  <si>
    <t>from Anna: results are weighted, thus survey reports a MEAN vax rate. Confirm it cannot be extracted knowing this</t>
  </si>
  <si>
    <t>agree- cant be extracted</t>
  </si>
  <si>
    <t>from Anna: survey is weighted, does this make sense with the current extraction?</t>
  </si>
  <si>
    <t>I think yes? A lot of the study results will be weighted</t>
  </si>
  <si>
    <t>error in table in gender? see notes in the data extraction tab for this article</t>
  </si>
  <si>
    <t>agree the article has a typo</t>
  </si>
  <si>
    <t>Partially vax exluded from tables. Ok?</t>
  </si>
  <si>
    <t>switched it to fully vaxxed vs not fully vaxxed</t>
  </si>
  <si>
    <t>excluded children w/o vaccines — ok?</t>
  </si>
  <si>
    <t>Extract</t>
  </si>
  <si>
    <t>Add to Extraction</t>
  </si>
  <si>
    <t>KEY to Colour Coding</t>
  </si>
  <si>
    <t xml:space="preserve">Green: Passed completeness check </t>
  </si>
  <si>
    <t xml:space="preserve">Yellow: Requires Review From Secondary Evaluator </t>
  </si>
  <si>
    <t xml:space="preserve">Red: Missing Information </t>
  </si>
  <si>
    <t>Blue: In Progress</t>
  </si>
  <si>
    <t>Dark Green: CASP + Aims appropriate/finalised</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</si>
</sst>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sz val="10.0"/>
      <color rgb="FF000000"/>
      <name val="Arial"/>
    </font>
    <font>
      <color theme="1"/>
      <name val="Arial"/>
    </font>
    <font>
      <color rgb="FF000000"/>
      <name val="Roboto"/>
    </font>
    <font>
      <color rgb="FF000000"/>
      <name val="Arial"/>
    </font>
    <font>
      <sz val="10.0"/>
      <color theme="1"/>
      <name val="Arial"/>
    </font>
    <font>
      <color rgb="FF2A2A2A"/>
      <name val="Roboto"/>
    </font>
    <font>
      <sz val="11.0"/>
      <color rgb="FF000000"/>
      <name val="Inconsolata"/>
    </font>
    <font>
      <sz val="10.0"/>
      <color rgb="FF000000"/>
      <name val="Times New Roman"/>
    </font>
    <font>
      <sz val="9.0"/>
      <color theme="1"/>
      <name val="Arial"/>
    </font>
    <font>
      <sz val="11.0"/>
      <color theme="1"/>
      <name val="Times New Roman"/>
    </font>
    <font>
      <sz val="8.0"/>
      <color theme="1"/>
      <name val="AdvGulliv"/>
    </font>
    <font>
      <sz val="8.0"/>
      <color theme="1"/>
      <name val="Arial"/>
    </font>
    <font>
      <sz val="10.0"/>
      <color rgb="FF333333"/>
      <name val="Georgia"/>
    </font>
    <font>
      <sz val="10.0"/>
      <color theme="1"/>
      <name val="NexusSans"/>
    </font>
    <font>
      <b/>
      <sz val="10.0"/>
      <color theme="1"/>
      <name val="Arial"/>
    </font>
    <font>
      <sz val="10.0"/>
      <color rgb="FF343A40"/>
      <name val="Arial"/>
    </font>
    <font>
      <sz val="10.0"/>
      <color rgb="FF2A2A2A"/>
      <name val="Arial"/>
    </font>
    <font>
      <sz val="10.0"/>
      <color rgb="FF2E2E2E"/>
      <name val="Arial"/>
    </font>
    <font>
      <sz val="10.0"/>
      <color rgb="FF202020"/>
      <name val="Arial"/>
    </font>
    <font>
      <u/>
      <sz val="10.0"/>
      <color rgb="FF202020"/>
    </font>
    <font>
      <sz val="10.0"/>
      <color rgb="FF020C7D"/>
      <name val="Arial"/>
    </font>
    <font>
      <sz val="10.0"/>
      <color rgb="FF333333"/>
      <name val="Arial"/>
    </font>
    <font>
      <sz val="11.0"/>
      <color rgb="FF000000"/>
      <name val="Times"/>
    </font>
    <font>
      <b/>
      <color theme="1"/>
      <name val="Arial"/>
    </font>
  </fonts>
  <fills count="13">
    <fill>
      <patternFill patternType="none"/>
    </fill>
    <fill>
      <patternFill patternType="lightGray"/>
    </fill>
    <fill>
      <patternFill patternType="solid">
        <fgColor rgb="FFCFE2F3"/>
        <bgColor rgb="FFCFE2F3"/>
      </patternFill>
    </fill>
    <fill>
      <patternFill patternType="solid">
        <fgColor rgb="FFCCCCCC"/>
        <bgColor rgb="FFCCCCCC"/>
      </patternFill>
    </fill>
    <fill>
      <patternFill patternType="solid">
        <fgColor rgb="FFD9EAD3"/>
        <bgColor rgb="FFD9EAD3"/>
      </patternFill>
    </fill>
    <fill>
      <patternFill patternType="solid">
        <fgColor rgb="FFFF0000"/>
        <bgColor rgb="FFFF0000"/>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F4CCCC"/>
        <bgColor rgb="FFF4CCCC"/>
      </patternFill>
    </fill>
    <fill>
      <patternFill patternType="solid">
        <fgColor rgb="FFC9DAF8"/>
        <bgColor rgb="FFC9DAF8"/>
      </patternFill>
    </fill>
    <fill>
      <patternFill patternType="solid">
        <fgColor rgb="FFD9D9D9"/>
        <bgColor rgb="FFD9D9D9"/>
      </patternFill>
    </fill>
    <fill>
      <patternFill patternType="solid">
        <fgColor rgb="FF57BB8A"/>
        <bgColor rgb="FF57BB8A"/>
      </patternFill>
    </fill>
  </fills>
  <borders count="1">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1" xfId="0" applyAlignment="1" applyFill="1" applyFont="1" applyNumberFormat="1">
      <alignment horizontal="left" readingOrder="0" shrinkToFit="0" wrapText="1"/>
    </xf>
    <xf borderId="0" fillId="2" fontId="1" numFmtId="1" xfId="0" applyAlignment="1" applyFont="1" applyNumberFormat="1">
      <alignment horizontal="left" readingOrder="0" shrinkToFit="0" wrapText="0"/>
    </xf>
    <xf borderId="0" fillId="0" fontId="2" numFmtId="1" xfId="0" applyAlignment="1" applyFont="1" applyNumberFormat="1">
      <alignment horizontal="left" readingOrder="0" shrinkToFit="0" wrapText="1"/>
    </xf>
    <xf borderId="0" fillId="0" fontId="2" numFmtId="1" xfId="0" applyAlignment="1" applyFont="1" applyNumberFormat="1">
      <alignment horizontal="left" readingOrder="0" shrinkToFit="0" wrapText="0"/>
    </xf>
    <xf borderId="0" fillId="0" fontId="2" numFmtId="1" xfId="0" applyAlignment="1" applyFont="1" applyNumberFormat="1">
      <alignment horizontal="left" shrinkToFit="0" wrapText="1"/>
    </xf>
    <xf borderId="0" fillId="3" fontId="2" numFmtId="1" xfId="0" applyAlignment="1" applyFill="1" applyFont="1" applyNumberFormat="1">
      <alignment horizontal="left" shrinkToFit="0" wrapText="1"/>
    </xf>
    <xf borderId="0" fillId="4" fontId="2" numFmtId="1" xfId="0" applyAlignment="1" applyFill="1" applyFont="1" applyNumberFormat="1">
      <alignment horizontal="left" readingOrder="0" shrinkToFit="0" wrapText="1"/>
    </xf>
    <xf borderId="0" fillId="4" fontId="2" numFmtId="1" xfId="0" applyAlignment="1" applyFont="1" applyNumberFormat="1">
      <alignment horizontal="left" readingOrder="0" shrinkToFit="0" wrapText="0"/>
    </xf>
    <xf borderId="0" fillId="4" fontId="2" numFmtId="1" xfId="0" applyAlignment="1" applyFont="1" applyNumberFormat="1">
      <alignment horizontal="left" shrinkToFit="0" wrapText="1"/>
    </xf>
    <xf borderId="0" fillId="0" fontId="3" numFmtId="1" xfId="0" applyAlignment="1" applyFont="1" applyNumberFormat="1">
      <alignment horizontal="left" readingOrder="0" shrinkToFit="0" wrapText="0"/>
    </xf>
    <xf borderId="0" fillId="0" fontId="3" numFmtId="1" xfId="0" applyAlignment="1" applyFont="1" applyNumberFormat="1">
      <alignment horizontal="left" readingOrder="0"/>
    </xf>
    <xf borderId="0" fillId="0" fontId="2" numFmtId="1" xfId="0" applyAlignment="1" applyFont="1" applyNumberFormat="1">
      <alignment horizontal="left" readingOrder="0"/>
    </xf>
    <xf borderId="0" fillId="0" fontId="4" numFmtId="1" xfId="0" applyAlignment="1" applyFont="1" applyNumberFormat="1">
      <alignment horizontal="left" readingOrder="0"/>
    </xf>
    <xf borderId="0" fillId="0" fontId="2" numFmtId="1" xfId="0" applyAlignment="1" applyFont="1" applyNumberFormat="1">
      <alignment horizontal="left"/>
    </xf>
    <xf borderId="0" fillId="4" fontId="2" numFmtId="1" xfId="0" applyAlignment="1" applyFont="1" applyNumberFormat="1">
      <alignment horizontal="left" readingOrder="0"/>
    </xf>
    <xf borderId="0" fillId="4" fontId="2" numFmtId="1" xfId="0" applyAlignment="1" applyFont="1" applyNumberFormat="1">
      <alignment readingOrder="0"/>
    </xf>
    <xf borderId="0" fillId="5" fontId="2" numFmtId="1" xfId="0" applyAlignment="1" applyFill="1" applyFont="1" applyNumberFormat="1">
      <alignment horizontal="left" shrinkToFit="0" wrapText="1"/>
    </xf>
    <xf borderId="0" fillId="0" fontId="5" numFmtId="1" xfId="0" applyAlignment="1" applyFont="1" applyNumberFormat="1">
      <alignment readingOrder="0" shrinkToFit="0" wrapText="1"/>
    </xf>
    <xf borderId="0" fillId="4" fontId="6" numFmtId="1" xfId="0" applyAlignment="1" applyFont="1" applyNumberFormat="1">
      <alignment readingOrder="0"/>
    </xf>
    <xf borderId="0" fillId="0" fontId="2" numFmtId="1" xfId="0" applyFont="1" applyNumberFormat="1"/>
    <xf borderId="0" fillId="0" fontId="6" numFmtId="1" xfId="0" applyAlignment="1" applyFont="1" applyNumberFormat="1">
      <alignment readingOrder="0"/>
    </xf>
    <xf borderId="0" fillId="0" fontId="2" numFmtId="1" xfId="0" applyAlignment="1" applyFont="1" applyNumberFormat="1">
      <alignment horizontal="left" shrinkToFit="0" wrapText="0"/>
    </xf>
    <xf borderId="0" fillId="6" fontId="2" numFmtId="1" xfId="0" applyAlignment="1" applyFill="1" applyFont="1" applyNumberFormat="1">
      <alignment horizontal="left" readingOrder="0" shrinkToFit="0" wrapText="1"/>
    </xf>
    <xf borderId="0" fillId="6" fontId="2" numFmtId="1" xfId="0" applyAlignment="1" applyFont="1" applyNumberFormat="1">
      <alignment horizontal="left" readingOrder="0" shrinkToFit="0" wrapText="0"/>
    </xf>
    <xf borderId="0" fillId="6" fontId="2" numFmtId="1" xfId="0" applyAlignment="1" applyFont="1" applyNumberFormat="1">
      <alignment horizontal="left" shrinkToFit="0" wrapText="1"/>
    </xf>
    <xf borderId="0" fillId="7" fontId="2" numFmtId="1" xfId="0" applyAlignment="1" applyFill="1" applyFont="1" applyNumberFormat="1">
      <alignment horizontal="left" readingOrder="0" shrinkToFit="0" wrapText="1"/>
    </xf>
    <xf borderId="0" fillId="7" fontId="2" numFmtId="1" xfId="0" applyAlignment="1" applyFont="1" applyNumberFormat="1">
      <alignment horizontal="left" readingOrder="0" shrinkToFit="0" wrapText="0"/>
    </xf>
    <xf borderId="0" fillId="7" fontId="2" numFmtId="1" xfId="0" applyAlignment="1" applyFont="1" applyNumberFormat="1">
      <alignment horizontal="left" shrinkToFit="0" wrapText="1"/>
    </xf>
    <xf borderId="0" fillId="7" fontId="2" numFmtId="1" xfId="0" applyFont="1" applyNumberFormat="1"/>
    <xf borderId="0" fillId="0" fontId="2" numFmtId="1" xfId="0" applyAlignment="1" applyFont="1" applyNumberFormat="1">
      <alignment readingOrder="0"/>
    </xf>
    <xf borderId="0" fillId="4" fontId="2" numFmtId="1" xfId="0" applyAlignment="1" applyFont="1" applyNumberFormat="1">
      <alignment readingOrder="0" shrinkToFit="0" wrapText="1"/>
    </xf>
    <xf borderId="0" fillId="4" fontId="7" numFmtId="1" xfId="0" applyAlignment="1" applyFont="1" applyNumberFormat="1">
      <alignment horizontal="left" readingOrder="0"/>
    </xf>
    <xf borderId="0" fillId="4" fontId="2" numFmtId="1" xfId="0" applyAlignment="1" applyFont="1" applyNumberFormat="1">
      <alignment readingOrder="0" shrinkToFit="0" wrapText="0"/>
    </xf>
    <xf borderId="0" fillId="4" fontId="2" numFmtId="1" xfId="0" applyAlignment="1" applyFont="1" applyNumberFormat="1">
      <alignment horizontal="left" readingOrder="0" shrinkToFit="0" wrapText="0"/>
    </xf>
    <xf borderId="0" fillId="4" fontId="2" numFmtId="1" xfId="0" applyFont="1" applyNumberFormat="1"/>
    <xf borderId="0" fillId="4" fontId="8" numFmtId="1" xfId="0" applyAlignment="1" applyFont="1" applyNumberFormat="1">
      <alignment readingOrder="0" shrinkToFit="0" wrapText="1"/>
    </xf>
    <xf borderId="0" fillId="4" fontId="9" numFmtId="1" xfId="0" applyAlignment="1" applyFont="1" applyNumberFormat="1">
      <alignment horizontal="left" readingOrder="0" shrinkToFit="0" wrapText="1"/>
    </xf>
    <xf borderId="0" fillId="4" fontId="10" numFmtId="1" xfId="0" applyAlignment="1" applyFont="1" applyNumberFormat="1">
      <alignment readingOrder="0"/>
    </xf>
    <xf borderId="0" fillId="4" fontId="11" numFmtId="1" xfId="0" applyAlignment="1" applyFont="1" applyNumberFormat="1">
      <alignment readingOrder="0" shrinkToFit="0" wrapText="1"/>
    </xf>
    <xf borderId="0" fillId="4" fontId="5" numFmtId="1" xfId="0" applyAlignment="1" applyFont="1" applyNumberFormat="1">
      <alignment readingOrder="0"/>
    </xf>
    <xf borderId="0" fillId="4" fontId="12" numFmtId="1" xfId="0" applyAlignment="1" applyFont="1" applyNumberFormat="1">
      <alignment readingOrder="0"/>
    </xf>
    <xf borderId="0" fillId="4" fontId="4" numFmtId="1" xfId="0" applyAlignment="1" applyFont="1" applyNumberFormat="1">
      <alignment horizontal="left" readingOrder="0"/>
    </xf>
    <xf borderId="0" fillId="4" fontId="13" numFmtId="1" xfId="0" applyAlignment="1" applyFont="1" applyNumberFormat="1">
      <alignment readingOrder="0"/>
    </xf>
    <xf borderId="0" fillId="4" fontId="14" numFmtId="1" xfId="0" applyAlignment="1" applyFont="1" applyNumberFormat="1">
      <alignment readingOrder="0"/>
    </xf>
    <xf borderId="0" fillId="0" fontId="5" numFmtId="1" xfId="0" applyAlignment="1" applyFont="1" applyNumberFormat="1">
      <alignment readingOrder="0" shrinkToFit="0" vertical="bottom" wrapText="0"/>
    </xf>
    <xf borderId="0" fillId="0" fontId="2" numFmtId="49" xfId="0" applyAlignment="1" applyFont="1" applyNumberFormat="1">
      <alignment horizontal="left" shrinkToFit="0" wrapText="1"/>
    </xf>
    <xf borderId="0" fillId="0" fontId="2" numFmtId="49" xfId="0" applyAlignment="1" applyFont="1" applyNumberFormat="1">
      <alignment horizontal="left" shrinkToFit="0" wrapText="0"/>
    </xf>
    <xf borderId="0" fillId="2" fontId="15" numFmtId="0" xfId="0" applyAlignment="1" applyFont="1">
      <alignment readingOrder="0" shrinkToFit="0" vertical="bottom" wrapText="1"/>
    </xf>
    <xf borderId="0" fillId="2" fontId="15" numFmtId="0" xfId="0" applyAlignment="1" applyFont="1">
      <alignment shrinkToFit="0" vertical="bottom" wrapText="1"/>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16" numFmtId="0" xfId="0" applyAlignment="1" applyFont="1">
      <alignment readingOrder="0" shrinkToFit="0" vertical="bottom" wrapText="0"/>
    </xf>
    <xf borderId="0" fillId="4" fontId="5" numFmtId="0" xfId="0" applyAlignment="1" applyFont="1">
      <alignment readingOrder="0" shrinkToFit="0" vertical="bottom" wrapText="0"/>
    </xf>
    <xf borderId="0" fillId="4" fontId="16" numFmtId="0" xfId="0" applyAlignment="1" applyFont="1">
      <alignment readingOrder="0" shrinkToFit="0" vertical="bottom" wrapText="0"/>
    </xf>
    <xf borderId="0" fillId="4" fontId="0" numFmtId="0" xfId="0" applyAlignment="1" applyFont="1">
      <alignment readingOrder="0" shrinkToFit="0" vertical="bottom" wrapText="0"/>
    </xf>
    <xf borderId="0" fillId="4" fontId="5" numFmtId="0" xfId="0" applyAlignment="1" applyFont="1">
      <alignment shrinkToFit="0" vertical="bottom" wrapText="0"/>
    </xf>
    <xf borderId="0" fillId="8" fontId="0" numFmtId="0" xfId="0" applyAlignment="1" applyFill="1" applyFont="1">
      <alignment horizontal="left" readingOrder="0" shrinkToFit="0" wrapText="0"/>
    </xf>
    <xf borderId="0" fillId="0" fontId="5" numFmtId="0" xfId="0" applyAlignment="1" applyFont="1">
      <alignment readingOrder="0" shrinkToFit="0" vertical="bottom" wrapText="0"/>
    </xf>
    <xf borderId="0" fillId="0" fontId="17" numFmtId="0" xfId="0" applyAlignment="1" applyFont="1">
      <alignment readingOrder="0" shrinkToFit="0" vertical="bottom" wrapText="0"/>
    </xf>
    <xf borderId="0" fillId="0" fontId="0" numFmtId="0" xfId="0" applyAlignment="1" applyFont="1">
      <alignment readingOrder="0" shrinkToFit="0" vertical="bottom" wrapText="0"/>
    </xf>
    <xf borderId="0" fillId="9" fontId="5" numFmtId="0" xfId="0" applyAlignment="1" applyFill="1" applyFont="1">
      <alignment readingOrder="0" shrinkToFit="0" vertical="bottom" wrapText="0"/>
    </xf>
    <xf borderId="0" fillId="9" fontId="0" numFmtId="0" xfId="0" applyAlignment="1" applyFont="1">
      <alignment readingOrder="0" shrinkToFit="0" vertical="bottom" wrapText="0"/>
    </xf>
    <xf borderId="0" fillId="9" fontId="5" numFmtId="0" xfId="0" applyAlignment="1" applyFont="1">
      <alignment shrinkToFit="0" vertical="bottom" wrapText="0"/>
    </xf>
    <xf borderId="0" fillId="4" fontId="5" numFmtId="0" xfId="0" applyAlignment="1" applyFont="1">
      <alignment readingOrder="0" shrinkToFit="0" vertical="bottom" wrapText="0"/>
    </xf>
    <xf borderId="0" fillId="4" fontId="5" numFmtId="0" xfId="0" applyAlignment="1" applyFont="1">
      <alignment horizontal="left" readingOrder="0" shrinkToFit="0" vertical="bottom" wrapText="0"/>
    </xf>
    <xf borderId="0" fillId="4" fontId="17" numFmtId="0" xfId="0" applyAlignment="1" applyFont="1">
      <alignment readingOrder="0" shrinkToFit="0" vertical="bottom" wrapText="0"/>
    </xf>
    <xf borderId="0" fillId="4" fontId="5" numFmtId="0" xfId="0" applyAlignment="1" applyFont="1">
      <alignment horizontal="right" shrinkToFit="0" vertical="bottom" wrapText="0"/>
    </xf>
    <xf borderId="0" fillId="4" fontId="5" numFmtId="49" xfId="0" applyAlignment="1" applyFont="1" applyNumberFormat="1">
      <alignment horizontal="right" readingOrder="0" shrinkToFit="0" vertical="bottom" wrapText="0"/>
    </xf>
    <xf borderId="0" fillId="0" fontId="18" numFmtId="0" xfId="0" applyAlignment="1" applyFont="1">
      <alignment readingOrder="0" shrinkToFit="0" vertical="bottom" wrapText="0"/>
    </xf>
    <xf borderId="0" fillId="0" fontId="5" numFmtId="49" xfId="0" applyAlignment="1" applyFont="1" applyNumberFormat="1">
      <alignment horizontal="left" readingOrder="0" shrinkToFit="0" vertical="bottom" wrapText="0"/>
    </xf>
    <xf borderId="0" fillId="0" fontId="19" numFmtId="0" xfId="0" applyAlignment="1" applyFont="1">
      <alignment readingOrder="0" shrinkToFit="0" vertical="bottom" wrapText="0"/>
    </xf>
    <xf borderId="0" fillId="0" fontId="20" numFmtId="0" xfId="0" applyAlignment="1" applyFont="1">
      <alignment readingOrder="0" shrinkToFit="0" vertical="bottom" wrapText="0"/>
    </xf>
    <xf borderId="0" fillId="4" fontId="18" numFmtId="0" xfId="0" applyAlignment="1" applyFont="1">
      <alignment readingOrder="0" shrinkToFit="0" wrapText="0"/>
    </xf>
    <xf borderId="0" fillId="4" fontId="0" numFmtId="0" xfId="0" applyAlignment="1" applyFont="1">
      <alignment readingOrder="0" shrinkToFit="0" wrapText="0"/>
    </xf>
    <xf borderId="0" fillId="4" fontId="18" numFmtId="0" xfId="0" applyAlignment="1" applyFont="1">
      <alignment horizontal="left" readingOrder="0" shrinkToFit="0" wrapText="0"/>
    </xf>
    <xf borderId="0" fillId="4" fontId="5" numFmtId="0" xfId="0" applyAlignment="1" applyFont="1">
      <alignment readingOrder="0" shrinkToFit="0" wrapText="0"/>
    </xf>
    <xf borderId="0" fillId="4" fontId="21" numFmtId="0" xfId="0" applyAlignment="1" applyFont="1">
      <alignment readingOrder="0" shrinkToFit="0" wrapText="0"/>
    </xf>
    <xf borderId="0" fillId="4" fontId="17" numFmtId="0" xfId="0" applyAlignment="1" applyFont="1">
      <alignment readingOrder="0" shrinkToFit="0" wrapText="0"/>
    </xf>
    <xf borderId="0" fillId="4" fontId="5" numFmtId="49" xfId="0" applyAlignment="1" applyFont="1" applyNumberFormat="1">
      <alignment horizontal="left" readingOrder="0" shrinkToFit="0" wrapText="0"/>
    </xf>
    <xf borderId="0" fillId="0" fontId="5" numFmtId="0" xfId="0" applyAlignment="1" applyFont="1">
      <alignment readingOrder="0" shrinkToFit="0" wrapText="0"/>
    </xf>
    <xf borderId="0" fillId="0" fontId="17" numFmtId="0" xfId="0" applyAlignment="1" applyFont="1">
      <alignment readingOrder="0" shrinkToFit="0" wrapText="0"/>
    </xf>
    <xf borderId="0" fillId="4" fontId="22" numFmtId="0" xfId="0" applyAlignment="1" applyFont="1">
      <alignment readingOrder="0" shrinkToFit="0" wrapText="0"/>
    </xf>
    <xf borderId="0" fillId="2" fontId="15" numFmtId="0" xfId="0" applyAlignment="1" applyFont="1">
      <alignment readingOrder="0" shrinkToFit="0" wrapText="0"/>
    </xf>
    <xf borderId="0" fillId="2" fontId="15" numFmtId="0" xfId="0" applyAlignment="1" applyFont="1">
      <alignment readingOrder="0" shrinkToFit="0" wrapText="1"/>
    </xf>
    <xf borderId="0" fillId="2" fontId="15" numFmtId="0" xfId="0" applyAlignment="1" applyFont="1">
      <alignment shrinkToFit="0" wrapText="0"/>
    </xf>
    <xf borderId="0" fillId="0" fontId="5" numFmtId="0" xfId="0" applyAlignment="1" applyFont="1">
      <alignment shrinkToFit="0" wrapText="0"/>
    </xf>
    <xf borderId="0" fillId="4" fontId="16" numFmtId="0" xfId="0" applyAlignment="1" applyFont="1">
      <alignment readingOrder="0" shrinkToFit="0" wrapText="0"/>
    </xf>
    <xf borderId="0" fillId="4" fontId="5" numFmtId="0" xfId="0" applyAlignment="1" applyFont="1">
      <alignment shrinkToFit="0" wrapText="0"/>
    </xf>
    <xf borderId="0" fillId="0" fontId="2" numFmtId="0" xfId="0" applyAlignment="1" applyFont="1">
      <alignment readingOrder="0" shrinkToFit="0" wrapText="1"/>
    </xf>
    <xf borderId="0" fillId="9" fontId="5" numFmtId="0" xfId="0" applyAlignment="1" applyFont="1">
      <alignment readingOrder="0" shrinkToFit="0" wrapText="0"/>
    </xf>
    <xf borderId="0" fillId="9" fontId="5" numFmtId="0" xfId="0" applyAlignment="1" applyFont="1">
      <alignment shrinkToFit="0" wrapText="0"/>
    </xf>
    <xf borderId="0" fillId="8" fontId="6" numFmtId="0" xfId="0" applyAlignment="1" applyFont="1">
      <alignment readingOrder="0" vertical="top"/>
    </xf>
    <xf borderId="0" fillId="5" fontId="5" numFmtId="0" xfId="0" applyAlignment="1" applyFont="1">
      <alignment shrinkToFit="0" wrapText="0"/>
    </xf>
    <xf borderId="0" fillId="0" fontId="2" numFmtId="0" xfId="0" applyAlignment="1" applyFont="1">
      <alignment readingOrder="0"/>
    </xf>
    <xf borderId="0" fillId="4" fontId="5" numFmtId="0" xfId="0" applyAlignment="1" applyFont="1">
      <alignment readingOrder="0" shrinkToFit="0" wrapText="0"/>
    </xf>
    <xf borderId="0" fillId="4" fontId="2" numFmtId="0" xfId="0" applyAlignment="1" applyFont="1">
      <alignment readingOrder="0" shrinkToFit="0" wrapText="0"/>
    </xf>
    <xf borderId="0" fillId="4" fontId="23" numFmtId="0" xfId="0" applyAlignment="1" applyFont="1">
      <alignment readingOrder="0" shrinkToFit="0" wrapText="0"/>
    </xf>
    <xf borderId="0" fillId="0" fontId="5" numFmtId="0" xfId="0" applyAlignment="1" applyFont="1">
      <alignment readingOrder="0" shrinkToFit="0" wrapText="0"/>
    </xf>
    <xf borderId="0" fillId="2" fontId="24" numFmtId="0" xfId="0" applyAlignment="1" applyFont="1">
      <alignment readingOrder="0"/>
    </xf>
    <xf borderId="0" fillId="2" fontId="24" numFmtId="0" xfId="0" applyAlignment="1" applyFont="1">
      <alignment readingOrder="0" shrinkToFit="0" wrapText="1"/>
    </xf>
    <xf borderId="0" fillId="2" fontId="24" numFmtId="0" xfId="0" applyFont="1"/>
    <xf borderId="0" fillId="10" fontId="2" numFmtId="0" xfId="0" applyAlignment="1" applyFill="1" applyFont="1">
      <alignment readingOrder="0"/>
    </xf>
    <xf borderId="0" fillId="10" fontId="2" numFmtId="0" xfId="0" applyFont="1"/>
    <xf borderId="0" fillId="6" fontId="2" numFmtId="0" xfId="0" applyAlignment="1" applyFont="1">
      <alignment readingOrder="0"/>
    </xf>
    <xf borderId="0" fillId="6" fontId="2" numFmtId="0" xfId="0" applyFont="1"/>
    <xf borderId="0" fillId="0" fontId="2" numFmtId="0" xfId="0" applyAlignment="1" applyFont="1">
      <alignment horizontal="right" readingOrder="0"/>
    </xf>
    <xf borderId="0" fillId="4" fontId="2" numFmtId="0" xfId="0" applyAlignment="1" applyFont="1">
      <alignment readingOrder="0"/>
    </xf>
    <xf borderId="0" fillId="4" fontId="2" numFmtId="0" xfId="0" applyFont="1"/>
    <xf borderId="0" fillId="4" fontId="2" numFmtId="0" xfId="0" applyAlignment="1" applyFont="1">
      <alignment vertical="bottom"/>
    </xf>
    <xf borderId="0" fillId="4" fontId="2" numFmtId="0" xfId="0" applyAlignment="1" applyFont="1">
      <alignment horizontal="right" vertical="bottom"/>
    </xf>
    <xf borderId="0" fillId="11" fontId="24" numFmtId="0" xfId="0" applyAlignment="1" applyFill="1" applyFont="1">
      <alignment readingOrder="0"/>
    </xf>
    <xf borderId="0" fillId="9" fontId="2" numFmtId="0" xfId="0" applyAlignment="1" applyFont="1">
      <alignment readingOrder="0"/>
    </xf>
    <xf borderId="0" fillId="12" fontId="2"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journals.plos.org/plosone/article?id=10.1371/journal.pone.010459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14"/>
    <col customWidth="1" min="2" max="2" width="10.86"/>
    <col customWidth="1" min="3" max="3" width="19.71"/>
    <col customWidth="1" min="4" max="4" width="27.57"/>
    <col customWidth="1" min="5" max="5" width="16.14"/>
    <col customWidth="1" min="6" max="6" width="33.29"/>
    <col customWidth="1" min="7" max="7" width="14.0"/>
    <col customWidth="1" min="8" max="8" width="13.57"/>
    <col customWidth="1" min="9" max="9" width="19.43"/>
    <col customWidth="1" min="10" max="10" width="14.29"/>
    <col customWidth="1" min="11" max="11" width="13.29"/>
    <col customWidth="1" min="12" max="12" width="12.29"/>
    <col customWidth="1" min="13" max="13" width="11.0"/>
    <col customWidth="1" min="14" max="14" width="13.29"/>
    <col customWidth="1" min="15" max="15" width="11.0"/>
    <col customWidth="1" min="16" max="16" width="13.29"/>
    <col customWidth="1" min="17" max="17" width="11.0"/>
    <col customWidth="1" min="18" max="18" width="13.29"/>
    <col customWidth="1" min="19" max="19" width="11.0"/>
    <col customWidth="1" min="20" max="20" width="13.29"/>
    <col customWidth="1" min="21" max="25" width="14.43"/>
    <col customWidth="1" min="26" max="28" width="14.29"/>
    <col customWidth="1" min="29" max="30" width="14.43"/>
    <col customWidth="1" min="31" max="31" width="14.29"/>
    <col customWidth="1" min="32" max="32" width="14.43"/>
    <col customWidth="1" min="33" max="34" width="8.14"/>
    <col customWidth="1" min="35" max="36" width="10.43"/>
    <col customWidth="1" min="37" max="37" width="86.57"/>
    <col customWidth="1" min="38" max="38" width="51.57"/>
  </cols>
  <sheetData>
    <row r="1">
      <c r="A1" s="1" t="s">
        <v>0</v>
      </c>
      <c r="B1" s="1" t="s">
        <v>1</v>
      </c>
      <c r="C1" s="2"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c r="A2" s="3" t="s">
        <v>38</v>
      </c>
      <c r="B2" s="3" t="s">
        <v>39</v>
      </c>
      <c r="C2" s="4" t="s">
        <v>40</v>
      </c>
      <c r="D2" s="4" t="s">
        <v>41</v>
      </c>
      <c r="E2" s="4" t="s">
        <v>42</v>
      </c>
      <c r="F2" s="3" t="s">
        <v>43</v>
      </c>
      <c r="G2" s="5"/>
      <c r="H2" s="5"/>
      <c r="I2" s="3"/>
      <c r="J2" s="3" t="s">
        <v>44</v>
      </c>
      <c r="K2" s="3" t="s">
        <v>45</v>
      </c>
      <c r="L2" s="3" t="s">
        <v>46</v>
      </c>
      <c r="M2" s="3">
        <f>0.33*8047</f>
        <v>2655.51</v>
      </c>
      <c r="N2" s="3">
        <f>8047-M2</f>
        <v>5391.49</v>
      </c>
      <c r="O2" s="5">
        <f>0.33*8035</f>
        <v>2651.55</v>
      </c>
      <c r="P2" s="5">
        <f>8035-O2</f>
        <v>5383.45</v>
      </c>
      <c r="Q2" s="6"/>
      <c r="R2" s="6"/>
      <c r="S2" s="6"/>
      <c r="T2" s="6"/>
      <c r="U2" s="5">
        <f>0.36*1661</f>
        <v>597.96</v>
      </c>
      <c r="V2" s="5">
        <f>1661-U2</f>
        <v>1063.04</v>
      </c>
      <c r="W2" s="5">
        <f>0.29*4762</f>
        <v>1380.98</v>
      </c>
      <c r="X2" s="5">
        <f>4762-W2</f>
        <v>3381.02</v>
      </c>
      <c r="Y2" s="5">
        <f>0.35*4297</f>
        <v>1503.95</v>
      </c>
      <c r="Z2" s="5">
        <f>4297-Y2</f>
        <v>2793.05</v>
      </c>
      <c r="AA2" s="5">
        <f>0.32*11756</f>
        <v>3761.92</v>
      </c>
      <c r="AB2" s="3">
        <f>11756-AA2</f>
        <v>7994.08</v>
      </c>
      <c r="AC2" s="5"/>
      <c r="AD2" s="5"/>
      <c r="AE2" s="5"/>
      <c r="AF2" s="5"/>
      <c r="AG2" s="5">
        <f>0.33*12780+0.3*1062</f>
        <v>4536</v>
      </c>
      <c r="AH2" s="3">
        <f>12780+1062-AG2</f>
        <v>9306</v>
      </c>
      <c r="AI2" s="5">
        <f>0.33*404+0.32*675+0.33*759+0.32*410</f>
        <v>730.99</v>
      </c>
      <c r="AJ2" s="5">
        <f>404+675+759+410-AI2</f>
        <v>1517.01</v>
      </c>
      <c r="AK2" s="3" t="s">
        <v>47</v>
      </c>
      <c r="AL2" s="5"/>
    </row>
    <row r="3">
      <c r="A3" s="3" t="s">
        <v>48</v>
      </c>
      <c r="B3" s="3" t="s">
        <v>49</v>
      </c>
      <c r="C3" s="4" t="s">
        <v>50</v>
      </c>
      <c r="D3" s="4" t="s">
        <v>51</v>
      </c>
      <c r="E3" s="4" t="s">
        <v>52</v>
      </c>
      <c r="F3" s="3" t="s">
        <v>43</v>
      </c>
      <c r="G3" s="3" t="s">
        <v>53</v>
      </c>
      <c r="H3" s="3" t="s">
        <v>54</v>
      </c>
      <c r="I3" s="3"/>
      <c r="J3" s="3" t="s">
        <v>55</v>
      </c>
      <c r="K3" s="3" t="s">
        <v>56</v>
      </c>
      <c r="L3" s="3" t="s">
        <v>57</v>
      </c>
      <c r="M3" s="5"/>
      <c r="N3" s="5"/>
      <c r="O3" s="5"/>
      <c r="P3" s="5"/>
      <c r="Q3" s="5"/>
      <c r="R3" s="5"/>
      <c r="S3" s="5"/>
      <c r="T3" s="5"/>
      <c r="U3" s="3"/>
      <c r="V3" s="3" t="s">
        <v>58</v>
      </c>
      <c r="W3" s="3"/>
      <c r="X3" s="3" t="s">
        <v>59</v>
      </c>
      <c r="Y3" s="3" t="s">
        <v>60</v>
      </c>
      <c r="Z3" s="3"/>
      <c r="AA3" s="3" t="s">
        <v>61</v>
      </c>
      <c r="AB3" s="3"/>
      <c r="AC3" s="3"/>
      <c r="AD3" s="3"/>
      <c r="AE3" s="5"/>
      <c r="AF3" s="5"/>
      <c r="AG3" s="5"/>
      <c r="AH3" s="5"/>
      <c r="AI3" s="5"/>
      <c r="AJ3" s="5"/>
      <c r="AK3" s="3" t="s">
        <v>47</v>
      </c>
      <c r="AL3" s="3" t="s">
        <v>62</v>
      </c>
    </row>
    <row r="4">
      <c r="A4" s="7" t="s">
        <v>63</v>
      </c>
      <c r="B4" s="7" t="s">
        <v>64</v>
      </c>
      <c r="C4" s="8" t="s">
        <v>40</v>
      </c>
      <c r="D4" s="8" t="s">
        <v>65</v>
      </c>
      <c r="E4" s="8" t="s">
        <v>66</v>
      </c>
      <c r="F4" s="7" t="s">
        <v>67</v>
      </c>
      <c r="G4" s="7" t="s">
        <v>68</v>
      </c>
      <c r="H4" s="7" t="s">
        <v>69</v>
      </c>
      <c r="I4" s="7"/>
      <c r="J4" s="7" t="s">
        <v>70</v>
      </c>
      <c r="K4" s="7" t="s">
        <v>45</v>
      </c>
      <c r="L4" s="7" t="s">
        <v>46</v>
      </c>
      <c r="M4" s="9"/>
      <c r="N4" s="9"/>
      <c r="O4" s="9"/>
      <c r="P4" s="9"/>
      <c r="Q4" s="7"/>
      <c r="R4" s="7" t="s">
        <v>71</v>
      </c>
      <c r="S4" s="7"/>
      <c r="T4" s="7" t="s">
        <v>72</v>
      </c>
      <c r="U4" s="7"/>
      <c r="V4" s="7" t="s">
        <v>73</v>
      </c>
      <c r="W4" s="7"/>
      <c r="X4" s="7" t="s">
        <v>74</v>
      </c>
      <c r="Y4" s="7" t="s">
        <v>75</v>
      </c>
      <c r="Z4" s="7"/>
      <c r="AA4" s="7" t="s">
        <v>76</v>
      </c>
      <c r="AB4" s="7"/>
      <c r="AC4" s="7" t="s">
        <v>77</v>
      </c>
      <c r="AD4" s="7"/>
      <c r="AE4" s="7" t="s">
        <v>78</v>
      </c>
      <c r="AF4" s="7"/>
      <c r="AG4" s="9"/>
      <c r="AH4" s="9"/>
      <c r="AI4" s="9"/>
      <c r="AJ4" s="9"/>
      <c r="AK4" s="7" t="s">
        <v>79</v>
      </c>
      <c r="AL4" s="7" t="s">
        <v>80</v>
      </c>
    </row>
    <row r="5" ht="21.0" customHeight="1">
      <c r="A5" s="7" t="s">
        <v>81</v>
      </c>
      <c r="B5" s="7" t="s">
        <v>82</v>
      </c>
      <c r="C5" s="8" t="s">
        <v>39</v>
      </c>
      <c r="D5" s="8" t="s">
        <v>83</v>
      </c>
      <c r="E5" s="8" t="s">
        <v>84</v>
      </c>
      <c r="F5" s="7" t="s">
        <v>85</v>
      </c>
      <c r="G5" s="7" t="s">
        <v>86</v>
      </c>
      <c r="H5" s="7" t="s">
        <v>87</v>
      </c>
      <c r="I5" s="7" t="s">
        <v>88</v>
      </c>
      <c r="J5" s="7" t="s">
        <v>70</v>
      </c>
      <c r="K5" s="7" t="s">
        <v>56</v>
      </c>
      <c r="L5" s="7" t="s">
        <v>46</v>
      </c>
      <c r="M5" s="7" t="s">
        <v>89</v>
      </c>
      <c r="N5" s="7" t="s">
        <v>90</v>
      </c>
      <c r="O5" s="7" t="s">
        <v>91</v>
      </c>
      <c r="P5" s="7" t="s">
        <v>92</v>
      </c>
      <c r="Q5" s="7"/>
      <c r="R5" s="7" t="s">
        <v>93</v>
      </c>
      <c r="S5" s="7"/>
      <c r="T5" s="7" t="s">
        <v>94</v>
      </c>
      <c r="U5" s="7"/>
      <c r="V5" s="7" t="s">
        <v>95</v>
      </c>
      <c r="W5" s="7"/>
      <c r="X5" s="7" t="s">
        <v>96</v>
      </c>
      <c r="Y5" s="7" t="s">
        <v>97</v>
      </c>
      <c r="Z5" s="7"/>
      <c r="AA5" s="7" t="s">
        <v>98</v>
      </c>
      <c r="AB5" s="7"/>
      <c r="AC5" s="7" t="s">
        <v>99</v>
      </c>
      <c r="AD5" s="7"/>
      <c r="AE5" s="7" t="s">
        <v>100</v>
      </c>
      <c r="AF5" s="7"/>
      <c r="AG5" s="7" t="s">
        <v>101</v>
      </c>
      <c r="AH5" s="7"/>
      <c r="AI5" s="7" t="s">
        <v>102</v>
      </c>
      <c r="AJ5" s="7"/>
      <c r="AK5" s="7" t="s">
        <v>103</v>
      </c>
      <c r="AL5" s="7" t="s">
        <v>104</v>
      </c>
    </row>
    <row r="6" ht="23.25" customHeight="1">
      <c r="A6" s="3" t="s">
        <v>105</v>
      </c>
      <c r="B6" s="3" t="s">
        <v>82</v>
      </c>
      <c r="C6" s="4" t="s">
        <v>106</v>
      </c>
      <c r="D6" s="10" t="s">
        <v>107</v>
      </c>
      <c r="E6" s="4" t="s">
        <v>108</v>
      </c>
      <c r="F6" s="3" t="s">
        <v>43</v>
      </c>
      <c r="G6" s="5"/>
      <c r="H6" s="5"/>
      <c r="I6" s="3"/>
      <c r="J6" s="3" t="s">
        <v>109</v>
      </c>
      <c r="K6" s="3" t="s">
        <v>56</v>
      </c>
      <c r="L6" s="3" t="s">
        <v>57</v>
      </c>
      <c r="M6" s="5"/>
      <c r="N6" s="5"/>
      <c r="O6" s="5"/>
      <c r="P6" s="5"/>
      <c r="Q6" s="5"/>
      <c r="R6" s="5"/>
      <c r="S6" s="5"/>
      <c r="T6" s="5"/>
      <c r="U6" s="5"/>
      <c r="V6" s="5"/>
      <c r="W6" s="5"/>
      <c r="X6" s="5"/>
      <c r="Y6" s="5"/>
      <c r="Z6" s="5"/>
      <c r="AA6" s="5"/>
      <c r="AB6" s="5"/>
      <c r="AC6" s="5"/>
      <c r="AD6" s="5"/>
      <c r="AE6" s="5"/>
      <c r="AF6" s="5"/>
      <c r="AG6" s="5"/>
      <c r="AH6" s="5"/>
      <c r="AI6" s="5"/>
      <c r="AJ6" s="5"/>
      <c r="AK6" s="3" t="s">
        <v>110</v>
      </c>
      <c r="AL6" s="5"/>
    </row>
    <row r="7" ht="15.75" customHeight="1">
      <c r="A7" s="3" t="s">
        <v>111</v>
      </c>
      <c r="B7" s="3" t="s">
        <v>112</v>
      </c>
      <c r="C7" s="4" t="s">
        <v>113</v>
      </c>
      <c r="D7" s="4" t="s">
        <v>114</v>
      </c>
      <c r="E7" s="11" t="s">
        <v>115</v>
      </c>
      <c r="F7" s="3" t="s">
        <v>85</v>
      </c>
      <c r="G7" s="3" t="s">
        <v>116</v>
      </c>
      <c r="H7" s="3" t="s">
        <v>117</v>
      </c>
      <c r="I7" s="3"/>
      <c r="J7" s="3" t="s">
        <v>118</v>
      </c>
      <c r="K7" s="3" t="s">
        <v>56</v>
      </c>
      <c r="L7" s="3" t="s">
        <v>57</v>
      </c>
      <c r="M7" s="3" t="s">
        <v>119</v>
      </c>
      <c r="N7" s="12" t="s">
        <v>120</v>
      </c>
      <c r="O7" s="12" t="s">
        <v>121</v>
      </c>
      <c r="P7" s="3" t="s">
        <v>122</v>
      </c>
      <c r="Q7" s="3"/>
      <c r="R7" s="3" t="s">
        <v>123</v>
      </c>
      <c r="S7" s="3"/>
      <c r="T7" s="3" t="s">
        <v>124</v>
      </c>
      <c r="U7" s="3"/>
      <c r="V7" s="3" t="s">
        <v>125</v>
      </c>
      <c r="W7" s="3"/>
      <c r="X7" s="3" t="s">
        <v>126</v>
      </c>
      <c r="Y7" s="3" t="s">
        <v>127</v>
      </c>
      <c r="Z7" s="3"/>
      <c r="AA7" s="3" t="s">
        <v>128</v>
      </c>
      <c r="AB7" s="3"/>
      <c r="AC7" s="3" t="s">
        <v>129</v>
      </c>
      <c r="AD7" s="3"/>
      <c r="AE7" s="3" t="s">
        <v>130</v>
      </c>
      <c r="AF7" s="3"/>
      <c r="AG7" s="5"/>
      <c r="AH7" s="5"/>
      <c r="AI7" s="5"/>
      <c r="AJ7" s="5"/>
      <c r="AK7" s="3" t="s">
        <v>131</v>
      </c>
      <c r="AL7" s="5"/>
    </row>
    <row r="8">
      <c r="A8" s="3" t="s">
        <v>132</v>
      </c>
      <c r="B8" s="3" t="s">
        <v>133</v>
      </c>
      <c r="C8" s="4" t="s">
        <v>134</v>
      </c>
      <c r="D8" s="4" t="s">
        <v>135</v>
      </c>
      <c r="E8" s="4" t="s">
        <v>136</v>
      </c>
      <c r="F8" s="3" t="s">
        <v>43</v>
      </c>
      <c r="G8" s="3" t="s">
        <v>137</v>
      </c>
      <c r="H8" s="13" t="s">
        <v>138</v>
      </c>
      <c r="I8" s="3"/>
      <c r="J8" s="3" t="s">
        <v>55</v>
      </c>
      <c r="K8" s="3" t="s">
        <v>56</v>
      </c>
      <c r="L8" s="3" t="s">
        <v>56</v>
      </c>
      <c r="M8" s="5"/>
      <c r="N8" s="5"/>
      <c r="O8" s="5"/>
      <c r="P8" s="5"/>
      <c r="Q8" s="3"/>
      <c r="R8" s="3" t="s">
        <v>139</v>
      </c>
      <c r="S8" s="3"/>
      <c r="T8" s="3" t="s">
        <v>140</v>
      </c>
      <c r="U8" s="5"/>
      <c r="V8" s="5"/>
      <c r="W8" s="5"/>
      <c r="X8" s="5"/>
      <c r="Y8" s="5"/>
      <c r="Z8" s="5"/>
      <c r="AA8" s="5"/>
      <c r="AB8" s="5"/>
      <c r="AC8" s="5"/>
      <c r="AD8" s="5"/>
      <c r="AE8" s="5"/>
      <c r="AF8" s="5"/>
      <c r="AG8" s="5"/>
      <c r="AH8" s="5"/>
      <c r="AI8" s="5"/>
      <c r="AJ8" s="5"/>
      <c r="AK8" s="3" t="s">
        <v>141</v>
      </c>
      <c r="AL8" s="5"/>
    </row>
    <row r="9" ht="25.5" customHeight="1">
      <c r="A9" s="7" t="s">
        <v>142</v>
      </c>
      <c r="B9" s="7" t="s">
        <v>82</v>
      </c>
      <c r="C9" s="8" t="s">
        <v>39</v>
      </c>
      <c r="D9" s="8" t="s">
        <v>143</v>
      </c>
      <c r="E9" s="8" t="s">
        <v>144</v>
      </c>
      <c r="F9" s="7" t="s">
        <v>145</v>
      </c>
      <c r="G9" s="7" t="s">
        <v>146</v>
      </c>
      <c r="H9" s="7" t="s">
        <v>147</v>
      </c>
      <c r="I9" s="7" t="s">
        <v>148</v>
      </c>
      <c r="J9" s="7" t="s">
        <v>149</v>
      </c>
      <c r="K9" s="7">
        <f>13/12</f>
        <v>1.083333333</v>
      </c>
      <c r="L9" s="7" t="s">
        <v>150</v>
      </c>
      <c r="M9" s="7" t="s">
        <v>151</v>
      </c>
      <c r="N9" s="7" t="s">
        <v>147</v>
      </c>
      <c r="O9" s="7"/>
      <c r="P9" s="7"/>
      <c r="Q9" s="9"/>
      <c r="R9" s="9"/>
      <c r="S9" s="9"/>
      <c r="T9" s="9"/>
      <c r="U9" s="7" t="s">
        <v>152</v>
      </c>
      <c r="V9" s="7" t="s">
        <v>153</v>
      </c>
      <c r="W9" s="7" t="s">
        <v>154</v>
      </c>
      <c r="X9" s="7" t="s">
        <v>155</v>
      </c>
      <c r="Y9" s="9"/>
      <c r="Z9" s="9"/>
      <c r="AA9" s="7" t="s">
        <v>156</v>
      </c>
      <c r="AB9" s="7" t="s">
        <v>157</v>
      </c>
      <c r="AC9" s="7" t="s">
        <v>158</v>
      </c>
      <c r="AD9" s="7" t="s">
        <v>159</v>
      </c>
      <c r="AE9" s="7" t="s">
        <v>160</v>
      </c>
      <c r="AF9" s="7" t="s">
        <v>161</v>
      </c>
      <c r="AG9" s="9"/>
      <c r="AH9" s="9"/>
      <c r="AI9" s="9"/>
      <c r="AJ9" s="9"/>
      <c r="AK9" s="7" t="s">
        <v>162</v>
      </c>
      <c r="AL9" s="7" t="s">
        <v>163</v>
      </c>
    </row>
    <row r="10" ht="28.5" customHeight="1">
      <c r="A10" s="3" t="s">
        <v>164</v>
      </c>
      <c r="B10" s="3" t="s">
        <v>82</v>
      </c>
      <c r="C10" s="4" t="s">
        <v>165</v>
      </c>
      <c r="D10" s="4" t="s">
        <v>166</v>
      </c>
      <c r="E10" s="4" t="s">
        <v>167</v>
      </c>
      <c r="F10" s="3" t="s">
        <v>168</v>
      </c>
      <c r="G10" s="5"/>
      <c r="H10" s="5"/>
      <c r="I10" s="3"/>
      <c r="J10" s="3" t="s">
        <v>169</v>
      </c>
      <c r="K10" s="3" t="s">
        <v>56</v>
      </c>
      <c r="L10" s="3" t="s">
        <v>57</v>
      </c>
      <c r="M10" s="5"/>
      <c r="N10" s="5"/>
      <c r="O10" s="5"/>
      <c r="P10" s="5"/>
      <c r="Q10" s="5"/>
      <c r="R10" s="5"/>
      <c r="S10" s="5"/>
      <c r="T10" s="5"/>
      <c r="U10" s="5"/>
      <c r="V10" s="5"/>
      <c r="W10" s="5"/>
      <c r="X10" s="5"/>
      <c r="Y10" s="5"/>
      <c r="Z10" s="5"/>
      <c r="AA10" s="5"/>
      <c r="AB10" s="5"/>
      <c r="AC10" s="5"/>
      <c r="AD10" s="5"/>
      <c r="AE10" s="5"/>
      <c r="AF10" s="5"/>
      <c r="AG10" s="5"/>
      <c r="AH10" s="5"/>
      <c r="AI10" s="5"/>
      <c r="AJ10" s="5"/>
      <c r="AK10" s="3" t="s">
        <v>170</v>
      </c>
      <c r="AL10" s="3" t="s">
        <v>171</v>
      </c>
    </row>
    <row r="11" ht="29.25" customHeight="1">
      <c r="A11" s="3" t="s">
        <v>172</v>
      </c>
      <c r="B11" s="3" t="s">
        <v>82</v>
      </c>
      <c r="C11" s="4" t="s">
        <v>165</v>
      </c>
      <c r="D11" s="4" t="s">
        <v>166</v>
      </c>
      <c r="E11" s="4" t="s">
        <v>167</v>
      </c>
      <c r="F11" s="3" t="s">
        <v>173</v>
      </c>
      <c r="G11" s="5"/>
      <c r="H11" s="5"/>
      <c r="I11" s="3"/>
      <c r="J11" s="3" t="s">
        <v>169</v>
      </c>
      <c r="K11" s="3" t="s">
        <v>56</v>
      </c>
      <c r="L11" s="3" t="s">
        <v>57</v>
      </c>
      <c r="M11" s="5"/>
      <c r="N11" s="5"/>
      <c r="O11" s="5"/>
      <c r="P11" s="5"/>
      <c r="Q11" s="5"/>
      <c r="R11" s="5"/>
      <c r="S11" s="5"/>
      <c r="T11" s="5"/>
      <c r="U11" s="5"/>
      <c r="V11" s="5"/>
      <c r="W11" s="5"/>
      <c r="X11" s="5"/>
      <c r="Y11" s="14"/>
      <c r="Z11" s="14"/>
      <c r="AA11" s="5"/>
      <c r="AB11" s="5"/>
      <c r="AC11" s="5"/>
      <c r="AD11" s="5"/>
      <c r="AE11" s="5"/>
      <c r="AF11" s="5"/>
      <c r="AG11" s="5"/>
      <c r="AH11" s="5"/>
      <c r="AI11" s="5"/>
      <c r="AJ11" s="5"/>
      <c r="AK11" s="3" t="s">
        <v>170</v>
      </c>
      <c r="AL11" s="3" t="s">
        <v>174</v>
      </c>
    </row>
    <row r="12" ht="34.5" customHeight="1">
      <c r="A12" s="3" t="s">
        <v>175</v>
      </c>
      <c r="B12" s="3" t="s">
        <v>49</v>
      </c>
      <c r="C12" s="4" t="s">
        <v>176</v>
      </c>
      <c r="D12" s="4" t="s">
        <v>177</v>
      </c>
      <c r="E12" s="4" t="s">
        <v>178</v>
      </c>
      <c r="F12" s="3" t="s">
        <v>179</v>
      </c>
      <c r="G12" s="12" t="s">
        <v>180</v>
      </c>
      <c r="H12" s="3" t="s">
        <v>181</v>
      </c>
      <c r="I12" s="3"/>
      <c r="J12" s="3" t="s">
        <v>182</v>
      </c>
      <c r="K12" s="3" t="s">
        <v>56</v>
      </c>
      <c r="L12" s="3" t="s">
        <v>46</v>
      </c>
      <c r="M12" s="12" t="s">
        <v>183</v>
      </c>
      <c r="N12" s="12" t="s">
        <v>184</v>
      </c>
      <c r="O12" s="12" t="s">
        <v>185</v>
      </c>
      <c r="P12" s="12" t="s">
        <v>186</v>
      </c>
      <c r="Q12" s="12"/>
      <c r="R12" s="12" t="s">
        <v>187</v>
      </c>
      <c r="S12" s="12"/>
      <c r="T12" s="12" t="s">
        <v>188</v>
      </c>
      <c r="U12" s="12"/>
      <c r="V12" s="12" t="s">
        <v>189</v>
      </c>
      <c r="W12" s="12"/>
      <c r="X12" s="12" t="s">
        <v>190</v>
      </c>
      <c r="Y12" s="12" t="s">
        <v>191</v>
      </c>
      <c r="Z12" s="12"/>
      <c r="AA12" s="12" t="s">
        <v>164</v>
      </c>
      <c r="AB12" s="12"/>
      <c r="AC12" s="12" t="s">
        <v>192</v>
      </c>
      <c r="AD12" s="12"/>
      <c r="AE12" s="12" t="s">
        <v>193</v>
      </c>
      <c r="AF12" s="12"/>
      <c r="AG12" s="5"/>
      <c r="AH12" s="5"/>
      <c r="AI12" s="5"/>
      <c r="AJ12" s="5"/>
      <c r="AK12" s="3" t="s">
        <v>194</v>
      </c>
      <c r="AL12" s="5"/>
    </row>
    <row r="13" ht="40.5" customHeight="1">
      <c r="A13" s="3" t="s">
        <v>195</v>
      </c>
      <c r="B13" s="3" t="s">
        <v>196</v>
      </c>
      <c r="C13" s="4" t="s">
        <v>197</v>
      </c>
      <c r="D13" s="4" t="s">
        <v>198</v>
      </c>
      <c r="E13" s="4" t="s">
        <v>199</v>
      </c>
      <c r="F13" s="3" t="s">
        <v>200</v>
      </c>
      <c r="G13" s="3" t="s">
        <v>201</v>
      </c>
      <c r="H13" s="3" t="s">
        <v>137</v>
      </c>
      <c r="I13" s="3"/>
      <c r="J13" s="3" t="s">
        <v>55</v>
      </c>
      <c r="K13" s="3" t="s">
        <v>56</v>
      </c>
      <c r="L13" s="3" t="s">
        <v>46</v>
      </c>
      <c r="M13" s="5"/>
      <c r="N13" s="5"/>
      <c r="O13" s="5"/>
      <c r="P13" s="5"/>
      <c r="Q13" s="3"/>
      <c r="R13" s="3"/>
      <c r="S13" s="3"/>
      <c r="T13" s="3"/>
      <c r="U13" s="3"/>
      <c r="V13" s="3"/>
      <c r="W13" s="3"/>
      <c r="X13" s="3"/>
      <c r="Y13" s="5"/>
      <c r="Z13" s="5"/>
      <c r="AA13" s="5"/>
      <c r="AB13" s="5"/>
      <c r="AC13" s="5"/>
      <c r="AD13" s="5"/>
      <c r="AE13" s="5"/>
      <c r="AF13" s="5"/>
      <c r="AG13" s="5"/>
      <c r="AH13" s="5"/>
      <c r="AI13" s="5"/>
      <c r="AJ13" s="5"/>
      <c r="AK13" s="3" t="s">
        <v>202</v>
      </c>
      <c r="AL13" s="3" t="s">
        <v>203</v>
      </c>
    </row>
    <row r="14">
      <c r="A14" s="3" t="s">
        <v>204</v>
      </c>
      <c r="B14" s="3" t="s">
        <v>205</v>
      </c>
      <c r="C14" s="4" t="s">
        <v>206</v>
      </c>
      <c r="D14" s="4" t="s">
        <v>207</v>
      </c>
      <c r="E14" s="4" t="s">
        <v>208</v>
      </c>
      <c r="F14" s="3" t="s">
        <v>209</v>
      </c>
      <c r="G14" s="5"/>
      <c r="H14" s="5"/>
      <c r="I14" s="3"/>
      <c r="J14" s="3" t="s">
        <v>210</v>
      </c>
      <c r="K14" s="3" t="s">
        <v>56</v>
      </c>
      <c r="L14" s="3" t="s">
        <v>57</v>
      </c>
      <c r="M14" s="5"/>
      <c r="N14" s="5"/>
      <c r="O14" s="5"/>
      <c r="P14" s="5"/>
      <c r="Q14" s="5"/>
      <c r="R14" s="5"/>
      <c r="S14" s="5"/>
      <c r="T14" s="5"/>
      <c r="U14" s="5"/>
      <c r="V14" s="5"/>
      <c r="W14" s="5"/>
      <c r="X14" s="5"/>
      <c r="Y14" s="5"/>
      <c r="Z14" s="5"/>
      <c r="AA14" s="5"/>
      <c r="AB14" s="5"/>
      <c r="AC14" s="5"/>
      <c r="AD14" s="5"/>
      <c r="AE14" s="5"/>
      <c r="AF14" s="5"/>
      <c r="AG14" s="5"/>
      <c r="AH14" s="5"/>
      <c r="AI14" s="5"/>
      <c r="AJ14" s="5"/>
      <c r="AK14" s="3" t="s">
        <v>211</v>
      </c>
      <c r="AL14" s="5"/>
    </row>
    <row r="15">
      <c r="A15" s="3" t="s">
        <v>212</v>
      </c>
      <c r="B15" s="3" t="s">
        <v>134</v>
      </c>
      <c r="C15" s="4" t="s">
        <v>213</v>
      </c>
      <c r="D15" s="4" t="s">
        <v>214</v>
      </c>
      <c r="E15" s="4" t="s">
        <v>215</v>
      </c>
      <c r="F15" s="3" t="s">
        <v>216</v>
      </c>
      <c r="G15" s="5"/>
      <c r="H15" s="5"/>
      <c r="I15" s="3"/>
      <c r="J15" s="3" t="s">
        <v>217</v>
      </c>
      <c r="K15" s="3" t="s">
        <v>56</v>
      </c>
      <c r="L15" s="3" t="s">
        <v>218</v>
      </c>
      <c r="M15" s="5"/>
      <c r="N15" s="5"/>
      <c r="O15" s="5"/>
      <c r="P15" s="5"/>
      <c r="Q15" s="5"/>
      <c r="R15" s="5"/>
      <c r="S15" s="5"/>
      <c r="T15" s="5"/>
      <c r="U15" s="5"/>
      <c r="V15" s="5"/>
      <c r="W15" s="5"/>
      <c r="X15" s="5"/>
      <c r="Y15" s="5"/>
      <c r="Z15" s="5"/>
      <c r="AA15" s="5"/>
      <c r="AB15" s="5"/>
      <c r="AC15" s="5"/>
      <c r="AD15" s="5"/>
      <c r="AE15" s="5"/>
      <c r="AF15" s="5"/>
      <c r="AG15" s="5"/>
      <c r="AH15" s="5"/>
      <c r="AI15" s="5"/>
      <c r="AJ15" s="5"/>
      <c r="AK15" s="3" t="s">
        <v>219</v>
      </c>
      <c r="AL15" s="5"/>
    </row>
    <row r="16" ht="51.75" customHeight="1">
      <c r="A16" s="3" t="s">
        <v>220</v>
      </c>
      <c r="B16" s="3" t="s">
        <v>221</v>
      </c>
      <c r="C16" s="4" t="s">
        <v>222</v>
      </c>
      <c r="D16" s="4" t="s">
        <v>214</v>
      </c>
      <c r="E16" s="4" t="s">
        <v>215</v>
      </c>
      <c r="F16" s="3" t="s">
        <v>223</v>
      </c>
      <c r="G16" s="5"/>
      <c r="H16" s="5"/>
      <c r="I16" s="3"/>
      <c r="J16" s="3" t="s">
        <v>224</v>
      </c>
      <c r="K16" s="3" t="s">
        <v>56</v>
      </c>
      <c r="L16" s="3" t="s">
        <v>57</v>
      </c>
      <c r="M16" s="5"/>
      <c r="N16" s="5"/>
      <c r="O16" s="5"/>
      <c r="P16" s="5"/>
      <c r="Q16" s="5"/>
      <c r="R16" s="3" t="s">
        <v>225</v>
      </c>
      <c r="S16" s="5"/>
      <c r="T16" s="5"/>
      <c r="U16" s="5"/>
      <c r="V16" s="5"/>
      <c r="W16" s="5"/>
      <c r="X16" s="5"/>
      <c r="Y16" s="5"/>
      <c r="Z16" s="5"/>
      <c r="AA16" s="5"/>
      <c r="AB16" s="5"/>
      <c r="AC16" s="5"/>
      <c r="AD16" s="5"/>
      <c r="AE16" s="5"/>
      <c r="AF16" s="5"/>
      <c r="AG16" s="5"/>
      <c r="AH16" s="5"/>
      <c r="AI16" s="5"/>
      <c r="AJ16" s="5"/>
      <c r="AK16" s="3" t="s">
        <v>226</v>
      </c>
      <c r="AL16" s="5"/>
    </row>
    <row r="17">
      <c r="A17" s="3" t="s">
        <v>227</v>
      </c>
      <c r="B17" s="3" t="s">
        <v>39</v>
      </c>
      <c r="C17" s="4" t="s">
        <v>228</v>
      </c>
      <c r="D17" s="4" t="s">
        <v>229</v>
      </c>
      <c r="E17" s="4" t="s">
        <v>230</v>
      </c>
      <c r="F17" s="3" t="s">
        <v>231</v>
      </c>
      <c r="G17" s="3" t="s">
        <v>232</v>
      </c>
      <c r="H17" s="3" t="s">
        <v>233</v>
      </c>
      <c r="I17" s="3"/>
      <c r="J17" s="3" t="s">
        <v>234</v>
      </c>
      <c r="K17" s="3" t="s">
        <v>56</v>
      </c>
      <c r="L17" s="3" t="s">
        <v>46</v>
      </c>
      <c r="M17" s="5"/>
      <c r="N17" s="5"/>
      <c r="O17" s="5"/>
      <c r="P17" s="5"/>
      <c r="Q17" s="5"/>
      <c r="R17" s="5"/>
      <c r="S17" s="5"/>
      <c r="T17" s="5"/>
      <c r="U17" s="5"/>
      <c r="V17" s="5"/>
      <c r="W17" s="5"/>
      <c r="X17" s="5"/>
      <c r="Y17" s="5"/>
      <c r="Z17" s="5"/>
      <c r="AA17" s="5"/>
      <c r="AB17" s="5"/>
      <c r="AC17" s="5"/>
      <c r="AD17" s="5"/>
      <c r="AE17" s="5"/>
      <c r="AF17" s="5"/>
      <c r="AG17" s="5"/>
      <c r="AH17" s="5"/>
      <c r="AI17" s="5"/>
      <c r="AJ17" s="5"/>
      <c r="AK17" s="3" t="s">
        <v>235</v>
      </c>
      <c r="AL17" s="5"/>
    </row>
    <row r="18">
      <c r="A18" s="3" t="s">
        <v>236</v>
      </c>
      <c r="B18" s="3" t="s">
        <v>237</v>
      </c>
      <c r="C18" s="4" t="s">
        <v>238</v>
      </c>
      <c r="D18" s="4" t="s">
        <v>239</v>
      </c>
      <c r="E18" s="4" t="s">
        <v>240</v>
      </c>
      <c r="F18" s="3" t="s">
        <v>209</v>
      </c>
      <c r="G18" s="3" t="s">
        <v>241</v>
      </c>
      <c r="H18" s="3" t="s">
        <v>242</v>
      </c>
      <c r="I18" s="3"/>
      <c r="J18" s="3" t="s">
        <v>243</v>
      </c>
      <c r="K18" s="3" t="s">
        <v>56</v>
      </c>
      <c r="L18" s="3" t="s">
        <v>57</v>
      </c>
      <c r="M18" s="3" t="s">
        <v>244</v>
      </c>
      <c r="N18" s="3" t="s">
        <v>245</v>
      </c>
      <c r="O18" s="3" t="s">
        <v>246</v>
      </c>
      <c r="P18" s="3" t="s">
        <v>247</v>
      </c>
      <c r="Q18" s="3" t="s">
        <v>248</v>
      </c>
      <c r="R18" s="3" t="s">
        <v>249</v>
      </c>
      <c r="S18" s="3" t="s">
        <v>250</v>
      </c>
      <c r="T18" s="3" t="s">
        <v>251</v>
      </c>
      <c r="U18" s="3" t="s">
        <v>252</v>
      </c>
      <c r="V18" s="3" t="s">
        <v>253</v>
      </c>
      <c r="W18" s="3" t="s">
        <v>254</v>
      </c>
      <c r="X18" s="3" t="s">
        <v>255</v>
      </c>
      <c r="Y18" s="3" t="s">
        <v>256</v>
      </c>
      <c r="Z18" s="3" t="s">
        <v>257</v>
      </c>
      <c r="AA18" s="3" t="s">
        <v>258</v>
      </c>
      <c r="AB18" s="3" t="s">
        <v>259</v>
      </c>
      <c r="AC18" s="3" t="s">
        <v>260</v>
      </c>
      <c r="AD18" s="3" t="s">
        <v>261</v>
      </c>
      <c r="AE18" s="3" t="s">
        <v>262</v>
      </c>
      <c r="AF18" s="3" t="s">
        <v>263</v>
      </c>
      <c r="AG18" s="5"/>
      <c r="AH18" s="5"/>
      <c r="AI18" s="5"/>
      <c r="AJ18" s="5"/>
      <c r="AK18" s="3" t="s">
        <v>264</v>
      </c>
      <c r="AL18" s="5"/>
    </row>
    <row r="19">
      <c r="A19" s="3" t="s">
        <v>265</v>
      </c>
      <c r="B19" s="3" t="s">
        <v>238</v>
      </c>
      <c r="C19" s="4" t="s">
        <v>133</v>
      </c>
      <c r="D19" s="4" t="s">
        <v>266</v>
      </c>
      <c r="E19" s="4" t="s">
        <v>267</v>
      </c>
      <c r="F19" s="3" t="s">
        <v>43</v>
      </c>
      <c r="G19" s="5"/>
      <c r="H19" s="5"/>
      <c r="I19" s="3"/>
      <c r="J19" s="3" t="s">
        <v>149</v>
      </c>
      <c r="K19" s="3" t="s">
        <v>56</v>
      </c>
      <c r="L19" s="3" t="s">
        <v>46</v>
      </c>
      <c r="M19" s="5"/>
      <c r="N19" s="5"/>
      <c r="O19" s="5"/>
      <c r="P19" s="5"/>
      <c r="Q19" s="5"/>
      <c r="R19" s="5"/>
      <c r="S19" s="5"/>
      <c r="T19" s="5"/>
      <c r="U19" s="5"/>
      <c r="V19" s="5"/>
      <c r="W19" s="5"/>
      <c r="X19" s="5"/>
      <c r="Y19" s="5"/>
      <c r="Z19" s="5"/>
      <c r="AA19" s="5"/>
      <c r="AB19" s="5"/>
      <c r="AC19" s="5"/>
      <c r="AD19" s="5"/>
      <c r="AE19" s="5"/>
      <c r="AF19" s="5"/>
      <c r="AG19" s="5"/>
      <c r="AH19" s="5"/>
      <c r="AI19" s="5"/>
      <c r="AJ19" s="5"/>
      <c r="AK19" s="3" t="s">
        <v>268</v>
      </c>
      <c r="AL19" s="5"/>
    </row>
    <row r="20" ht="28.5" customHeight="1">
      <c r="A20" s="3" t="s">
        <v>269</v>
      </c>
      <c r="B20" s="3" t="s">
        <v>49</v>
      </c>
      <c r="C20" s="12" t="s">
        <v>270</v>
      </c>
      <c r="D20" s="4" t="s">
        <v>271</v>
      </c>
      <c r="E20" s="4" t="s">
        <v>272</v>
      </c>
      <c r="F20" s="3" t="s">
        <v>273</v>
      </c>
      <c r="G20" s="5"/>
      <c r="H20" s="5"/>
      <c r="I20" s="3"/>
      <c r="J20" s="3" t="s">
        <v>274</v>
      </c>
      <c r="K20" s="3" t="s">
        <v>56</v>
      </c>
      <c r="L20" s="3" t="s">
        <v>46</v>
      </c>
      <c r="M20" s="5"/>
      <c r="N20" s="5"/>
      <c r="O20" s="5"/>
      <c r="P20" s="5"/>
      <c r="Q20" s="5"/>
      <c r="R20" s="5"/>
      <c r="S20" s="5"/>
      <c r="T20" s="5"/>
      <c r="U20" s="5"/>
      <c r="V20" s="5"/>
      <c r="W20" s="5"/>
      <c r="X20" s="5"/>
      <c r="Y20" s="5"/>
      <c r="Z20" s="5"/>
      <c r="AA20" s="5"/>
      <c r="AB20" s="5"/>
      <c r="AC20" s="5"/>
      <c r="AD20" s="5"/>
      <c r="AE20" s="5"/>
      <c r="AF20" s="5"/>
      <c r="AG20" s="5"/>
      <c r="AH20" s="5"/>
      <c r="AI20" s="5"/>
      <c r="AJ20" s="5"/>
      <c r="AK20" s="3" t="s">
        <v>275</v>
      </c>
      <c r="AL20" s="5"/>
    </row>
    <row r="21">
      <c r="A21" s="3" t="s">
        <v>276</v>
      </c>
      <c r="B21" s="3" t="s">
        <v>134</v>
      </c>
      <c r="C21" s="4" t="s">
        <v>277</v>
      </c>
      <c r="D21" s="4" t="s">
        <v>278</v>
      </c>
      <c r="E21" s="4" t="s">
        <v>279</v>
      </c>
      <c r="F21" s="3" t="s">
        <v>280</v>
      </c>
      <c r="G21" s="5"/>
      <c r="H21" s="5"/>
      <c r="I21" s="3"/>
      <c r="J21" s="3" t="s">
        <v>243</v>
      </c>
      <c r="K21" s="3" t="s">
        <v>56</v>
      </c>
      <c r="L21" s="3" t="s">
        <v>57</v>
      </c>
      <c r="M21" s="5"/>
      <c r="N21" s="5"/>
      <c r="O21" s="5"/>
      <c r="P21" s="5"/>
      <c r="Q21" s="5"/>
      <c r="R21" s="5"/>
      <c r="S21" s="5"/>
      <c r="T21" s="5"/>
      <c r="U21" s="5"/>
      <c r="V21" s="5"/>
      <c r="W21" s="5"/>
      <c r="X21" s="5"/>
      <c r="Y21" s="5"/>
      <c r="Z21" s="5"/>
      <c r="AA21" s="5"/>
      <c r="AB21" s="5"/>
      <c r="AC21" s="5"/>
      <c r="AD21" s="5"/>
      <c r="AE21" s="5"/>
      <c r="AF21" s="5"/>
      <c r="AG21" s="5"/>
      <c r="AH21" s="5"/>
      <c r="AI21" s="5"/>
      <c r="AJ21" s="5"/>
      <c r="AK21" s="3" t="s">
        <v>281</v>
      </c>
      <c r="AL21" s="5"/>
    </row>
    <row r="22">
      <c r="A22" s="3" t="s">
        <v>282</v>
      </c>
      <c r="B22" s="3" t="s">
        <v>238</v>
      </c>
      <c r="C22" s="4" t="s">
        <v>283</v>
      </c>
      <c r="D22" s="4" t="s">
        <v>284</v>
      </c>
      <c r="E22" s="4" t="s">
        <v>285</v>
      </c>
      <c r="F22" s="3" t="s">
        <v>209</v>
      </c>
      <c r="G22" s="5"/>
      <c r="H22" s="5"/>
      <c r="I22" s="3"/>
      <c r="J22" s="3" t="s">
        <v>286</v>
      </c>
      <c r="K22" s="3" t="s">
        <v>45</v>
      </c>
      <c r="L22" s="3" t="s">
        <v>287</v>
      </c>
      <c r="M22" s="5"/>
      <c r="N22" s="5"/>
      <c r="O22" s="5"/>
      <c r="P22" s="5"/>
      <c r="Q22" s="5"/>
      <c r="R22" s="5"/>
      <c r="S22" s="5"/>
      <c r="T22" s="5"/>
      <c r="U22" s="5"/>
      <c r="V22" s="5"/>
      <c r="W22" s="5"/>
      <c r="X22" s="5"/>
      <c r="Y22" s="5"/>
      <c r="Z22" s="5"/>
      <c r="AA22" s="5"/>
      <c r="AB22" s="5"/>
      <c r="AC22" s="5"/>
      <c r="AD22" s="5"/>
      <c r="AE22" s="5"/>
      <c r="AF22" s="5"/>
      <c r="AG22" s="5"/>
      <c r="AH22" s="5"/>
      <c r="AI22" s="5"/>
      <c r="AJ22" s="5"/>
      <c r="AK22" s="3" t="s">
        <v>288</v>
      </c>
      <c r="AL22" s="5"/>
    </row>
    <row r="23">
      <c r="A23" s="3" t="s">
        <v>289</v>
      </c>
      <c r="B23" s="3" t="s">
        <v>50</v>
      </c>
      <c r="C23" s="4" t="s">
        <v>290</v>
      </c>
      <c r="D23" s="4" t="s">
        <v>291</v>
      </c>
      <c r="E23" s="4" t="s">
        <v>292</v>
      </c>
      <c r="F23" s="3" t="s">
        <v>293</v>
      </c>
      <c r="G23" s="3" t="s">
        <v>225</v>
      </c>
      <c r="H23" s="5"/>
      <c r="I23" s="3"/>
      <c r="J23" s="3" t="s">
        <v>294</v>
      </c>
      <c r="K23" s="3" t="s">
        <v>45</v>
      </c>
      <c r="L23" s="5"/>
      <c r="M23" s="5"/>
      <c r="N23" s="5"/>
      <c r="O23" s="5"/>
      <c r="P23" s="5"/>
      <c r="Q23" s="5"/>
      <c r="R23" s="5"/>
      <c r="S23" s="5"/>
      <c r="T23" s="5"/>
      <c r="U23" s="5"/>
      <c r="V23" s="5"/>
      <c r="W23" s="5"/>
      <c r="X23" s="5"/>
      <c r="Y23" s="5"/>
      <c r="Z23" s="5"/>
      <c r="AA23" s="5"/>
      <c r="AB23" s="5"/>
      <c r="AC23" s="5"/>
      <c r="AD23" s="5"/>
      <c r="AE23" s="5"/>
      <c r="AF23" s="5"/>
      <c r="AG23" s="5"/>
      <c r="AH23" s="5"/>
      <c r="AI23" s="5"/>
      <c r="AJ23" s="5"/>
      <c r="AK23" s="3" t="s">
        <v>295</v>
      </c>
      <c r="AL23" s="5"/>
    </row>
    <row r="24">
      <c r="A24" s="3" t="s">
        <v>296</v>
      </c>
      <c r="B24" s="3" t="s">
        <v>297</v>
      </c>
      <c r="C24" s="4" t="s">
        <v>298</v>
      </c>
      <c r="D24" s="4" t="s">
        <v>299</v>
      </c>
      <c r="E24" s="4" t="s">
        <v>300</v>
      </c>
      <c r="F24" s="3" t="s">
        <v>301</v>
      </c>
      <c r="G24" s="5"/>
      <c r="H24" s="5"/>
      <c r="I24" s="3"/>
      <c r="J24" s="3" t="s">
        <v>234</v>
      </c>
      <c r="K24" s="3" t="s">
        <v>56</v>
      </c>
      <c r="L24" s="3">
        <f>29/12</f>
        <v>2.416666667</v>
      </c>
      <c r="M24" s="5"/>
      <c r="N24" s="5"/>
      <c r="O24" s="5"/>
      <c r="P24" s="5"/>
      <c r="Q24" s="5"/>
      <c r="R24" s="5"/>
      <c r="S24" s="5"/>
      <c r="T24" s="5"/>
      <c r="U24" s="5"/>
      <c r="V24" s="5"/>
      <c r="W24" s="5"/>
      <c r="X24" s="5"/>
      <c r="Y24" s="5"/>
      <c r="Z24" s="5"/>
      <c r="AA24" s="5"/>
      <c r="AB24" s="5"/>
      <c r="AC24" s="5"/>
      <c r="AD24" s="5"/>
      <c r="AE24" s="5"/>
      <c r="AF24" s="5"/>
      <c r="AG24" s="5"/>
      <c r="AH24" s="5"/>
      <c r="AI24" s="5"/>
      <c r="AJ24" s="5"/>
      <c r="AK24" s="3" t="s">
        <v>302</v>
      </c>
      <c r="AL24" s="5"/>
    </row>
    <row r="25">
      <c r="A25" s="3" t="s">
        <v>303</v>
      </c>
      <c r="B25" s="3" t="s">
        <v>112</v>
      </c>
      <c r="C25" s="4" t="s">
        <v>304</v>
      </c>
      <c r="D25" s="12" t="s">
        <v>305</v>
      </c>
      <c r="E25" s="4" t="s">
        <v>306</v>
      </c>
      <c r="F25" s="3" t="s">
        <v>209</v>
      </c>
      <c r="G25" s="5"/>
      <c r="H25" s="5"/>
      <c r="I25" s="3"/>
      <c r="J25" s="3" t="s">
        <v>307</v>
      </c>
      <c r="K25" s="3">
        <f>10/12</f>
        <v>0.8333333333</v>
      </c>
      <c r="L25" s="3" t="s">
        <v>46</v>
      </c>
      <c r="M25" s="5"/>
      <c r="N25" s="5"/>
      <c r="O25" s="5"/>
      <c r="P25" s="5"/>
      <c r="Q25" s="5"/>
      <c r="R25" s="5"/>
      <c r="S25" s="5"/>
      <c r="T25" s="5"/>
      <c r="U25" s="5"/>
      <c r="V25" s="5"/>
      <c r="W25" s="5"/>
      <c r="X25" s="5"/>
      <c r="Y25" s="5"/>
      <c r="Z25" s="5"/>
      <c r="AA25" s="5"/>
      <c r="AB25" s="5"/>
      <c r="AC25" s="5"/>
      <c r="AD25" s="5"/>
      <c r="AE25" s="5"/>
      <c r="AF25" s="5"/>
      <c r="AG25" s="5"/>
      <c r="AH25" s="5"/>
      <c r="AI25" s="5"/>
      <c r="AJ25" s="5"/>
      <c r="AK25" s="3" t="s">
        <v>308</v>
      </c>
      <c r="AL25" s="5"/>
    </row>
    <row r="26">
      <c r="A26" s="3" t="s">
        <v>309</v>
      </c>
      <c r="B26" s="3" t="s">
        <v>196</v>
      </c>
      <c r="C26" s="4" t="s">
        <v>238</v>
      </c>
      <c r="D26" s="4" t="s">
        <v>310</v>
      </c>
      <c r="E26" s="11" t="s">
        <v>311</v>
      </c>
      <c r="F26" s="3" t="s">
        <v>312</v>
      </c>
      <c r="G26" s="3" t="s">
        <v>212</v>
      </c>
      <c r="H26" s="12" t="s">
        <v>313</v>
      </c>
      <c r="I26" s="3"/>
      <c r="J26" s="3" t="s">
        <v>217</v>
      </c>
      <c r="K26" s="3" t="s">
        <v>56</v>
      </c>
      <c r="L26" s="3">
        <f>42/12</f>
        <v>3.5</v>
      </c>
      <c r="M26" s="12" t="s">
        <v>58</v>
      </c>
      <c r="N26" s="12" t="s">
        <v>314</v>
      </c>
      <c r="O26" s="12" t="s">
        <v>315</v>
      </c>
      <c r="P26" s="3" t="s">
        <v>316</v>
      </c>
      <c r="Q26" s="5"/>
      <c r="R26" s="5"/>
      <c r="S26" s="5"/>
      <c r="T26" s="5"/>
      <c r="U26" s="12" t="s">
        <v>317</v>
      </c>
      <c r="V26" s="12" t="s">
        <v>318</v>
      </c>
      <c r="W26" s="14"/>
      <c r="X26" s="3" t="s">
        <v>319</v>
      </c>
      <c r="Y26" s="5"/>
      <c r="Z26" s="12" t="s">
        <v>320</v>
      </c>
      <c r="AA26" s="5"/>
      <c r="AB26" s="5"/>
      <c r="AC26" s="5"/>
      <c r="AD26" s="5"/>
      <c r="AE26" s="5"/>
      <c r="AF26" s="5"/>
      <c r="AG26" s="5"/>
      <c r="AH26" s="5"/>
      <c r="AI26" s="5"/>
      <c r="AJ26" s="5"/>
      <c r="AK26" s="3" t="s">
        <v>321</v>
      </c>
      <c r="AL26" s="5"/>
    </row>
    <row r="27">
      <c r="A27" s="3" t="s">
        <v>322</v>
      </c>
      <c r="B27" s="3" t="s">
        <v>196</v>
      </c>
      <c r="C27" s="4" t="s">
        <v>323</v>
      </c>
      <c r="D27" s="4" t="s">
        <v>324</v>
      </c>
      <c r="E27" s="4" t="s">
        <v>325</v>
      </c>
      <c r="F27" s="3" t="s">
        <v>326</v>
      </c>
      <c r="G27" s="5"/>
      <c r="H27" s="5"/>
      <c r="I27" s="3"/>
      <c r="J27" s="3" t="s">
        <v>327</v>
      </c>
      <c r="K27" s="3" t="s">
        <v>45</v>
      </c>
      <c r="L27" s="3" t="s">
        <v>46</v>
      </c>
      <c r="M27" s="5"/>
      <c r="N27" s="5"/>
      <c r="O27" s="5"/>
      <c r="P27" s="5"/>
      <c r="Q27" s="5"/>
      <c r="R27" s="5"/>
      <c r="S27" s="5"/>
      <c r="T27" s="5"/>
      <c r="U27" s="5"/>
      <c r="V27" s="5"/>
      <c r="W27" s="5"/>
      <c r="X27" s="5"/>
      <c r="Y27" s="5"/>
      <c r="Z27" s="5"/>
      <c r="AA27" s="5"/>
      <c r="AB27" s="5"/>
      <c r="AC27" s="5"/>
      <c r="AD27" s="5"/>
      <c r="AE27" s="5"/>
      <c r="AF27" s="5"/>
      <c r="AG27" s="5"/>
      <c r="AH27" s="5"/>
      <c r="AI27" s="5"/>
      <c r="AJ27" s="5"/>
      <c r="AK27" s="3" t="s">
        <v>328</v>
      </c>
      <c r="AL27" s="5"/>
    </row>
    <row r="28">
      <c r="A28" s="3" t="s">
        <v>329</v>
      </c>
      <c r="B28" s="3" t="s">
        <v>330</v>
      </c>
      <c r="C28" s="4" t="s">
        <v>39</v>
      </c>
      <c r="D28" s="12" t="s">
        <v>331</v>
      </c>
      <c r="E28" s="4" t="s">
        <v>332</v>
      </c>
      <c r="F28" s="3" t="s">
        <v>333</v>
      </c>
      <c r="G28" s="5"/>
      <c r="H28" s="5"/>
      <c r="I28" s="3"/>
      <c r="J28" s="3" t="s">
        <v>334</v>
      </c>
      <c r="K28" s="3" t="s">
        <v>56</v>
      </c>
      <c r="L28" s="3" t="s">
        <v>57</v>
      </c>
      <c r="M28" s="5"/>
      <c r="N28" s="5"/>
      <c r="O28" s="5"/>
      <c r="P28" s="5"/>
      <c r="Q28" s="5"/>
      <c r="R28" s="5"/>
      <c r="S28" s="5"/>
      <c r="T28" s="5"/>
      <c r="U28" s="5"/>
      <c r="V28" s="5"/>
      <c r="W28" s="5"/>
      <c r="X28" s="5"/>
      <c r="Y28" s="5"/>
      <c r="Z28" s="5"/>
      <c r="AA28" s="5"/>
      <c r="AB28" s="5"/>
      <c r="AC28" s="5"/>
      <c r="AD28" s="5"/>
      <c r="AE28" s="5"/>
      <c r="AF28" s="5"/>
      <c r="AG28" s="5"/>
      <c r="AH28" s="5"/>
      <c r="AI28" s="5"/>
      <c r="AJ28" s="5"/>
      <c r="AK28" s="3" t="s">
        <v>335</v>
      </c>
      <c r="AL28" s="5"/>
    </row>
    <row r="29" ht="27.75" customHeight="1">
      <c r="A29" s="7" t="s">
        <v>336</v>
      </c>
      <c r="B29" s="7" t="s">
        <v>297</v>
      </c>
      <c r="C29" s="8" t="s">
        <v>337</v>
      </c>
      <c r="D29" s="15" t="s">
        <v>338</v>
      </c>
      <c r="E29" s="8" t="s">
        <v>339</v>
      </c>
      <c r="F29" s="7" t="s">
        <v>340</v>
      </c>
      <c r="G29" s="9">
        <f>21448*0.594</f>
        <v>12740.112</v>
      </c>
      <c r="H29" s="9">
        <f>21448-G29</f>
        <v>8707.888</v>
      </c>
      <c r="I29" s="7" t="s">
        <v>341</v>
      </c>
      <c r="J29" s="7" t="s">
        <v>342</v>
      </c>
      <c r="K29" s="7" t="s">
        <v>56</v>
      </c>
      <c r="L29" s="7">
        <f>23/12</f>
        <v>1.916666667</v>
      </c>
      <c r="M29" s="9"/>
      <c r="N29" s="9"/>
      <c r="O29" s="9"/>
      <c r="P29" s="9"/>
      <c r="Q29" s="7" t="s">
        <v>343</v>
      </c>
      <c r="R29" s="9">
        <f>15615-Q29</f>
        <v>6716</v>
      </c>
      <c r="S29" s="7" t="s">
        <v>344</v>
      </c>
      <c r="T29" s="9">
        <f>5833-S29</f>
        <v>2001</v>
      </c>
      <c r="U29" s="9"/>
      <c r="V29" s="9"/>
      <c r="W29" s="9"/>
      <c r="X29" s="9"/>
      <c r="Y29" s="7" t="s">
        <v>345</v>
      </c>
      <c r="Z29" s="9">
        <f>5436-Y29</f>
        <v>2534</v>
      </c>
      <c r="AA29" s="7" t="s">
        <v>346</v>
      </c>
      <c r="AB29" s="9">
        <f>10539-AA29</f>
        <v>4467</v>
      </c>
      <c r="AC29" s="7" t="s">
        <v>347</v>
      </c>
      <c r="AD29" s="9">
        <f>5437-AC29</f>
        <v>1680</v>
      </c>
      <c r="AE29" s="9"/>
      <c r="AF29" s="9"/>
      <c r="AG29" s="7" t="s">
        <v>348</v>
      </c>
      <c r="AH29" s="9">
        <f>15369-AG29</f>
        <v>5966</v>
      </c>
      <c r="AI29" s="7" t="s">
        <v>349</v>
      </c>
      <c r="AJ29" s="9">
        <f>6079-AI29</f>
        <v>2751</v>
      </c>
      <c r="AK29" s="7" t="s">
        <v>350</v>
      </c>
      <c r="AL29" s="7" t="s">
        <v>351</v>
      </c>
    </row>
    <row r="30" ht="39.0" customHeight="1">
      <c r="A30" s="3" t="s">
        <v>352</v>
      </c>
      <c r="B30" s="3" t="s">
        <v>112</v>
      </c>
      <c r="C30" s="12" t="s">
        <v>353</v>
      </c>
      <c r="D30" s="4" t="s">
        <v>354</v>
      </c>
      <c r="E30" s="4" t="s">
        <v>355</v>
      </c>
      <c r="F30" s="3" t="s">
        <v>231</v>
      </c>
      <c r="G30" s="5"/>
      <c r="H30" s="5"/>
      <c r="I30" s="3"/>
      <c r="J30" s="3" t="s">
        <v>356</v>
      </c>
      <c r="K30" s="3" t="s">
        <v>56</v>
      </c>
      <c r="L30" s="3" t="s">
        <v>57</v>
      </c>
      <c r="M30" s="5"/>
      <c r="N30" s="5"/>
      <c r="O30" s="5"/>
      <c r="P30" s="5"/>
      <c r="Q30" s="5"/>
      <c r="R30" s="5"/>
      <c r="S30" s="5"/>
      <c r="T30" s="5"/>
      <c r="U30" s="5"/>
      <c r="V30" s="5"/>
      <c r="W30" s="5"/>
      <c r="X30" s="5"/>
      <c r="Y30" s="5"/>
      <c r="Z30" s="5"/>
      <c r="AA30" s="5"/>
      <c r="AB30" s="5"/>
      <c r="AC30" s="5"/>
      <c r="AD30" s="5"/>
      <c r="AE30" s="5"/>
      <c r="AF30" s="5"/>
      <c r="AG30" s="5"/>
      <c r="AH30" s="5"/>
      <c r="AI30" s="5"/>
      <c r="AJ30" s="5"/>
      <c r="AK30" s="3" t="s">
        <v>357</v>
      </c>
      <c r="AL30" s="5"/>
    </row>
    <row r="31">
      <c r="A31" s="7" t="s">
        <v>358</v>
      </c>
      <c r="B31" s="7" t="s">
        <v>82</v>
      </c>
      <c r="C31" s="8" t="s">
        <v>221</v>
      </c>
      <c r="D31" s="8" t="s">
        <v>359</v>
      </c>
      <c r="E31" s="8" t="s">
        <v>360</v>
      </c>
      <c r="F31" s="7" t="s">
        <v>361</v>
      </c>
      <c r="G31" s="9">
        <f>0.652*2042</f>
        <v>1331.384</v>
      </c>
      <c r="H31" s="9">
        <f>2042-G31</f>
        <v>710.616</v>
      </c>
      <c r="I31" s="7" t="s">
        <v>362</v>
      </c>
      <c r="J31" s="7" t="s">
        <v>44</v>
      </c>
      <c r="K31" s="7" t="s">
        <v>56</v>
      </c>
      <c r="L31" s="9">
        <f t="shared" ref="L31:L36" si="1">23/12</f>
        <v>1.916666667</v>
      </c>
      <c r="M31" s="9">
        <f>1005*0.643</f>
        <v>646.215</v>
      </c>
      <c r="N31" s="9">
        <f>1005-M31</f>
        <v>358.785</v>
      </c>
      <c r="O31" s="7">
        <v>685.0</v>
      </c>
      <c r="P31" s="7">
        <v>352.0</v>
      </c>
      <c r="Q31" s="7">
        <f>1841*0.639</f>
        <v>1176.399</v>
      </c>
      <c r="R31" s="9">
        <f>1841-Q31</f>
        <v>664.601</v>
      </c>
      <c r="S31" s="9">
        <f>201*0.766</f>
        <v>153.966</v>
      </c>
      <c r="T31" s="9">
        <f>201-S31</f>
        <v>47.034</v>
      </c>
      <c r="U31" s="9">
        <f>672*0.753</f>
        <v>506.016</v>
      </c>
      <c r="V31" s="9">
        <f>672-U31</f>
        <v>165.984</v>
      </c>
      <c r="W31" s="9">
        <f>903*0.567</f>
        <v>512.001</v>
      </c>
      <c r="X31" s="9">
        <f>903-W31</f>
        <v>390.999</v>
      </c>
      <c r="Y31" s="9">
        <f>540*0.556</f>
        <v>300.24</v>
      </c>
      <c r="Z31" s="9">
        <f>540-Y31</f>
        <v>239.76</v>
      </c>
      <c r="AA31" s="9">
        <f>1304*0.666</f>
        <v>868.464</v>
      </c>
      <c r="AB31" s="9">
        <f>1304-AA31</f>
        <v>435.536</v>
      </c>
      <c r="AC31" s="9"/>
      <c r="AD31" s="9"/>
      <c r="AE31" s="9"/>
      <c r="AF31" s="9"/>
      <c r="AG31" s="9"/>
      <c r="AH31" s="9"/>
      <c r="AI31" s="9"/>
      <c r="AJ31" s="9"/>
      <c r="AK31" s="7" t="s">
        <v>363</v>
      </c>
      <c r="AL31" s="9"/>
    </row>
    <row r="32">
      <c r="A32" s="7" t="s">
        <v>358</v>
      </c>
      <c r="B32" s="7" t="s">
        <v>82</v>
      </c>
      <c r="C32" s="8" t="s">
        <v>133</v>
      </c>
      <c r="D32" s="8" t="s">
        <v>359</v>
      </c>
      <c r="E32" s="8" t="s">
        <v>360</v>
      </c>
      <c r="F32" s="7" t="s">
        <v>361</v>
      </c>
      <c r="G32" s="9">
        <f>3496*0.84</f>
        <v>2936.64</v>
      </c>
      <c r="H32" s="9">
        <f>3496-G32</f>
        <v>559.36</v>
      </c>
      <c r="I32" s="7" t="s">
        <v>362</v>
      </c>
      <c r="J32" s="7" t="s">
        <v>44</v>
      </c>
      <c r="K32" s="7" t="s">
        <v>56</v>
      </c>
      <c r="L32" s="9">
        <f t="shared" si="1"/>
        <v>1.916666667</v>
      </c>
      <c r="M32" s="9">
        <f>1746*0.839</f>
        <v>1464.894</v>
      </c>
      <c r="N32" s="9">
        <f>1746-M32</f>
        <v>281.106</v>
      </c>
      <c r="O32" s="9">
        <f>1750*0.841</f>
        <v>1471.75</v>
      </c>
      <c r="P32" s="9">
        <f>1750-O32</f>
        <v>278.25</v>
      </c>
      <c r="Q32" s="9">
        <f>3156*0.842</f>
        <v>2657.352</v>
      </c>
      <c r="R32" s="9">
        <f>3156-Q32</f>
        <v>498.648</v>
      </c>
      <c r="S32" s="9">
        <f>340*0.818</f>
        <v>278.12</v>
      </c>
      <c r="T32" s="9">
        <f>340-S32</f>
        <v>61.88</v>
      </c>
      <c r="U32" s="9">
        <f>1113*0.866</f>
        <v>963.858</v>
      </c>
      <c r="V32" s="9">
        <f>1113-U32</f>
        <v>149.142</v>
      </c>
      <c r="W32" s="9">
        <f>1601*0.818</f>
        <v>1309.618</v>
      </c>
      <c r="X32" s="9">
        <f>1601-W32</f>
        <v>291.382</v>
      </c>
      <c r="Y32" s="9">
        <f>570*0.786</f>
        <v>448.02</v>
      </c>
      <c r="Z32" s="9">
        <f>570-Y32</f>
        <v>121.98</v>
      </c>
      <c r="AA32" s="9">
        <f>2438*0.837</f>
        <v>2040.606</v>
      </c>
      <c r="AB32" s="9">
        <f>2438-AA32</f>
        <v>397.394</v>
      </c>
      <c r="AC32" s="9"/>
      <c r="AD32" s="9"/>
      <c r="AE32" s="9"/>
      <c r="AF32" s="9"/>
      <c r="AG32" s="9"/>
      <c r="AH32" s="9"/>
      <c r="AI32" s="9"/>
      <c r="AJ32" s="9"/>
      <c r="AK32" s="7" t="s">
        <v>363</v>
      </c>
      <c r="AL32" s="9"/>
    </row>
    <row r="33">
      <c r="A33" s="7" t="s">
        <v>364</v>
      </c>
      <c r="B33" s="7" t="s">
        <v>112</v>
      </c>
      <c r="C33" s="8" t="s">
        <v>365</v>
      </c>
      <c r="D33" s="16" t="s">
        <v>366</v>
      </c>
      <c r="E33" s="8" t="s">
        <v>367</v>
      </c>
      <c r="F33" s="7" t="s">
        <v>361</v>
      </c>
      <c r="G33" s="7">
        <f>(1919+225)*0.2659</f>
        <v>570.0896</v>
      </c>
      <c r="H33" s="9">
        <f>(1919+225)-G33</f>
        <v>1573.9104</v>
      </c>
      <c r="I33" s="7" t="s">
        <v>368</v>
      </c>
      <c r="J33" s="7" t="s">
        <v>109</v>
      </c>
      <c r="K33" s="7" t="s">
        <v>56</v>
      </c>
      <c r="L33" s="9">
        <f t="shared" si="1"/>
        <v>1.916666667</v>
      </c>
      <c r="M33" s="9">
        <f>1036*0.2573</f>
        <v>266.5628</v>
      </c>
      <c r="N33" s="9">
        <f>1036-M33</f>
        <v>769.4372</v>
      </c>
      <c r="O33" s="9">
        <f>1108*0.274</f>
        <v>303.592</v>
      </c>
      <c r="P33" s="9">
        <f>1108-O33</f>
        <v>804.408</v>
      </c>
      <c r="Q33" s="9">
        <f>1919*0.2231</f>
        <v>428.1289</v>
      </c>
      <c r="R33" s="9">
        <f>1919-Q33</f>
        <v>1490.8711</v>
      </c>
      <c r="S33" s="9">
        <f>225*0.6307</f>
        <v>141.9075</v>
      </c>
      <c r="T33" s="9">
        <f>225-S33</f>
        <v>83.0925</v>
      </c>
      <c r="U33" s="9">
        <f>359*0.5219</f>
        <v>187.3621</v>
      </c>
      <c r="V33" s="9">
        <f>359-U33</f>
        <v>171.6379</v>
      </c>
      <c r="W33" s="9">
        <f>457*0.1822</f>
        <v>83.2654</v>
      </c>
      <c r="X33" s="9">
        <f>457-W33</f>
        <v>373.7346</v>
      </c>
      <c r="Y33" s="9">
        <f>1706*0.2207</f>
        <v>376.5142</v>
      </c>
      <c r="Z33" s="9">
        <f>1706-Y33</f>
        <v>1329.4858</v>
      </c>
      <c r="AA33" s="9">
        <f>320*0.3774</f>
        <v>120.768</v>
      </c>
      <c r="AB33" s="9">
        <f>320-AA33</f>
        <v>199.232</v>
      </c>
      <c r="AC33" s="9">
        <f>118*0.6165</f>
        <v>72.747</v>
      </c>
      <c r="AD33" s="9">
        <f>118-AC33</f>
        <v>45.253</v>
      </c>
      <c r="AE33" s="9"/>
      <c r="AF33" s="9"/>
      <c r="AG33" s="9"/>
      <c r="AH33" s="9"/>
      <c r="AI33" s="9"/>
      <c r="AJ33" s="9"/>
      <c r="AK33" s="7" t="s">
        <v>79</v>
      </c>
      <c r="AL33" s="9"/>
    </row>
    <row r="34">
      <c r="A34" s="7" t="s">
        <v>364</v>
      </c>
      <c r="B34" s="7" t="s">
        <v>112</v>
      </c>
      <c r="C34" s="8" t="s">
        <v>369</v>
      </c>
      <c r="D34" s="16" t="s">
        <v>366</v>
      </c>
      <c r="E34" s="8" t="s">
        <v>367</v>
      </c>
      <c r="F34" s="7" t="s">
        <v>361</v>
      </c>
      <c r="G34" s="9">
        <f>(917+959)*0.3485</f>
        <v>653.786</v>
      </c>
      <c r="H34" s="9">
        <f>(917+959)-G34</f>
        <v>1222.214</v>
      </c>
      <c r="I34" s="7" t="s">
        <v>368</v>
      </c>
      <c r="J34" s="7" t="s">
        <v>109</v>
      </c>
      <c r="K34" s="7" t="s">
        <v>56</v>
      </c>
      <c r="L34" s="9">
        <f t="shared" si="1"/>
        <v>1.916666667</v>
      </c>
      <c r="M34" s="9">
        <f>917*0.3323</f>
        <v>304.7191</v>
      </c>
      <c r="N34" s="9">
        <f>917-M34</f>
        <v>612.2809</v>
      </c>
      <c r="O34" s="9">
        <f>959*0.3639</f>
        <v>348.9801</v>
      </c>
      <c r="P34" s="9">
        <f>959-O34</f>
        <v>610.0199</v>
      </c>
      <c r="Q34" s="9">
        <f>1729*0.3224</f>
        <v>557.4296</v>
      </c>
      <c r="R34" s="9">
        <f>1729-Q34</f>
        <v>1171.5704</v>
      </c>
      <c r="S34" s="9">
        <f>147*0.6542</f>
        <v>96.1674</v>
      </c>
      <c r="T34" s="9">
        <f>147-S34</f>
        <v>50.8326</v>
      </c>
      <c r="U34" s="9">
        <f>301*0.5251</f>
        <v>158.0551</v>
      </c>
      <c r="V34" s="9">
        <f>301-U34</f>
        <v>142.9449</v>
      </c>
      <c r="W34" s="9">
        <f>450*0.2489</f>
        <v>112.005</v>
      </c>
      <c r="X34" s="9">
        <f>450-W34</f>
        <v>337.995</v>
      </c>
      <c r="Y34" s="9">
        <f>1456*0.2999</f>
        <v>436.6544</v>
      </c>
      <c r="Z34" s="9">
        <f>1456-Y34</f>
        <v>1019.3456</v>
      </c>
      <c r="AA34" s="9">
        <f>327*0.4836</f>
        <v>158.1372</v>
      </c>
      <c r="AB34" s="9">
        <f>326-AA34</f>
        <v>167.8628</v>
      </c>
      <c r="AC34" s="9">
        <f>92*0.6338</f>
        <v>58.3096</v>
      </c>
      <c r="AD34" s="9">
        <f>92-AC34</f>
        <v>33.6904</v>
      </c>
      <c r="AE34" s="9"/>
      <c r="AF34" s="9"/>
      <c r="AG34" s="9"/>
      <c r="AH34" s="9"/>
      <c r="AI34" s="9"/>
      <c r="AJ34" s="9"/>
      <c r="AK34" s="7" t="s">
        <v>79</v>
      </c>
      <c r="AL34" s="9"/>
    </row>
    <row r="35">
      <c r="A35" s="7" t="s">
        <v>364</v>
      </c>
      <c r="B35" s="7" t="s">
        <v>112</v>
      </c>
      <c r="C35" s="8" t="s">
        <v>64</v>
      </c>
      <c r="D35" s="16" t="s">
        <v>366</v>
      </c>
      <c r="E35" s="8" t="s">
        <v>367</v>
      </c>
      <c r="F35" s="7" t="s">
        <v>361</v>
      </c>
      <c r="G35" s="9">
        <f>(919+1009)*0.5571</f>
        <v>1074.0888</v>
      </c>
      <c r="H35" s="9">
        <f>(919+1009)-G35</f>
        <v>853.9112</v>
      </c>
      <c r="I35" s="7" t="s">
        <v>368</v>
      </c>
      <c r="J35" s="7" t="s">
        <v>109</v>
      </c>
      <c r="K35" s="7" t="s">
        <v>56</v>
      </c>
      <c r="L35" s="9">
        <f t="shared" si="1"/>
        <v>1.916666667</v>
      </c>
      <c r="M35" s="9">
        <f>919*0.5571</f>
        <v>511.9749</v>
      </c>
      <c r="N35" s="9">
        <f>919-M35</f>
        <v>407.0251</v>
      </c>
      <c r="O35" s="9">
        <f>1009*0.5571</f>
        <v>562.1139</v>
      </c>
      <c r="P35" s="9">
        <f>1009-O35</f>
        <v>446.8861</v>
      </c>
      <c r="Q35" s="9">
        <f>1656*0.5177</f>
        <v>857.3112</v>
      </c>
      <c r="R35" s="9">
        <f>1656-Q35</f>
        <v>798.6888</v>
      </c>
      <c r="S35" s="9">
        <f>273*0.7956</f>
        <v>217.1988</v>
      </c>
      <c r="T35" s="9">
        <f>273-S35</f>
        <v>55.8012</v>
      </c>
      <c r="U35" s="9">
        <f>306*0.7972</f>
        <v>243.9432</v>
      </c>
      <c r="V35" s="9">
        <f>306-U35</f>
        <v>62.0568</v>
      </c>
      <c r="W35" s="9">
        <f>441*0.453</f>
        <v>199.773</v>
      </c>
      <c r="X35" s="9">
        <f>441-W35</f>
        <v>241.227</v>
      </c>
      <c r="Y35" s="9">
        <f>1306*0.4988</f>
        <v>651.4328</v>
      </c>
      <c r="Z35" s="9">
        <f>1306-Y35</f>
        <v>654.5672</v>
      </c>
      <c r="AA35" s="9">
        <f>521*0.6375</f>
        <v>332.1375</v>
      </c>
      <c r="AB35" s="9">
        <f>521-AA35</f>
        <v>188.8625</v>
      </c>
      <c r="AC35" s="9">
        <f>101*0.894</f>
        <v>90.294</v>
      </c>
      <c r="AD35" s="9">
        <f>101-AC35</f>
        <v>10.706</v>
      </c>
      <c r="AE35" s="9"/>
      <c r="AF35" s="9"/>
      <c r="AG35" s="9"/>
      <c r="AH35" s="9"/>
      <c r="AI35" s="9"/>
      <c r="AJ35" s="9"/>
      <c r="AK35" s="7" t="s">
        <v>79</v>
      </c>
      <c r="AL35" s="9"/>
    </row>
    <row r="36">
      <c r="A36" s="7" t="s">
        <v>364</v>
      </c>
      <c r="B36" s="7" t="s">
        <v>112</v>
      </c>
      <c r="C36" s="8" t="s">
        <v>196</v>
      </c>
      <c r="D36" s="16" t="s">
        <v>366</v>
      </c>
      <c r="E36" s="8" t="s">
        <v>367</v>
      </c>
      <c r="F36" s="7" t="s">
        <v>361</v>
      </c>
      <c r="G36" s="9">
        <f>(1077+926)*0.5433</f>
        <v>1088.2299</v>
      </c>
      <c r="H36" s="9">
        <f>(1077+926)-G36</f>
        <v>914.7701</v>
      </c>
      <c r="I36" s="7" t="s">
        <v>368</v>
      </c>
      <c r="J36" s="7" t="s">
        <v>109</v>
      </c>
      <c r="K36" s="7" t="s">
        <v>56</v>
      </c>
      <c r="L36" s="9">
        <f t="shared" si="1"/>
        <v>1.916666667</v>
      </c>
      <c r="M36" s="9">
        <f>1077*0.5578</f>
        <v>600.7506</v>
      </c>
      <c r="N36" s="9">
        <f>1077-M36</f>
        <v>476.2494</v>
      </c>
      <c r="O36" s="9">
        <f>0.926*0.5265</f>
        <v>0.487539</v>
      </c>
      <c r="P36" s="9">
        <f>926-O36</f>
        <v>925.512461</v>
      </c>
      <c r="Q36" s="9">
        <f>1771*0.515</f>
        <v>912.065</v>
      </c>
      <c r="R36" s="9">
        <f>1771-Q36</f>
        <v>858.935</v>
      </c>
      <c r="S36" s="9">
        <f>232*0.7598</f>
        <v>176.2736</v>
      </c>
      <c r="T36" s="9">
        <f>232-S36</f>
        <v>55.7264</v>
      </c>
      <c r="U36" s="9">
        <f>287*0.7429</f>
        <v>213.2123</v>
      </c>
      <c r="V36" s="9">
        <f>287-U36</f>
        <v>73.7877</v>
      </c>
      <c r="W36" s="9">
        <f>504*0.4322</f>
        <v>217.8288</v>
      </c>
      <c r="X36" s="9">
        <f>504-W36</f>
        <v>286.1712</v>
      </c>
      <c r="Y36" s="9">
        <f>1257*0.49</f>
        <v>615.93</v>
      </c>
      <c r="Z36" s="9">
        <f>1257-Y36</f>
        <v>641.07</v>
      </c>
      <c r="AA36" s="9">
        <f>576*0.5873</f>
        <v>338.2848</v>
      </c>
      <c r="AB36" s="9">
        <f>576-AA36</f>
        <v>237.7152</v>
      </c>
      <c r="AC36" s="9">
        <f>170*0.7882</f>
        <v>133.994</v>
      </c>
      <c r="AD36" s="9">
        <f>170-AC36</f>
        <v>36.006</v>
      </c>
      <c r="AE36" s="9"/>
      <c r="AF36" s="9"/>
      <c r="AG36" s="9"/>
      <c r="AH36" s="9"/>
      <c r="AI36" s="9"/>
      <c r="AJ36" s="9"/>
      <c r="AK36" s="7" t="s">
        <v>79</v>
      </c>
      <c r="AL36" s="9"/>
    </row>
    <row r="37">
      <c r="A37" s="7" t="s">
        <v>370</v>
      </c>
      <c r="B37" s="7" t="s">
        <v>82</v>
      </c>
      <c r="C37" s="8" t="s">
        <v>371</v>
      </c>
      <c r="D37" s="8" t="s">
        <v>372</v>
      </c>
      <c r="E37" s="8" t="s">
        <v>373</v>
      </c>
      <c r="F37" s="7" t="s">
        <v>374</v>
      </c>
      <c r="G37" s="9">
        <f>685*0.498</f>
        <v>341.13</v>
      </c>
      <c r="H37" s="9">
        <f>685-G37</f>
        <v>343.87</v>
      </c>
      <c r="I37" s="7" t="s">
        <v>375</v>
      </c>
      <c r="J37" s="7" t="s">
        <v>376</v>
      </c>
      <c r="K37" s="9">
        <f>9/12</f>
        <v>0.75</v>
      </c>
      <c r="L37" s="7" t="s">
        <v>46</v>
      </c>
      <c r="M37" s="7"/>
      <c r="N37" s="7"/>
      <c r="O37" s="9"/>
      <c r="P37" s="9"/>
      <c r="Q37" s="9"/>
      <c r="R37" s="9"/>
      <c r="S37" s="9"/>
      <c r="T37" s="9"/>
      <c r="U37" s="9"/>
      <c r="V37" s="9"/>
      <c r="W37" s="9"/>
      <c r="X37" s="9"/>
      <c r="Y37" s="9"/>
      <c r="Z37" s="9"/>
      <c r="AA37" s="9"/>
      <c r="AB37" s="9"/>
      <c r="AC37" s="9"/>
      <c r="AD37" s="9"/>
      <c r="AE37" s="9"/>
      <c r="AF37" s="9"/>
      <c r="AG37" s="9"/>
      <c r="AH37" s="9"/>
      <c r="AI37" s="9"/>
      <c r="AJ37" s="9"/>
      <c r="AK37" s="7" t="s">
        <v>377</v>
      </c>
      <c r="AL37" s="9"/>
    </row>
    <row r="38">
      <c r="A38" s="3" t="s">
        <v>378</v>
      </c>
      <c r="B38" s="3" t="s">
        <v>238</v>
      </c>
      <c r="C38" s="4" t="s">
        <v>379</v>
      </c>
      <c r="D38" s="4" t="s">
        <v>380</v>
      </c>
      <c r="E38" s="4" t="s">
        <v>381</v>
      </c>
      <c r="F38" s="3" t="s">
        <v>361</v>
      </c>
      <c r="G38" s="5"/>
      <c r="H38" s="5"/>
      <c r="I38" s="5"/>
      <c r="J38" s="17"/>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3" t="s">
        <v>382</v>
      </c>
    </row>
    <row r="39">
      <c r="A39" s="3" t="s">
        <v>383</v>
      </c>
      <c r="B39" s="3" t="s">
        <v>238</v>
      </c>
      <c r="C39" s="4" t="s">
        <v>379</v>
      </c>
      <c r="D39" s="18" t="s">
        <v>384</v>
      </c>
      <c r="E39" s="18" t="s">
        <v>384</v>
      </c>
      <c r="F39" s="3" t="s">
        <v>361</v>
      </c>
      <c r="G39" s="5"/>
      <c r="H39" s="5"/>
      <c r="I39" s="18"/>
      <c r="J39" s="18" t="s">
        <v>379</v>
      </c>
      <c r="K39" s="3" t="s">
        <v>56</v>
      </c>
      <c r="L39" s="3" t="s">
        <v>57</v>
      </c>
      <c r="M39" s="5"/>
      <c r="N39" s="5"/>
      <c r="O39" s="5"/>
      <c r="P39" s="5"/>
      <c r="Q39" s="5"/>
      <c r="R39" s="5"/>
      <c r="S39" s="5"/>
      <c r="T39" s="5"/>
      <c r="U39" s="5"/>
      <c r="V39" s="5"/>
      <c r="W39" s="5"/>
      <c r="X39" s="5"/>
      <c r="Y39" s="5"/>
      <c r="Z39" s="5"/>
      <c r="AA39" s="5"/>
      <c r="AB39" s="5"/>
      <c r="AC39" s="5"/>
      <c r="AD39" s="5"/>
      <c r="AE39" s="5"/>
      <c r="AF39" s="5"/>
      <c r="AG39" s="5"/>
      <c r="AH39" s="5"/>
      <c r="AI39" s="5"/>
      <c r="AJ39" s="5"/>
      <c r="AK39" s="3" t="s">
        <v>385</v>
      </c>
      <c r="AL39" s="3" t="s">
        <v>382</v>
      </c>
    </row>
    <row r="40">
      <c r="A40" s="3" t="s">
        <v>386</v>
      </c>
      <c r="B40" s="3" t="s">
        <v>237</v>
      </c>
      <c r="C40" s="4" t="s">
        <v>238</v>
      </c>
      <c r="D40" s="4" t="s">
        <v>387</v>
      </c>
      <c r="E40" s="4" t="s">
        <v>387</v>
      </c>
      <c r="F40" s="3" t="s">
        <v>361</v>
      </c>
      <c r="G40" s="3" t="s">
        <v>388</v>
      </c>
      <c r="H40" s="3" t="s">
        <v>389</v>
      </c>
      <c r="I40" s="3"/>
      <c r="J40" s="3" t="s">
        <v>390</v>
      </c>
      <c r="K40" s="3" t="s">
        <v>57</v>
      </c>
      <c r="L40" s="3" t="s">
        <v>218</v>
      </c>
      <c r="M40" s="3" t="s">
        <v>391</v>
      </c>
      <c r="N40" s="5">
        <f>1377-M40</f>
        <v>261</v>
      </c>
      <c r="O40" s="3" t="s">
        <v>392</v>
      </c>
      <c r="P40" s="3" t="s">
        <v>393</v>
      </c>
      <c r="Q40" s="3" t="s">
        <v>394</v>
      </c>
      <c r="R40" s="5">
        <f>1410-Q40</f>
        <v>227</v>
      </c>
      <c r="S40" s="3" t="s">
        <v>395</v>
      </c>
      <c r="T40" s="5">
        <f>1362-S40</f>
        <v>310</v>
      </c>
      <c r="U40" s="3" t="s">
        <v>396</v>
      </c>
      <c r="V40" s="5">
        <f>924-U40</f>
        <v>144</v>
      </c>
      <c r="W40" s="3" t="s">
        <v>193</v>
      </c>
      <c r="X40" s="5">
        <f>924-W40</f>
        <v>211</v>
      </c>
      <c r="Y40" s="3"/>
      <c r="Z40" s="5"/>
      <c r="AA40" s="3" t="s">
        <v>397</v>
      </c>
      <c r="AB40" s="5">
        <f>183-AA40</f>
        <v>82</v>
      </c>
      <c r="AC40" s="3" t="s">
        <v>398</v>
      </c>
      <c r="AD40" s="5">
        <f>1690-AC40</f>
        <v>362</v>
      </c>
      <c r="AE40" s="5"/>
      <c r="AF40" s="5"/>
      <c r="AG40" s="5"/>
      <c r="AH40" s="5"/>
      <c r="AI40" s="5"/>
      <c r="AJ40" s="5"/>
      <c r="AK40" s="3" t="s">
        <v>399</v>
      </c>
      <c r="AL40" s="5"/>
    </row>
    <row r="41">
      <c r="A41" s="3" t="s">
        <v>386</v>
      </c>
      <c r="B41" s="3" t="s">
        <v>237</v>
      </c>
      <c r="C41" s="4" t="s">
        <v>82</v>
      </c>
      <c r="D41" s="4" t="s">
        <v>387</v>
      </c>
      <c r="E41" s="4" t="s">
        <v>387</v>
      </c>
      <c r="F41" s="3" t="s">
        <v>361</v>
      </c>
      <c r="G41" s="3">
        <f>331+325</f>
        <v>656</v>
      </c>
      <c r="H41" s="5">
        <f>770-G41</f>
        <v>114</v>
      </c>
      <c r="I41" s="3"/>
      <c r="J41" s="3" t="s">
        <v>390</v>
      </c>
      <c r="K41" s="3" t="s">
        <v>57</v>
      </c>
      <c r="L41" s="3" t="s">
        <v>218</v>
      </c>
      <c r="M41" s="3" t="s">
        <v>154</v>
      </c>
      <c r="N41" s="3" t="s">
        <v>400</v>
      </c>
      <c r="O41" s="3" t="s">
        <v>401</v>
      </c>
      <c r="P41" s="3" t="s">
        <v>160</v>
      </c>
      <c r="Q41" s="3" t="s">
        <v>402</v>
      </c>
      <c r="R41" s="5">
        <f>382-340</f>
        <v>42</v>
      </c>
      <c r="S41" s="3" t="s">
        <v>403</v>
      </c>
      <c r="T41" s="5">
        <f>388-S41</f>
        <v>72</v>
      </c>
      <c r="U41" s="3" t="s">
        <v>404</v>
      </c>
      <c r="V41" s="5">
        <f>256-U41</f>
        <v>10</v>
      </c>
      <c r="W41" s="3" t="s">
        <v>405</v>
      </c>
      <c r="X41" s="5">
        <f>257-W41</f>
        <v>66</v>
      </c>
      <c r="Y41" s="3"/>
      <c r="Z41" s="5"/>
      <c r="AA41" s="3" t="s">
        <v>406</v>
      </c>
      <c r="AB41" s="5">
        <f>29-AA41</f>
        <v>10</v>
      </c>
      <c r="AC41" s="3" t="s">
        <v>407</v>
      </c>
      <c r="AD41" s="5">
        <f>449-AC41</f>
        <v>78</v>
      </c>
      <c r="AE41" s="5"/>
      <c r="AF41" s="5"/>
      <c r="AG41" s="5"/>
      <c r="AH41" s="5"/>
      <c r="AI41" s="5"/>
      <c r="AJ41" s="5"/>
      <c r="AK41" s="3" t="s">
        <v>399</v>
      </c>
      <c r="AL41" s="5"/>
    </row>
    <row r="42">
      <c r="A42" s="3" t="s">
        <v>408</v>
      </c>
      <c r="B42" s="3" t="s">
        <v>64</v>
      </c>
      <c r="C42" s="4" t="s">
        <v>409</v>
      </c>
      <c r="D42" s="4" t="s">
        <v>410</v>
      </c>
      <c r="E42" s="4" t="s">
        <v>410</v>
      </c>
      <c r="F42" s="3" t="s">
        <v>361</v>
      </c>
      <c r="G42" s="5"/>
      <c r="H42" s="5"/>
      <c r="I42" s="3"/>
      <c r="J42" s="3" t="s">
        <v>243</v>
      </c>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3" t="s">
        <v>411</v>
      </c>
    </row>
    <row r="43">
      <c r="A43" s="7" t="s">
        <v>412</v>
      </c>
      <c r="B43" s="7" t="s">
        <v>64</v>
      </c>
      <c r="C43" s="8" t="s">
        <v>205</v>
      </c>
      <c r="D43" s="19" t="s">
        <v>413</v>
      </c>
      <c r="E43" s="19" t="s">
        <v>413</v>
      </c>
      <c r="F43" s="7" t="s">
        <v>361</v>
      </c>
      <c r="G43" s="9"/>
      <c r="H43" s="9"/>
      <c r="I43" s="7"/>
      <c r="J43" s="7" t="s">
        <v>182</v>
      </c>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7" t="s">
        <v>414</v>
      </c>
    </row>
    <row r="44">
      <c r="A44" s="3" t="s">
        <v>415</v>
      </c>
      <c r="B44" s="3" t="s">
        <v>82</v>
      </c>
      <c r="C44" s="4" t="s">
        <v>416</v>
      </c>
      <c r="D44" s="4" t="s">
        <v>417</v>
      </c>
      <c r="E44" s="4" t="s">
        <v>417</v>
      </c>
      <c r="F44" s="5"/>
      <c r="G44" s="5"/>
      <c r="H44" s="5"/>
      <c r="I44" s="3"/>
      <c r="J44" s="3" t="s">
        <v>70</v>
      </c>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20"/>
      <c r="AL44" s="3" t="s">
        <v>418</v>
      </c>
    </row>
    <row r="45">
      <c r="A45" s="7" t="s">
        <v>419</v>
      </c>
      <c r="B45" s="7" t="s">
        <v>82</v>
      </c>
      <c r="C45" s="8" t="s">
        <v>50</v>
      </c>
      <c r="D45" s="8" t="s">
        <v>420</v>
      </c>
      <c r="E45" s="8" t="s">
        <v>421</v>
      </c>
      <c r="F45" s="7" t="s">
        <v>361</v>
      </c>
      <c r="G45" s="7">
        <f>2785+1796</f>
        <v>4581</v>
      </c>
      <c r="H45" s="7" t="s">
        <v>352</v>
      </c>
      <c r="I45" s="7" t="s">
        <v>422</v>
      </c>
      <c r="J45" s="7" t="s">
        <v>55</v>
      </c>
      <c r="K45" s="9">
        <f>12/12</f>
        <v>1</v>
      </c>
      <c r="L45" s="9">
        <f>23/12</f>
        <v>1.916666667</v>
      </c>
      <c r="M45" s="9">
        <f>0.781*2744</f>
        <v>2143.064</v>
      </c>
      <c r="N45" s="9">
        <f>2744-M45</f>
        <v>600.936</v>
      </c>
      <c r="O45" s="9">
        <f>3010*0.793</f>
        <v>2386.93</v>
      </c>
      <c r="P45" s="9">
        <f>3010-O45</f>
        <v>623.07</v>
      </c>
      <c r="Q45" s="9">
        <f>3832*0.747</f>
        <v>2862.504</v>
      </c>
      <c r="R45" s="9">
        <f>3832-Q45</f>
        <v>969.496</v>
      </c>
      <c r="S45" s="9">
        <f>1922*0.859</f>
        <v>1650.998</v>
      </c>
      <c r="T45" s="9">
        <f>1922-S45</f>
        <v>271.002</v>
      </c>
      <c r="U45" s="9">
        <f>2003*0.911</f>
        <v>1824.733</v>
      </c>
      <c r="V45" s="9">
        <f>2003-U45</f>
        <v>178.267</v>
      </c>
      <c r="W45" s="9">
        <f>1866*0.668</f>
        <v>1246.488</v>
      </c>
      <c r="X45" s="9">
        <f>1866-W45</f>
        <v>619.512</v>
      </c>
      <c r="Y45" s="9">
        <f>2607*0.676</f>
        <v>1762.332</v>
      </c>
      <c r="Z45" s="9">
        <f>2607-Y45</f>
        <v>844.668</v>
      </c>
      <c r="AA45" s="9">
        <f>1116*0.827</f>
        <v>922.932</v>
      </c>
      <c r="AB45" s="9">
        <f>1116-AA45</f>
        <v>193.068</v>
      </c>
      <c r="AC45" s="9">
        <f>2301*0.92</f>
        <v>2116.92</v>
      </c>
      <c r="AD45" s="9">
        <f>2301-AC45</f>
        <v>184.08</v>
      </c>
      <c r="AE45" s="9"/>
      <c r="AF45" s="9"/>
      <c r="AG45" s="9"/>
      <c r="AH45" s="9"/>
      <c r="AI45" s="9"/>
      <c r="AJ45" s="9"/>
      <c r="AK45" s="7" t="s">
        <v>385</v>
      </c>
      <c r="AL45" s="9"/>
    </row>
    <row r="46">
      <c r="A46" s="3" t="s">
        <v>423</v>
      </c>
      <c r="B46" s="3" t="s">
        <v>424</v>
      </c>
      <c r="C46" s="4" t="s">
        <v>425</v>
      </c>
      <c r="D46" s="4" t="s">
        <v>426</v>
      </c>
      <c r="E46" s="4" t="s">
        <v>426</v>
      </c>
      <c r="F46" s="3" t="s">
        <v>361</v>
      </c>
      <c r="G46" s="5"/>
      <c r="H46" s="5"/>
      <c r="I46" s="3" t="s">
        <v>427</v>
      </c>
      <c r="J46" s="3" t="s">
        <v>428</v>
      </c>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3" t="s">
        <v>429</v>
      </c>
      <c r="AL46" s="3" t="s">
        <v>430</v>
      </c>
    </row>
    <row r="47">
      <c r="A47" s="7" t="s">
        <v>431</v>
      </c>
      <c r="B47" s="7" t="s">
        <v>112</v>
      </c>
      <c r="C47" s="8" t="s">
        <v>196</v>
      </c>
      <c r="D47" s="8" t="s">
        <v>432</v>
      </c>
      <c r="E47" s="8" t="s">
        <v>433</v>
      </c>
      <c r="F47" s="7" t="s">
        <v>434</v>
      </c>
      <c r="G47" s="9">
        <f>2004*0.333</f>
        <v>667.332</v>
      </c>
      <c r="H47" s="9">
        <f>2004-G47</f>
        <v>1336.668</v>
      </c>
      <c r="I47" s="7" t="s">
        <v>435</v>
      </c>
      <c r="J47" s="7" t="s">
        <v>436</v>
      </c>
      <c r="K47" s="7" t="s">
        <v>56</v>
      </c>
      <c r="L47" s="9">
        <f t="shared" ref="L47:L48" si="2">23/12</f>
        <v>1.916666667</v>
      </c>
      <c r="M47" s="9"/>
      <c r="N47" s="9"/>
      <c r="O47" s="9"/>
      <c r="P47" s="9"/>
      <c r="Q47" s="9">
        <f>1772*0.297</f>
        <v>526.284</v>
      </c>
      <c r="R47" s="9">
        <f>1772-Q47</f>
        <v>1245.716</v>
      </c>
      <c r="S47" s="9">
        <f>0.609*232</f>
        <v>141.288</v>
      </c>
      <c r="T47" s="9">
        <f>232-S47</f>
        <v>90.712</v>
      </c>
      <c r="U47" s="9"/>
      <c r="V47" s="9"/>
      <c r="W47" s="9"/>
      <c r="X47" s="9"/>
      <c r="Y47" s="9"/>
      <c r="Z47" s="9"/>
      <c r="AA47" s="9"/>
      <c r="AB47" s="9"/>
      <c r="AC47" s="9"/>
      <c r="AD47" s="9"/>
      <c r="AE47" s="9"/>
      <c r="AF47" s="9"/>
      <c r="AG47" s="9"/>
      <c r="AH47" s="9"/>
      <c r="AI47" s="9"/>
      <c r="AJ47" s="9"/>
      <c r="AK47" s="7" t="s">
        <v>437</v>
      </c>
      <c r="AL47" s="7" t="s">
        <v>438</v>
      </c>
    </row>
    <row r="48">
      <c r="A48" s="7" t="s">
        <v>439</v>
      </c>
      <c r="B48" s="7" t="s">
        <v>112</v>
      </c>
      <c r="C48" s="8" t="s">
        <v>238</v>
      </c>
      <c r="D48" s="8" t="s">
        <v>440</v>
      </c>
      <c r="E48" s="8" t="s">
        <v>441</v>
      </c>
      <c r="F48" s="7" t="s">
        <v>361</v>
      </c>
      <c r="G48" s="9">
        <f>4052*0.76</f>
        <v>3079.52</v>
      </c>
      <c r="H48" s="9">
        <f>4052-G48</f>
        <v>972.48</v>
      </c>
      <c r="I48" s="7" t="s">
        <v>442</v>
      </c>
      <c r="J48" s="7" t="s">
        <v>334</v>
      </c>
      <c r="K48" s="7" t="s">
        <v>56</v>
      </c>
      <c r="L48" s="9">
        <f t="shared" si="2"/>
        <v>1.916666667</v>
      </c>
      <c r="M48" s="9"/>
      <c r="N48" s="9"/>
      <c r="O48" s="9"/>
      <c r="P48" s="9"/>
      <c r="Q48" s="7" t="s">
        <v>39</v>
      </c>
      <c r="R48" s="7" t="s">
        <v>443</v>
      </c>
      <c r="S48" s="7" t="s">
        <v>444</v>
      </c>
      <c r="T48" s="7" t="s">
        <v>445</v>
      </c>
      <c r="U48" s="7" t="s">
        <v>446</v>
      </c>
      <c r="V48" s="7" t="s">
        <v>46</v>
      </c>
      <c r="W48" s="7" t="s">
        <v>447</v>
      </c>
      <c r="X48" s="7" t="s">
        <v>448</v>
      </c>
      <c r="Y48" s="7" t="s">
        <v>449</v>
      </c>
      <c r="Z48" s="7" t="s">
        <v>450</v>
      </c>
      <c r="AA48" s="7" t="s">
        <v>451</v>
      </c>
      <c r="AB48" s="7" t="s">
        <v>452</v>
      </c>
      <c r="AC48" s="7" t="s">
        <v>453</v>
      </c>
      <c r="AD48" s="7" t="s">
        <v>454</v>
      </c>
      <c r="AE48" s="9"/>
      <c r="AF48" s="9"/>
      <c r="AG48" s="7" t="s">
        <v>455</v>
      </c>
      <c r="AH48" s="7" t="s">
        <v>456</v>
      </c>
      <c r="AI48" s="7" t="s">
        <v>457</v>
      </c>
      <c r="AJ48" s="7" t="s">
        <v>458</v>
      </c>
      <c r="AK48" s="7" t="s">
        <v>459</v>
      </c>
      <c r="AL48" s="9"/>
    </row>
    <row r="49">
      <c r="A49" s="3" t="s">
        <v>460</v>
      </c>
      <c r="B49" s="12" t="s">
        <v>196</v>
      </c>
      <c r="C49" s="12" t="s">
        <v>461</v>
      </c>
      <c r="D49" s="12" t="s">
        <v>462</v>
      </c>
      <c r="E49" s="12" t="s">
        <v>462</v>
      </c>
      <c r="F49" s="3" t="s">
        <v>361</v>
      </c>
      <c r="G49" s="14"/>
      <c r="H49" s="5"/>
      <c r="I49" s="5"/>
      <c r="J49" s="3" t="s">
        <v>217</v>
      </c>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c r="A50" s="3" t="s">
        <v>463</v>
      </c>
      <c r="B50" s="12" t="s">
        <v>49</v>
      </c>
      <c r="C50" s="12" t="s">
        <v>196</v>
      </c>
      <c r="D50" s="12" t="s">
        <v>387</v>
      </c>
      <c r="E50" s="12" t="s">
        <v>387</v>
      </c>
      <c r="F50" s="3" t="s">
        <v>361</v>
      </c>
      <c r="G50" s="14">
        <f>395+363</f>
        <v>758</v>
      </c>
      <c r="H50" s="5">
        <f>847-G50</f>
        <v>89</v>
      </c>
      <c r="I50" s="3" t="s">
        <v>464</v>
      </c>
      <c r="J50" s="3" t="s">
        <v>390</v>
      </c>
      <c r="K50" s="3" t="s">
        <v>57</v>
      </c>
      <c r="L50" s="3" t="s">
        <v>218</v>
      </c>
      <c r="M50" s="3" t="s">
        <v>465</v>
      </c>
      <c r="N50" s="3" t="s">
        <v>150</v>
      </c>
      <c r="O50" s="3" t="s">
        <v>466</v>
      </c>
      <c r="P50" s="3" t="s">
        <v>467</v>
      </c>
      <c r="Q50" s="3" t="s">
        <v>468</v>
      </c>
      <c r="R50" s="3" t="s">
        <v>469</v>
      </c>
      <c r="S50" s="3" t="s">
        <v>470</v>
      </c>
      <c r="T50" s="3" t="s">
        <v>471</v>
      </c>
      <c r="U50" s="3" t="s">
        <v>472</v>
      </c>
      <c r="V50" s="3" t="s">
        <v>155</v>
      </c>
      <c r="W50" s="3" t="s">
        <v>457</v>
      </c>
      <c r="X50" s="3" t="s">
        <v>473</v>
      </c>
      <c r="Y50" s="5"/>
      <c r="Z50" s="5"/>
      <c r="AA50" s="3" t="s">
        <v>474</v>
      </c>
      <c r="AB50" s="3" t="s">
        <v>475</v>
      </c>
      <c r="AC50" s="3" t="s">
        <v>476</v>
      </c>
      <c r="AD50" s="3" t="s">
        <v>160</v>
      </c>
      <c r="AE50" s="5"/>
      <c r="AF50" s="5"/>
      <c r="AG50" s="5"/>
      <c r="AH50" s="5"/>
      <c r="AI50" s="5"/>
      <c r="AJ50" s="5"/>
      <c r="AK50" s="3" t="s">
        <v>477</v>
      </c>
      <c r="AL50" s="5"/>
    </row>
    <row r="51">
      <c r="A51" s="3" t="s">
        <v>478</v>
      </c>
      <c r="B51" s="3" t="s">
        <v>297</v>
      </c>
      <c r="C51" s="4" t="s">
        <v>479</v>
      </c>
      <c r="D51" s="21" t="s">
        <v>480</v>
      </c>
      <c r="E51" s="21" t="s">
        <v>480</v>
      </c>
      <c r="F51" s="3" t="s">
        <v>361</v>
      </c>
      <c r="G51" s="22"/>
      <c r="H51" s="22"/>
      <c r="I51" s="4" t="s">
        <v>464</v>
      </c>
      <c r="J51" s="4" t="s">
        <v>217</v>
      </c>
      <c r="K51" s="3" t="s">
        <v>56</v>
      </c>
      <c r="L51" s="3" t="s">
        <v>57</v>
      </c>
      <c r="M51" s="5"/>
      <c r="N51" s="5"/>
      <c r="O51" s="5"/>
      <c r="P51" s="5"/>
      <c r="Q51" s="5"/>
      <c r="R51" s="5"/>
      <c r="S51" s="5"/>
      <c r="T51" s="5"/>
      <c r="U51" s="5"/>
      <c r="V51" s="5"/>
      <c r="W51" s="5"/>
      <c r="X51" s="5"/>
      <c r="Y51" s="5"/>
      <c r="Z51" s="5"/>
      <c r="AA51" s="5"/>
      <c r="AB51" s="5"/>
      <c r="AC51" s="5"/>
      <c r="AD51" s="5"/>
      <c r="AE51" s="5"/>
      <c r="AF51" s="5"/>
      <c r="AG51" s="5"/>
      <c r="AH51" s="5"/>
      <c r="AI51" s="5"/>
      <c r="AJ51" s="5"/>
      <c r="AK51" s="3" t="s">
        <v>481</v>
      </c>
      <c r="AL51" s="3" t="s">
        <v>482</v>
      </c>
    </row>
    <row r="52">
      <c r="A52" s="3" t="s">
        <v>483</v>
      </c>
      <c r="B52" s="3" t="s">
        <v>82</v>
      </c>
      <c r="C52" s="4" t="s">
        <v>238</v>
      </c>
      <c r="D52" s="4" t="s">
        <v>484</v>
      </c>
      <c r="E52" s="3" t="s">
        <v>387</v>
      </c>
      <c r="F52" s="3" t="s">
        <v>361</v>
      </c>
      <c r="G52" s="22"/>
      <c r="H52" s="22"/>
      <c r="I52" s="22"/>
      <c r="J52" s="22"/>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c r="A53" s="3" t="s">
        <v>485</v>
      </c>
      <c r="B53" s="3" t="s">
        <v>134</v>
      </c>
      <c r="C53" s="4" t="s">
        <v>486</v>
      </c>
      <c r="D53" s="4" t="s">
        <v>487</v>
      </c>
      <c r="E53" s="4" t="s">
        <v>487</v>
      </c>
      <c r="F53" s="3" t="s">
        <v>361</v>
      </c>
      <c r="G53" s="5"/>
      <c r="H53" s="5"/>
      <c r="I53" s="3" t="s">
        <v>379</v>
      </c>
      <c r="J53" s="3" t="s">
        <v>217</v>
      </c>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c r="A54" s="3" t="s">
        <v>488</v>
      </c>
      <c r="B54" s="3" t="s">
        <v>50</v>
      </c>
      <c r="C54" s="4" t="s">
        <v>489</v>
      </c>
      <c r="D54" s="4" t="s">
        <v>490</v>
      </c>
      <c r="E54" s="4" t="s">
        <v>490</v>
      </c>
      <c r="F54" s="3" t="s">
        <v>361</v>
      </c>
      <c r="G54" s="5"/>
      <c r="H54" s="5"/>
      <c r="I54" s="5"/>
      <c r="J54" s="3" t="s">
        <v>217</v>
      </c>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3" t="s">
        <v>491</v>
      </c>
      <c r="AL54" s="5"/>
    </row>
    <row r="55">
      <c r="A55" s="3" t="s">
        <v>492</v>
      </c>
      <c r="B55" s="3" t="s">
        <v>196</v>
      </c>
      <c r="C55" s="4" t="s">
        <v>50</v>
      </c>
      <c r="D55" s="4" t="s">
        <v>493</v>
      </c>
      <c r="E55" s="4" t="s">
        <v>493</v>
      </c>
      <c r="F55" s="5"/>
      <c r="G55" s="5"/>
      <c r="H55" s="5"/>
      <c r="I55" s="5"/>
      <c r="J55" s="3" t="s">
        <v>390</v>
      </c>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3" t="s">
        <v>494</v>
      </c>
      <c r="AL55" s="5"/>
    </row>
    <row r="56">
      <c r="A56" s="3" t="s">
        <v>495</v>
      </c>
      <c r="B56" s="3" t="s">
        <v>133</v>
      </c>
      <c r="C56" s="22"/>
      <c r="D56" s="21" t="s">
        <v>496</v>
      </c>
      <c r="E56" s="21" t="s">
        <v>496</v>
      </c>
      <c r="F56" s="3" t="s">
        <v>361</v>
      </c>
      <c r="G56" s="5"/>
      <c r="H56" s="5"/>
      <c r="I56" s="5"/>
      <c r="J56" s="3" t="s">
        <v>497</v>
      </c>
      <c r="K56" s="3" t="s">
        <v>56</v>
      </c>
      <c r="L56" s="3" t="s">
        <v>57</v>
      </c>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c r="A57" s="3" t="s">
        <v>498</v>
      </c>
      <c r="B57" s="3" t="s">
        <v>197</v>
      </c>
      <c r="C57" s="4" t="s">
        <v>499</v>
      </c>
      <c r="D57" s="4" t="s">
        <v>500</v>
      </c>
      <c r="E57" s="4" t="s">
        <v>500</v>
      </c>
      <c r="F57" s="3" t="s">
        <v>361</v>
      </c>
      <c r="G57" s="5"/>
      <c r="H57" s="5"/>
      <c r="I57" s="5"/>
      <c r="J57" s="3" t="s">
        <v>217</v>
      </c>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c r="A58" s="3" t="s">
        <v>501</v>
      </c>
      <c r="B58" s="3" t="s">
        <v>112</v>
      </c>
      <c r="C58" s="4" t="s">
        <v>502</v>
      </c>
      <c r="D58" s="4" t="s">
        <v>503</v>
      </c>
      <c r="E58" s="4" t="s">
        <v>503</v>
      </c>
      <c r="F58" s="3" t="s">
        <v>361</v>
      </c>
      <c r="G58" s="5"/>
      <c r="H58" s="5"/>
      <c r="I58" s="5"/>
      <c r="J58" s="3" t="s">
        <v>217</v>
      </c>
      <c r="K58" s="3" t="s">
        <v>504</v>
      </c>
      <c r="L58" s="3" t="s">
        <v>57</v>
      </c>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c r="A59" s="23" t="s">
        <v>505</v>
      </c>
      <c r="B59" s="23" t="s">
        <v>50</v>
      </c>
      <c r="C59" s="24" t="s">
        <v>506</v>
      </c>
      <c r="D59" s="24" t="s">
        <v>507</v>
      </c>
      <c r="E59" s="24" t="s">
        <v>508</v>
      </c>
      <c r="F59" s="23" t="s">
        <v>434</v>
      </c>
      <c r="G59" s="23">
        <f>1116*0.851</f>
        <v>949.716</v>
      </c>
      <c r="H59" s="25">
        <f>1116-G59</f>
        <v>166.284</v>
      </c>
      <c r="I59" s="23" t="s">
        <v>509</v>
      </c>
      <c r="J59" s="23" t="s">
        <v>334</v>
      </c>
      <c r="K59" s="23" t="s">
        <v>56</v>
      </c>
      <c r="L59" s="25">
        <f>23/12</f>
        <v>1.916666667</v>
      </c>
      <c r="M59" s="25">
        <f>546*0.859</f>
        <v>469.014</v>
      </c>
      <c r="N59" s="25">
        <f>546-M59</f>
        <v>76.986</v>
      </c>
      <c r="O59" s="25">
        <f>570*0.842</f>
        <v>479.94</v>
      </c>
      <c r="P59" s="25">
        <f>570-O59</f>
        <v>90.06</v>
      </c>
      <c r="Q59" s="25">
        <f>823*0.834</f>
        <v>686.382</v>
      </c>
      <c r="R59" s="25">
        <f>823-Q59</f>
        <v>136.618</v>
      </c>
      <c r="S59" s="25">
        <f>293*0.906</f>
        <v>265.458</v>
      </c>
      <c r="T59" s="25">
        <f>293-S59</f>
        <v>27.542</v>
      </c>
      <c r="U59" s="25">
        <f>248*0.939</f>
        <v>232.872</v>
      </c>
      <c r="V59" s="25">
        <f>248-U59</f>
        <v>15.128</v>
      </c>
      <c r="W59" s="25">
        <f>313*0.757</f>
        <v>236.941</v>
      </c>
      <c r="X59" s="25">
        <f>313-W59</f>
        <v>76.059</v>
      </c>
      <c r="Y59" s="25">
        <f>208*0.791</f>
        <v>164.528</v>
      </c>
      <c r="Z59" s="25">
        <f>208-Y59</f>
        <v>43.472</v>
      </c>
      <c r="AA59" s="25">
        <f>296*0.87</f>
        <v>257.52</v>
      </c>
      <c r="AB59" s="25">
        <f>296-AA59</f>
        <v>38.48</v>
      </c>
      <c r="AC59" s="25">
        <f>105*0.958</f>
        <v>100.59</v>
      </c>
      <c r="AD59" s="25">
        <f>105-AC59</f>
        <v>4.41</v>
      </c>
      <c r="AE59" s="25">
        <f>56-AF59</f>
        <v>3.192</v>
      </c>
      <c r="AF59" s="25">
        <f>56*0.943</f>
        <v>52.808</v>
      </c>
      <c r="AG59" s="25">
        <f>0.846*892</f>
        <v>754.632</v>
      </c>
      <c r="AH59" s="25">
        <f>892-AG59</f>
        <v>137.368</v>
      </c>
      <c r="AI59" s="25"/>
      <c r="AJ59" s="25"/>
      <c r="AK59" s="23" t="s">
        <v>79</v>
      </c>
      <c r="AL59" s="23" t="s">
        <v>510</v>
      </c>
    </row>
    <row r="60">
      <c r="A60" s="3" t="s">
        <v>511</v>
      </c>
      <c r="B60" s="3" t="s">
        <v>39</v>
      </c>
      <c r="C60" s="4" t="s">
        <v>40</v>
      </c>
      <c r="D60" s="4" t="s">
        <v>512</v>
      </c>
      <c r="E60" s="4" t="s">
        <v>513</v>
      </c>
      <c r="F60" s="3" t="s">
        <v>514</v>
      </c>
      <c r="G60" s="3" t="s">
        <v>515</v>
      </c>
      <c r="H60" s="3" t="s">
        <v>516</v>
      </c>
      <c r="I60" s="3" t="s">
        <v>517</v>
      </c>
      <c r="J60" s="3" t="s">
        <v>286</v>
      </c>
      <c r="K60" s="3">
        <f>9/12</f>
        <v>0.75</v>
      </c>
      <c r="L60" s="5">
        <f t="shared" ref="L60:L61" si="3">59/12</f>
        <v>4.916666667</v>
      </c>
      <c r="M60" s="5"/>
      <c r="N60" s="5"/>
      <c r="O60" s="5"/>
      <c r="P60" s="5"/>
      <c r="Q60" s="5"/>
      <c r="R60" s="5"/>
      <c r="S60" s="5"/>
      <c r="T60" s="5"/>
      <c r="U60" s="5"/>
      <c r="V60" s="5"/>
      <c r="W60" s="5"/>
      <c r="X60" s="5"/>
      <c r="Y60" s="5"/>
      <c r="Z60" s="5"/>
      <c r="AA60" s="5"/>
      <c r="AB60" s="5"/>
      <c r="AC60" s="5"/>
      <c r="AD60" s="5"/>
      <c r="AE60" s="5"/>
      <c r="AF60" s="5"/>
      <c r="AG60" s="5"/>
      <c r="AH60" s="5"/>
      <c r="AI60" s="5"/>
      <c r="AJ60" s="5"/>
      <c r="AK60" s="3" t="s">
        <v>518</v>
      </c>
      <c r="AL60" s="3" t="s">
        <v>519</v>
      </c>
    </row>
    <row r="61">
      <c r="A61" s="3" t="s">
        <v>520</v>
      </c>
      <c r="B61" s="3" t="s">
        <v>369</v>
      </c>
      <c r="C61" s="4" t="s">
        <v>134</v>
      </c>
      <c r="D61" s="4" t="s">
        <v>521</v>
      </c>
      <c r="E61" s="4" t="s">
        <v>522</v>
      </c>
      <c r="F61" s="3" t="s">
        <v>523</v>
      </c>
      <c r="G61" s="3" t="s">
        <v>524</v>
      </c>
      <c r="H61" s="3" t="s">
        <v>525</v>
      </c>
      <c r="I61" s="3" t="s">
        <v>526</v>
      </c>
      <c r="J61" s="3" t="s">
        <v>527</v>
      </c>
      <c r="K61" s="5">
        <f>6/12</f>
        <v>0.5</v>
      </c>
      <c r="L61" s="5">
        <f t="shared" si="3"/>
        <v>4.916666667</v>
      </c>
      <c r="M61" s="5"/>
      <c r="N61" s="5"/>
      <c r="O61" s="5"/>
      <c r="P61" s="5"/>
      <c r="Q61" s="3" t="s">
        <v>528</v>
      </c>
      <c r="R61" s="3" t="s">
        <v>529</v>
      </c>
      <c r="S61" s="3" t="s">
        <v>530</v>
      </c>
      <c r="T61" s="3" t="s">
        <v>531</v>
      </c>
      <c r="U61" s="5"/>
      <c r="V61" s="5"/>
      <c r="W61" s="5"/>
      <c r="X61" s="5"/>
      <c r="Y61" s="5"/>
      <c r="Z61" s="5"/>
      <c r="AA61" s="5"/>
      <c r="AB61" s="5"/>
      <c r="AC61" s="5"/>
      <c r="AD61" s="5"/>
      <c r="AE61" s="5"/>
      <c r="AF61" s="5"/>
      <c r="AG61" s="5"/>
      <c r="AH61" s="5"/>
      <c r="AI61" s="5"/>
      <c r="AJ61" s="5"/>
      <c r="AK61" s="3" t="s">
        <v>526</v>
      </c>
      <c r="AL61" s="3" t="s">
        <v>532</v>
      </c>
    </row>
    <row r="62">
      <c r="A62" s="26" t="s">
        <v>533</v>
      </c>
      <c r="B62" s="26" t="s">
        <v>205</v>
      </c>
      <c r="C62" s="27" t="s">
        <v>197</v>
      </c>
      <c r="D62" s="27" t="s">
        <v>534</v>
      </c>
      <c r="E62" s="27" t="s">
        <v>535</v>
      </c>
      <c r="F62" s="26" t="s">
        <v>536</v>
      </c>
      <c r="G62" s="28"/>
      <c r="H62" s="28"/>
      <c r="I62" s="26" t="s">
        <v>537</v>
      </c>
      <c r="J62" s="26" t="s">
        <v>217</v>
      </c>
      <c r="K62" s="26" t="s">
        <v>45</v>
      </c>
      <c r="L62" s="26" t="s">
        <v>46</v>
      </c>
      <c r="M62" s="28"/>
      <c r="N62" s="28"/>
      <c r="O62" s="28"/>
      <c r="P62" s="28"/>
      <c r="Q62" s="26" t="s">
        <v>471</v>
      </c>
      <c r="R62" s="26" t="s">
        <v>45</v>
      </c>
      <c r="S62" s="26">
        <f>153*0.987</f>
        <v>151.011</v>
      </c>
      <c r="T62" s="28">
        <f t="shared" ref="T62:T67" si="4">153-S62</f>
        <v>1.989</v>
      </c>
      <c r="U62" s="28"/>
      <c r="V62" s="28"/>
      <c r="W62" s="28"/>
      <c r="X62" s="28"/>
      <c r="Y62" s="28"/>
      <c r="Z62" s="28"/>
      <c r="AA62" s="28"/>
      <c r="AB62" s="28"/>
      <c r="AC62" s="28"/>
      <c r="AD62" s="28"/>
      <c r="AE62" s="28"/>
      <c r="AF62" s="28"/>
      <c r="AG62" s="28"/>
      <c r="AH62" s="28"/>
      <c r="AI62" s="28"/>
      <c r="AJ62" s="28"/>
      <c r="AK62" s="26" t="s">
        <v>537</v>
      </c>
      <c r="AL62" s="26" t="s">
        <v>538</v>
      </c>
    </row>
    <row r="63">
      <c r="A63" s="26" t="s">
        <v>533</v>
      </c>
      <c r="B63" s="26" t="s">
        <v>205</v>
      </c>
      <c r="C63" s="27" t="s">
        <v>197</v>
      </c>
      <c r="D63" s="27" t="s">
        <v>534</v>
      </c>
      <c r="E63" s="27" t="s">
        <v>535</v>
      </c>
      <c r="F63" s="26" t="s">
        <v>536</v>
      </c>
      <c r="G63" s="28"/>
      <c r="H63" s="28"/>
      <c r="I63" s="26" t="s">
        <v>539</v>
      </c>
      <c r="J63" s="26" t="s">
        <v>217</v>
      </c>
      <c r="K63" s="26" t="s">
        <v>45</v>
      </c>
      <c r="L63" s="26" t="s">
        <v>46</v>
      </c>
      <c r="M63" s="28"/>
      <c r="N63" s="28"/>
      <c r="O63" s="28"/>
      <c r="P63" s="28"/>
      <c r="Q63" s="26">
        <f>0.859*64</f>
        <v>54.976</v>
      </c>
      <c r="R63" s="26">
        <f t="shared" ref="R63:R66" si="5">64-Q63</f>
        <v>9.024</v>
      </c>
      <c r="S63" s="26">
        <f>0.882*153</f>
        <v>134.946</v>
      </c>
      <c r="T63" s="28">
        <f t="shared" si="4"/>
        <v>18.054</v>
      </c>
      <c r="U63" s="28"/>
      <c r="V63" s="28"/>
      <c r="W63" s="28"/>
      <c r="X63" s="28"/>
      <c r="Y63" s="28"/>
      <c r="Z63" s="28"/>
      <c r="AA63" s="28"/>
      <c r="AB63" s="28"/>
      <c r="AC63" s="28"/>
      <c r="AD63" s="28"/>
      <c r="AE63" s="28"/>
      <c r="AF63" s="28"/>
      <c r="AG63" s="28"/>
      <c r="AH63" s="28"/>
      <c r="AI63" s="28"/>
      <c r="AJ63" s="28"/>
      <c r="AK63" s="26" t="s">
        <v>539</v>
      </c>
      <c r="AL63" s="26" t="s">
        <v>540</v>
      </c>
    </row>
    <row r="64">
      <c r="A64" s="26" t="s">
        <v>533</v>
      </c>
      <c r="B64" s="26" t="s">
        <v>205</v>
      </c>
      <c r="C64" s="27" t="s">
        <v>197</v>
      </c>
      <c r="D64" s="27" t="s">
        <v>534</v>
      </c>
      <c r="E64" s="27" t="s">
        <v>535</v>
      </c>
      <c r="F64" s="26" t="s">
        <v>536</v>
      </c>
      <c r="G64" s="28"/>
      <c r="H64" s="28"/>
      <c r="I64" s="26" t="s">
        <v>541</v>
      </c>
      <c r="J64" s="26" t="s">
        <v>217</v>
      </c>
      <c r="K64" s="26" t="s">
        <v>45</v>
      </c>
      <c r="L64" s="26" t="s">
        <v>46</v>
      </c>
      <c r="M64" s="28"/>
      <c r="N64" s="28"/>
      <c r="O64" s="28"/>
      <c r="P64" s="28"/>
      <c r="Q64" s="29">
        <f>0.75*64</f>
        <v>48</v>
      </c>
      <c r="R64" s="29">
        <f t="shared" si="5"/>
        <v>16</v>
      </c>
      <c r="S64" s="26">
        <f>0.803*153</f>
        <v>122.859</v>
      </c>
      <c r="T64" s="26">
        <f t="shared" si="4"/>
        <v>30.141</v>
      </c>
      <c r="U64" s="28"/>
      <c r="V64" s="28"/>
      <c r="W64" s="28"/>
      <c r="X64" s="28"/>
      <c r="Y64" s="28"/>
      <c r="Z64" s="28"/>
      <c r="AA64" s="28"/>
      <c r="AB64" s="28"/>
      <c r="AC64" s="28"/>
      <c r="AD64" s="28"/>
      <c r="AE64" s="28"/>
      <c r="AF64" s="28"/>
      <c r="AG64" s="28"/>
      <c r="AH64" s="28"/>
      <c r="AI64" s="28"/>
      <c r="AJ64" s="28"/>
      <c r="AK64" s="26" t="s">
        <v>541</v>
      </c>
      <c r="AL64" s="26" t="s">
        <v>542</v>
      </c>
    </row>
    <row r="65">
      <c r="A65" s="26" t="s">
        <v>533</v>
      </c>
      <c r="B65" s="26" t="s">
        <v>205</v>
      </c>
      <c r="C65" s="27" t="s">
        <v>197</v>
      </c>
      <c r="D65" s="27" t="s">
        <v>534</v>
      </c>
      <c r="E65" s="27" t="s">
        <v>535</v>
      </c>
      <c r="F65" s="26" t="s">
        <v>536</v>
      </c>
      <c r="G65" s="28"/>
      <c r="H65" s="28"/>
      <c r="I65" s="26" t="s">
        <v>543</v>
      </c>
      <c r="J65" s="26" t="s">
        <v>217</v>
      </c>
      <c r="K65" s="26" t="s">
        <v>45</v>
      </c>
      <c r="L65" s="26" t="s">
        <v>46</v>
      </c>
      <c r="M65" s="28"/>
      <c r="N65" s="28"/>
      <c r="O65" s="28"/>
      <c r="P65" s="28"/>
      <c r="Q65" s="26">
        <f t="shared" ref="Q65:Q66" si="6">0.45*64</f>
        <v>28.8</v>
      </c>
      <c r="R65" s="26">
        <f t="shared" si="5"/>
        <v>35.2</v>
      </c>
      <c r="S65" s="26">
        <f>0.7*153</f>
        <v>107.1</v>
      </c>
      <c r="T65" s="28">
        <f t="shared" si="4"/>
        <v>45.9</v>
      </c>
      <c r="U65" s="28"/>
      <c r="V65" s="28"/>
      <c r="W65" s="28"/>
      <c r="X65" s="28"/>
      <c r="Y65" s="28"/>
      <c r="Z65" s="28"/>
      <c r="AA65" s="28"/>
      <c r="AB65" s="28"/>
      <c r="AC65" s="28"/>
      <c r="AD65" s="28"/>
      <c r="AE65" s="28"/>
      <c r="AF65" s="28"/>
      <c r="AG65" s="28"/>
      <c r="AH65" s="28"/>
      <c r="AI65" s="28"/>
      <c r="AJ65" s="28"/>
      <c r="AK65" s="26" t="s">
        <v>543</v>
      </c>
      <c r="AL65" s="26" t="s">
        <v>544</v>
      </c>
    </row>
    <row r="66">
      <c r="A66" s="26" t="s">
        <v>533</v>
      </c>
      <c r="B66" s="26" t="s">
        <v>205</v>
      </c>
      <c r="C66" s="27" t="s">
        <v>197</v>
      </c>
      <c r="D66" s="27" t="s">
        <v>534</v>
      </c>
      <c r="E66" s="27" t="s">
        <v>535</v>
      </c>
      <c r="F66" s="26" t="s">
        <v>536</v>
      </c>
      <c r="G66" s="28"/>
      <c r="H66" s="28"/>
      <c r="I66" s="26" t="s">
        <v>545</v>
      </c>
      <c r="J66" s="26" t="s">
        <v>217</v>
      </c>
      <c r="K66" s="26" t="s">
        <v>45</v>
      </c>
      <c r="L66" s="26" t="s">
        <v>46</v>
      </c>
      <c r="M66" s="28"/>
      <c r="N66" s="28"/>
      <c r="O66" s="28"/>
      <c r="P66" s="28"/>
      <c r="Q66" s="26">
        <f t="shared" si="6"/>
        <v>28.8</v>
      </c>
      <c r="R66" s="26">
        <f t="shared" si="5"/>
        <v>35.2</v>
      </c>
      <c r="S66" s="26">
        <f>0.79*153</f>
        <v>120.87</v>
      </c>
      <c r="T66" s="28">
        <f t="shared" si="4"/>
        <v>32.13</v>
      </c>
      <c r="U66" s="28"/>
      <c r="V66" s="28"/>
      <c r="W66" s="28"/>
      <c r="X66" s="28"/>
      <c r="Y66" s="28"/>
      <c r="Z66" s="28"/>
      <c r="AA66" s="28"/>
      <c r="AB66" s="28"/>
      <c r="AC66" s="28"/>
      <c r="AD66" s="28"/>
      <c r="AE66" s="28"/>
      <c r="AF66" s="28"/>
      <c r="AG66" s="28"/>
      <c r="AH66" s="28"/>
      <c r="AI66" s="28"/>
      <c r="AJ66" s="28"/>
      <c r="AK66" s="26" t="s">
        <v>545</v>
      </c>
      <c r="AL66" s="26" t="s">
        <v>546</v>
      </c>
    </row>
    <row r="67">
      <c r="A67" s="26" t="s">
        <v>533</v>
      </c>
      <c r="B67" s="26" t="s">
        <v>205</v>
      </c>
      <c r="C67" s="27" t="s">
        <v>197</v>
      </c>
      <c r="D67" s="27" t="s">
        <v>534</v>
      </c>
      <c r="E67" s="27" t="s">
        <v>535</v>
      </c>
      <c r="F67" s="26" t="s">
        <v>536</v>
      </c>
      <c r="G67" s="28"/>
      <c r="H67" s="28"/>
      <c r="I67" s="26" t="s">
        <v>547</v>
      </c>
      <c r="J67" s="26" t="s">
        <v>217</v>
      </c>
      <c r="K67" s="26" t="s">
        <v>45</v>
      </c>
      <c r="L67" s="26" t="s">
        <v>46</v>
      </c>
      <c r="M67" s="28"/>
      <c r="N67" s="28"/>
      <c r="O67" s="28"/>
      <c r="P67" s="28"/>
      <c r="Q67" s="26" t="s">
        <v>45</v>
      </c>
      <c r="R67" s="26" t="s">
        <v>471</v>
      </c>
      <c r="S67" s="26">
        <f>0.013*153</f>
        <v>1.989</v>
      </c>
      <c r="T67" s="28">
        <f t="shared" si="4"/>
        <v>151.011</v>
      </c>
      <c r="U67" s="28"/>
      <c r="V67" s="28"/>
      <c r="W67" s="28"/>
      <c r="X67" s="28"/>
      <c r="Y67" s="28"/>
      <c r="Z67" s="28"/>
      <c r="AA67" s="28"/>
      <c r="AB67" s="28"/>
      <c r="AC67" s="28"/>
      <c r="AD67" s="28"/>
      <c r="AE67" s="28"/>
      <c r="AF67" s="28"/>
      <c r="AG67" s="28"/>
      <c r="AH67" s="28"/>
      <c r="AI67" s="28"/>
      <c r="AJ67" s="28"/>
      <c r="AK67" s="26" t="s">
        <v>547</v>
      </c>
      <c r="AL67" s="26" t="s">
        <v>548</v>
      </c>
    </row>
    <row r="68">
      <c r="A68" s="3" t="s">
        <v>549</v>
      </c>
      <c r="B68" s="3" t="s">
        <v>238</v>
      </c>
      <c r="C68" s="4" t="s">
        <v>550</v>
      </c>
      <c r="D68" s="4" t="s">
        <v>551</v>
      </c>
      <c r="E68" s="4" t="s">
        <v>551</v>
      </c>
      <c r="F68" s="3" t="s">
        <v>552</v>
      </c>
      <c r="G68" s="5"/>
      <c r="H68" s="5"/>
      <c r="I68" s="5"/>
      <c r="J68" s="3" t="s">
        <v>217</v>
      </c>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row>
    <row r="69">
      <c r="A69" s="3" t="s">
        <v>553</v>
      </c>
      <c r="B69" s="3" t="s">
        <v>237</v>
      </c>
      <c r="C69" s="4" t="s">
        <v>554</v>
      </c>
      <c r="D69" s="21" t="s">
        <v>555</v>
      </c>
      <c r="E69" s="21" t="s">
        <v>555</v>
      </c>
      <c r="F69" s="3" t="s">
        <v>556</v>
      </c>
      <c r="G69" s="5"/>
      <c r="H69" s="5"/>
      <c r="I69" s="5"/>
      <c r="J69" s="3" t="s">
        <v>182</v>
      </c>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row>
    <row r="70">
      <c r="A70" s="7" t="s">
        <v>557</v>
      </c>
      <c r="B70" s="7" t="s">
        <v>82</v>
      </c>
      <c r="C70" s="8" t="s">
        <v>558</v>
      </c>
      <c r="D70" s="19" t="s">
        <v>559</v>
      </c>
      <c r="E70" s="19" t="s">
        <v>559</v>
      </c>
      <c r="F70" s="7" t="s">
        <v>361</v>
      </c>
      <c r="G70" s="9"/>
      <c r="H70" s="9"/>
      <c r="I70" s="7" t="s">
        <v>560</v>
      </c>
      <c r="J70" s="7" t="s">
        <v>561</v>
      </c>
      <c r="K70" s="7" t="s">
        <v>45</v>
      </c>
      <c r="L70" s="7" t="s">
        <v>46</v>
      </c>
      <c r="M70" s="9"/>
      <c r="N70" s="9"/>
      <c r="O70" s="9"/>
      <c r="P70" s="9"/>
      <c r="Q70" s="9"/>
      <c r="R70" s="9"/>
      <c r="S70" s="9"/>
      <c r="T70" s="9"/>
      <c r="U70" s="9"/>
      <c r="V70" s="9"/>
      <c r="W70" s="9"/>
      <c r="X70" s="9"/>
      <c r="Y70" s="9"/>
      <c r="Z70" s="9"/>
      <c r="AA70" s="9"/>
      <c r="AB70" s="9"/>
      <c r="AC70" s="9"/>
      <c r="AD70" s="9"/>
      <c r="AE70" s="9"/>
      <c r="AF70" s="9"/>
      <c r="AG70" s="9"/>
      <c r="AH70" s="9"/>
      <c r="AI70" s="9"/>
      <c r="AJ70" s="9"/>
      <c r="AK70" s="7" t="s">
        <v>562</v>
      </c>
      <c r="AL70" s="9"/>
    </row>
    <row r="71">
      <c r="A71" s="3" t="s">
        <v>563</v>
      </c>
      <c r="B71" s="3" t="s">
        <v>330</v>
      </c>
      <c r="C71" s="22"/>
      <c r="D71" s="21" t="s">
        <v>564</v>
      </c>
      <c r="E71" s="21" t="s">
        <v>564</v>
      </c>
      <c r="F71" s="5"/>
      <c r="G71" s="5"/>
      <c r="H71" s="5"/>
      <c r="I71" s="5"/>
      <c r="J71" s="3" t="s">
        <v>217</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3" t="s">
        <v>565</v>
      </c>
      <c r="AL71" s="5"/>
    </row>
    <row r="72">
      <c r="A72" s="3" t="s">
        <v>566</v>
      </c>
      <c r="B72" s="3" t="s">
        <v>82</v>
      </c>
      <c r="C72" s="4" t="s">
        <v>567</v>
      </c>
      <c r="D72" s="4" t="s">
        <v>568</v>
      </c>
      <c r="E72" s="4" t="s">
        <v>568</v>
      </c>
      <c r="F72" s="30" t="s">
        <v>569</v>
      </c>
      <c r="G72" s="5"/>
      <c r="H72" s="5"/>
      <c r="I72" s="5"/>
      <c r="J72" s="3" t="s">
        <v>570</v>
      </c>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3" t="s">
        <v>571</v>
      </c>
      <c r="AL72" s="5"/>
    </row>
    <row r="73">
      <c r="A73" s="3" t="s">
        <v>572</v>
      </c>
      <c r="B73" s="3" t="s">
        <v>196</v>
      </c>
      <c r="C73" s="4" t="s">
        <v>573</v>
      </c>
      <c r="D73" s="21" t="s">
        <v>574</v>
      </c>
      <c r="E73" s="21" t="s">
        <v>574</v>
      </c>
      <c r="F73" s="5"/>
      <c r="G73" s="5"/>
      <c r="H73" s="5"/>
      <c r="I73" s="5"/>
      <c r="J73" s="3" t="s">
        <v>575</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row>
    <row r="74">
      <c r="A74" s="7" t="s">
        <v>53</v>
      </c>
      <c r="B74" s="7" t="s">
        <v>330</v>
      </c>
      <c r="C74" s="8" t="s">
        <v>576</v>
      </c>
      <c r="D74" s="19" t="s">
        <v>577</v>
      </c>
      <c r="E74" s="19" t="s">
        <v>577</v>
      </c>
      <c r="F74" s="7" t="s">
        <v>361</v>
      </c>
      <c r="G74" s="9"/>
      <c r="H74" s="9"/>
      <c r="I74" s="7" t="s">
        <v>578</v>
      </c>
      <c r="J74" s="7" t="s">
        <v>579</v>
      </c>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7" t="s">
        <v>580</v>
      </c>
    </row>
    <row r="75">
      <c r="A75" s="3" t="s">
        <v>581</v>
      </c>
      <c r="B75" s="3" t="s">
        <v>112</v>
      </c>
      <c r="C75" s="4" t="s">
        <v>582</v>
      </c>
      <c r="D75" s="21" t="s">
        <v>583</v>
      </c>
      <c r="E75" s="21" t="s">
        <v>583</v>
      </c>
      <c r="F75" s="5"/>
      <c r="G75" s="5"/>
      <c r="H75" s="5"/>
      <c r="I75" s="5"/>
      <c r="J75" s="3" t="s">
        <v>217</v>
      </c>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row>
    <row r="76">
      <c r="A76" s="7" t="s">
        <v>584</v>
      </c>
      <c r="B76" s="7" t="s">
        <v>49</v>
      </c>
      <c r="C76" s="8" t="s">
        <v>50</v>
      </c>
      <c r="D76" s="8" t="s">
        <v>585</v>
      </c>
      <c r="E76" s="8" t="s">
        <v>586</v>
      </c>
      <c r="F76" s="7" t="s">
        <v>587</v>
      </c>
      <c r="G76" s="9"/>
      <c r="H76" s="9"/>
      <c r="I76" s="7" t="s">
        <v>588</v>
      </c>
      <c r="J76" s="7" t="s">
        <v>589</v>
      </c>
      <c r="K76" s="7" t="s">
        <v>56</v>
      </c>
      <c r="L76" s="9">
        <f>23/12</f>
        <v>1.916666667</v>
      </c>
      <c r="M76" s="7" t="s">
        <v>140</v>
      </c>
      <c r="N76" s="7" t="s">
        <v>590</v>
      </c>
      <c r="O76" s="7" t="s">
        <v>591</v>
      </c>
      <c r="P76" s="7" t="s">
        <v>592</v>
      </c>
      <c r="Q76" s="7" t="s">
        <v>593</v>
      </c>
      <c r="R76" s="7" t="s">
        <v>594</v>
      </c>
      <c r="S76" s="7" t="s">
        <v>595</v>
      </c>
      <c r="T76" s="7" t="s">
        <v>596</v>
      </c>
      <c r="U76" s="7" t="s">
        <v>597</v>
      </c>
      <c r="V76" s="7" t="s">
        <v>598</v>
      </c>
      <c r="W76" s="7" t="s">
        <v>599</v>
      </c>
      <c r="X76" s="7" t="s">
        <v>600</v>
      </c>
      <c r="Y76" s="7" t="s">
        <v>601</v>
      </c>
      <c r="Z76" s="7" t="s">
        <v>602</v>
      </c>
      <c r="AA76" s="7" t="s">
        <v>603</v>
      </c>
      <c r="AB76" s="7" t="s">
        <v>150</v>
      </c>
      <c r="AC76" s="7" t="s">
        <v>604</v>
      </c>
      <c r="AD76" s="7" t="s">
        <v>605</v>
      </c>
      <c r="AE76" s="9"/>
      <c r="AF76" s="9"/>
      <c r="AG76" s="7" t="s">
        <v>606</v>
      </c>
      <c r="AH76" s="7" t="s">
        <v>607</v>
      </c>
      <c r="AI76" s="7" t="s">
        <v>608</v>
      </c>
      <c r="AJ76" s="7" t="s">
        <v>253</v>
      </c>
      <c r="AK76" s="7" t="s">
        <v>609</v>
      </c>
      <c r="AL76" s="7" t="s">
        <v>610</v>
      </c>
    </row>
    <row r="77">
      <c r="A77" s="7" t="s">
        <v>611</v>
      </c>
      <c r="B77" s="7" t="s">
        <v>612</v>
      </c>
      <c r="C77" s="8" t="s">
        <v>613</v>
      </c>
      <c r="D77" s="8" t="s">
        <v>614</v>
      </c>
      <c r="E77" s="8" t="s">
        <v>615</v>
      </c>
      <c r="F77" s="7" t="s">
        <v>587</v>
      </c>
      <c r="G77" s="9"/>
      <c r="H77" s="9"/>
      <c r="I77" s="16" t="s">
        <v>616</v>
      </c>
      <c r="J77" s="7" t="s">
        <v>617</v>
      </c>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7" t="s">
        <v>618</v>
      </c>
    </row>
    <row r="78">
      <c r="A78" s="7" t="s">
        <v>619</v>
      </c>
      <c r="B78" s="7" t="s">
        <v>238</v>
      </c>
      <c r="C78" s="8" t="s">
        <v>64</v>
      </c>
      <c r="D78" s="8" t="s">
        <v>620</v>
      </c>
      <c r="E78" s="8" t="s">
        <v>621</v>
      </c>
      <c r="F78" s="7" t="s">
        <v>587</v>
      </c>
      <c r="G78" s="9"/>
      <c r="H78" s="9"/>
      <c r="I78" s="9"/>
      <c r="J78" s="7" t="s">
        <v>617</v>
      </c>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7" t="s">
        <v>618</v>
      </c>
    </row>
    <row r="79">
      <c r="A79" s="7" t="s">
        <v>622</v>
      </c>
      <c r="B79" s="7" t="s">
        <v>40</v>
      </c>
      <c r="C79" s="8" t="s">
        <v>623</v>
      </c>
      <c r="D79" s="16" t="s">
        <v>624</v>
      </c>
      <c r="E79" s="8" t="s">
        <v>625</v>
      </c>
      <c r="F79" s="7" t="s">
        <v>587</v>
      </c>
      <c r="G79" s="9">
        <f>0.667*468</f>
        <v>312.156</v>
      </c>
      <c r="H79" s="9">
        <f>468*0.047</f>
        <v>21.996</v>
      </c>
      <c r="I79" s="7" t="s">
        <v>626</v>
      </c>
      <c r="J79" s="7" t="s">
        <v>627</v>
      </c>
      <c r="K79" s="9">
        <f>11/12</f>
        <v>0.9166666667</v>
      </c>
      <c r="L79" s="9">
        <f>23/12</f>
        <v>1.916666667</v>
      </c>
      <c r="M79" s="9">
        <f>0.676*225</f>
        <v>152.1</v>
      </c>
      <c r="N79" s="9">
        <f>225-M79</f>
        <v>72.9</v>
      </c>
      <c r="O79" s="9">
        <f>243*0.659</f>
        <v>160.137</v>
      </c>
      <c r="P79" s="9">
        <f>243-O79</f>
        <v>82.863</v>
      </c>
      <c r="Q79" s="9">
        <f>0.621*382</f>
        <v>237.222</v>
      </c>
      <c r="R79" s="9">
        <f>382-Q79</f>
        <v>144.778</v>
      </c>
      <c r="S79" s="9">
        <f>0.871*87</f>
        <v>75.777</v>
      </c>
      <c r="T79" s="9">
        <f>87-S79</f>
        <v>11.223</v>
      </c>
      <c r="U79" s="9"/>
      <c r="V79" s="9"/>
      <c r="W79" s="9"/>
      <c r="X79" s="9"/>
      <c r="Y79" s="9">
        <f>0.395*33</f>
        <v>13.035</v>
      </c>
      <c r="Z79" s="9">
        <f>33-Y79</f>
        <v>19.965</v>
      </c>
      <c r="AA79" s="9">
        <f>0.635*157</f>
        <v>99.695</v>
      </c>
      <c r="AB79" s="9">
        <f>157-AA79</f>
        <v>57.305</v>
      </c>
      <c r="AC79" s="9">
        <f>0.774*122</f>
        <v>94.428</v>
      </c>
      <c r="AD79" s="9">
        <f>122-AC79</f>
        <v>27.572</v>
      </c>
      <c r="AE79" s="9">
        <f>83*0.829</f>
        <v>68.807</v>
      </c>
      <c r="AF79" s="9">
        <f>83-AE79</f>
        <v>14.193</v>
      </c>
      <c r="AG79" s="9"/>
      <c r="AH79" s="9"/>
      <c r="AI79" s="9"/>
      <c r="AJ79" s="9"/>
      <c r="AK79" s="31" t="s">
        <v>628</v>
      </c>
      <c r="AL79" s="7" t="s">
        <v>629</v>
      </c>
    </row>
    <row r="80">
      <c r="A80" s="7" t="s">
        <v>630</v>
      </c>
      <c r="B80" s="7" t="s">
        <v>330</v>
      </c>
      <c r="C80" s="8" t="s">
        <v>631</v>
      </c>
      <c r="D80" s="8" t="s">
        <v>632</v>
      </c>
      <c r="E80" s="8" t="s">
        <v>633</v>
      </c>
      <c r="F80" s="7" t="s">
        <v>587</v>
      </c>
      <c r="G80" s="9"/>
      <c r="H80" s="32"/>
      <c r="I80" s="33" t="s">
        <v>634</v>
      </c>
      <c r="J80" s="7" t="s">
        <v>635</v>
      </c>
      <c r="K80" s="7">
        <f t="shared" ref="K80:K81" si="7">12/12</f>
        <v>1</v>
      </c>
      <c r="L80" s="7" t="s">
        <v>46</v>
      </c>
      <c r="M80" s="9"/>
      <c r="N80" s="9"/>
      <c r="O80" s="9"/>
      <c r="P80" s="9"/>
      <c r="Q80" s="9"/>
      <c r="R80" s="9"/>
      <c r="S80" s="9"/>
      <c r="T80" s="9"/>
      <c r="U80" s="9"/>
      <c r="V80" s="9"/>
      <c r="W80" s="9"/>
      <c r="X80" s="9"/>
      <c r="Y80" s="9"/>
      <c r="Z80" s="9"/>
      <c r="AA80" s="9"/>
      <c r="AB80" s="9"/>
      <c r="AC80" s="9"/>
      <c r="AD80" s="9"/>
      <c r="AE80" s="9"/>
      <c r="AF80" s="9"/>
      <c r="AG80" s="9"/>
      <c r="AH80" s="9"/>
      <c r="AI80" s="9"/>
      <c r="AJ80" s="9"/>
      <c r="AK80" s="9"/>
      <c r="AL80" s="7" t="s">
        <v>636</v>
      </c>
    </row>
    <row r="81">
      <c r="A81" s="7" t="s">
        <v>637</v>
      </c>
      <c r="B81" s="7" t="s">
        <v>112</v>
      </c>
      <c r="C81" s="8" t="s">
        <v>196</v>
      </c>
      <c r="D81" s="8" t="s">
        <v>638</v>
      </c>
      <c r="E81" s="8" t="s">
        <v>639</v>
      </c>
      <c r="F81" s="7" t="s">
        <v>587</v>
      </c>
      <c r="G81" s="9">
        <f>1025*0.792</f>
        <v>811.8</v>
      </c>
      <c r="H81" s="9">
        <f>1025-G81</f>
        <v>213.2</v>
      </c>
      <c r="I81" s="7" t="s">
        <v>640</v>
      </c>
      <c r="J81" s="7" t="s">
        <v>327</v>
      </c>
      <c r="K81" s="9">
        <f t="shared" si="7"/>
        <v>1</v>
      </c>
      <c r="L81" s="9">
        <f t="shared" ref="L81:L84" si="8">23/12</f>
        <v>1.916666667</v>
      </c>
      <c r="M81" s="7" t="s">
        <v>641</v>
      </c>
      <c r="N81" s="9">
        <f>455-366</f>
        <v>89</v>
      </c>
      <c r="O81" s="7" t="s">
        <v>642</v>
      </c>
      <c r="P81" s="9">
        <f>570-445</f>
        <v>125</v>
      </c>
      <c r="Q81" s="7" t="s">
        <v>643</v>
      </c>
      <c r="R81" s="9">
        <f>440-347</f>
        <v>93</v>
      </c>
      <c r="S81" s="7" t="s">
        <v>644</v>
      </c>
      <c r="T81" s="9">
        <f>585-464</f>
        <v>121</v>
      </c>
      <c r="U81" s="7" t="s">
        <v>645</v>
      </c>
      <c r="V81" s="9">
        <f>109-89</f>
        <v>20</v>
      </c>
      <c r="W81" s="7" t="s">
        <v>646</v>
      </c>
      <c r="X81" s="9">
        <f>254-197</f>
        <v>57</v>
      </c>
      <c r="Y81" s="7" t="s">
        <v>647</v>
      </c>
      <c r="Z81" s="9">
        <f>302-213</f>
        <v>89</v>
      </c>
      <c r="AA81" s="7" t="s">
        <v>648</v>
      </c>
      <c r="AB81" s="9">
        <f>207-160</f>
        <v>47</v>
      </c>
      <c r="AC81" s="7" t="s">
        <v>649</v>
      </c>
      <c r="AD81" s="9">
        <f>516-438</f>
        <v>78</v>
      </c>
      <c r="AE81" s="9"/>
      <c r="AF81" s="9"/>
      <c r="AG81" s="9"/>
      <c r="AH81" s="9"/>
      <c r="AI81" s="9"/>
      <c r="AJ81" s="9"/>
      <c r="AK81" s="31" t="s">
        <v>650</v>
      </c>
      <c r="AL81" s="7" t="s">
        <v>651</v>
      </c>
    </row>
    <row r="82">
      <c r="A82" s="7" t="s">
        <v>652</v>
      </c>
      <c r="B82" s="7" t="s">
        <v>49</v>
      </c>
      <c r="C82" s="8" t="s">
        <v>330</v>
      </c>
      <c r="D82" s="8" t="s">
        <v>653</v>
      </c>
      <c r="E82" s="8" t="s">
        <v>654</v>
      </c>
      <c r="F82" s="7" t="s">
        <v>587</v>
      </c>
      <c r="G82" s="9">
        <f>904*0.554</f>
        <v>500.816</v>
      </c>
      <c r="H82" s="9">
        <f>904-G82</f>
        <v>403.184</v>
      </c>
      <c r="I82" s="7" t="s">
        <v>655</v>
      </c>
      <c r="J82" s="7" t="s">
        <v>656</v>
      </c>
      <c r="K82" s="7" t="s">
        <v>56</v>
      </c>
      <c r="L82" s="9">
        <f t="shared" si="8"/>
        <v>1.916666667</v>
      </c>
      <c r="M82" s="9">
        <f>404*0.578</f>
        <v>233.512</v>
      </c>
      <c r="N82" s="9">
        <f>404-M82</f>
        <v>170.488</v>
      </c>
      <c r="O82" s="9">
        <f>499*0.582</f>
        <v>290.418</v>
      </c>
      <c r="P82" s="9">
        <f>499-O82</f>
        <v>208.582</v>
      </c>
      <c r="Q82" s="9">
        <f>697*0.509</f>
        <v>354.773</v>
      </c>
      <c r="R82" s="9">
        <f>697-Q82</f>
        <v>342.227</v>
      </c>
      <c r="S82" s="9">
        <f>207*0.678</f>
        <v>140.346</v>
      </c>
      <c r="T82" s="9">
        <f>207-S82</f>
        <v>66.654</v>
      </c>
      <c r="U82" s="34" t="s">
        <v>657</v>
      </c>
      <c r="V82" s="9"/>
      <c r="W82" s="9"/>
      <c r="X82" s="9"/>
      <c r="Y82" s="9"/>
      <c r="Z82" s="9"/>
      <c r="AA82" s="9"/>
      <c r="AB82" s="9"/>
      <c r="AC82" s="9">
        <f>374*0.614</f>
        <v>229.636</v>
      </c>
      <c r="AD82" s="9">
        <f>374-AC82</f>
        <v>144.364</v>
      </c>
      <c r="AE82" s="35"/>
      <c r="AF82" s="9"/>
      <c r="AG82" s="9">
        <f>868*0.558</f>
        <v>484.344</v>
      </c>
      <c r="AH82" s="9">
        <f>868-AG82</f>
        <v>383.656</v>
      </c>
      <c r="AI82" s="9">
        <f>29*0.412</f>
        <v>11.948</v>
      </c>
      <c r="AJ82" s="9">
        <f>29-AI82</f>
        <v>17.052</v>
      </c>
      <c r="AK82" s="7" t="s">
        <v>658</v>
      </c>
      <c r="AL82" s="16" t="s">
        <v>659</v>
      </c>
    </row>
    <row r="83">
      <c r="A83" s="7" t="s">
        <v>660</v>
      </c>
      <c r="B83" s="7" t="s">
        <v>297</v>
      </c>
      <c r="C83" s="8" t="s">
        <v>196</v>
      </c>
      <c r="D83" s="8" t="s">
        <v>661</v>
      </c>
      <c r="E83" s="8" t="s">
        <v>662</v>
      </c>
      <c r="F83" s="7" t="s">
        <v>587</v>
      </c>
      <c r="G83" s="9">
        <f>708-289</f>
        <v>419</v>
      </c>
      <c r="H83" s="7" t="s">
        <v>242</v>
      </c>
      <c r="I83" s="7" t="s">
        <v>655</v>
      </c>
      <c r="J83" s="7" t="s">
        <v>663</v>
      </c>
      <c r="K83" s="7" t="s">
        <v>56</v>
      </c>
      <c r="L83" s="9">
        <f t="shared" si="8"/>
        <v>1.916666667</v>
      </c>
      <c r="M83" s="9">
        <f>325-N83</f>
        <v>187</v>
      </c>
      <c r="N83" s="7" t="s">
        <v>664</v>
      </c>
      <c r="O83" s="9">
        <f>325-P83</f>
        <v>174</v>
      </c>
      <c r="P83" s="7" t="s">
        <v>247</v>
      </c>
      <c r="Q83" s="9">
        <f>350-R83</f>
        <v>201</v>
      </c>
      <c r="R83" s="7" t="s">
        <v>665</v>
      </c>
      <c r="S83" s="7">
        <f>358-T83</f>
        <v>218</v>
      </c>
      <c r="T83" s="7" t="s">
        <v>666</v>
      </c>
      <c r="U83" s="34"/>
      <c r="V83" s="9"/>
      <c r="W83" s="9"/>
      <c r="X83" s="9"/>
      <c r="Y83" s="9"/>
      <c r="Z83" s="34"/>
      <c r="AA83" s="9"/>
      <c r="AB83" s="9"/>
      <c r="AC83" s="9">
        <f>638-AD83</f>
        <v>382</v>
      </c>
      <c r="AD83" s="7" t="s">
        <v>667</v>
      </c>
      <c r="AE83" s="9"/>
      <c r="AF83" s="9"/>
      <c r="AG83" s="9">
        <f>156-AH83</f>
        <v>92</v>
      </c>
      <c r="AH83" s="7" t="s">
        <v>471</v>
      </c>
      <c r="AI83" s="9">
        <f>551-AJ83</f>
        <v>326</v>
      </c>
      <c r="AJ83" s="7" t="s">
        <v>668</v>
      </c>
      <c r="AK83" s="36" t="s">
        <v>669</v>
      </c>
      <c r="AL83" s="9"/>
    </row>
    <row r="84">
      <c r="A84" s="7" t="s">
        <v>670</v>
      </c>
      <c r="B84" s="7" t="s">
        <v>238</v>
      </c>
      <c r="C84" s="8" t="s">
        <v>671</v>
      </c>
      <c r="D84" s="8" t="s">
        <v>672</v>
      </c>
      <c r="E84" s="8" t="s">
        <v>673</v>
      </c>
      <c r="F84" s="7" t="s">
        <v>587</v>
      </c>
      <c r="G84" s="9">
        <f>65617-H84</f>
        <v>62444</v>
      </c>
      <c r="H84" s="7" t="s">
        <v>674</v>
      </c>
      <c r="I84" s="7" t="s">
        <v>675</v>
      </c>
      <c r="J84" s="7" t="s">
        <v>217</v>
      </c>
      <c r="K84" s="7" t="s">
        <v>56</v>
      </c>
      <c r="L84" s="9">
        <f t="shared" si="8"/>
        <v>1.916666667</v>
      </c>
      <c r="M84" s="9"/>
      <c r="N84" s="9"/>
      <c r="O84" s="9"/>
      <c r="P84" s="9"/>
      <c r="Q84" s="9"/>
      <c r="R84" s="9"/>
      <c r="S84" s="9"/>
      <c r="T84" s="9"/>
      <c r="U84" s="9"/>
      <c r="V84" s="9"/>
      <c r="W84" s="9"/>
      <c r="X84" s="9"/>
      <c r="Y84" s="9"/>
      <c r="Z84" s="9"/>
      <c r="AA84" s="9"/>
      <c r="AB84" s="9"/>
      <c r="AC84" s="9"/>
      <c r="AD84" s="9"/>
      <c r="AE84" s="9"/>
      <c r="AF84" s="9"/>
      <c r="AG84" s="9"/>
      <c r="AH84" s="9"/>
      <c r="AI84" s="9"/>
      <c r="AJ84" s="9"/>
      <c r="AK84" s="37" t="s">
        <v>676</v>
      </c>
      <c r="AL84" s="7" t="s">
        <v>580</v>
      </c>
    </row>
    <row r="85">
      <c r="A85" s="7" t="s">
        <v>677</v>
      </c>
      <c r="B85" s="7" t="s">
        <v>82</v>
      </c>
      <c r="C85" s="8" t="s">
        <v>238</v>
      </c>
      <c r="D85" s="8" t="s">
        <v>678</v>
      </c>
      <c r="E85" s="19" t="s">
        <v>679</v>
      </c>
      <c r="F85" s="7" t="s">
        <v>680</v>
      </c>
      <c r="G85" s="7" t="s">
        <v>681</v>
      </c>
      <c r="H85" s="7" t="s">
        <v>682</v>
      </c>
      <c r="I85" s="7" t="s">
        <v>683</v>
      </c>
      <c r="J85" s="7" t="s">
        <v>684</v>
      </c>
      <c r="K85" s="7" t="s">
        <v>56</v>
      </c>
      <c r="L85" s="9">
        <f>35/12</f>
        <v>2.916666667</v>
      </c>
      <c r="M85" s="7" t="s">
        <v>685</v>
      </c>
      <c r="N85" s="7" t="s">
        <v>686</v>
      </c>
      <c r="O85" s="7" t="s">
        <v>687</v>
      </c>
      <c r="P85" s="7" t="s">
        <v>688</v>
      </c>
      <c r="Q85" s="9"/>
      <c r="R85" s="9"/>
      <c r="S85" s="9"/>
      <c r="T85" s="9"/>
      <c r="U85" s="9"/>
      <c r="V85" s="9"/>
      <c r="W85" s="9"/>
      <c r="X85" s="9"/>
      <c r="Y85" s="9"/>
      <c r="Z85" s="9"/>
      <c r="AA85" s="7" t="s">
        <v>689</v>
      </c>
      <c r="AB85" s="7" t="s">
        <v>688</v>
      </c>
      <c r="AC85" s="7" t="s">
        <v>690</v>
      </c>
      <c r="AD85" s="7" t="s">
        <v>400</v>
      </c>
      <c r="AE85" s="9"/>
      <c r="AF85" s="9"/>
      <c r="AG85" s="9"/>
      <c r="AH85" s="9"/>
      <c r="AI85" s="9"/>
      <c r="AJ85" s="9"/>
      <c r="AK85" s="7" t="s">
        <v>691</v>
      </c>
      <c r="AL85" s="7" t="s">
        <v>692</v>
      </c>
    </row>
    <row r="86">
      <c r="A86" s="7" t="s">
        <v>693</v>
      </c>
      <c r="B86" s="7" t="s">
        <v>237</v>
      </c>
      <c r="C86" s="8" t="s">
        <v>694</v>
      </c>
      <c r="D86" s="38" t="s">
        <v>695</v>
      </c>
      <c r="E86" s="8" t="s">
        <v>696</v>
      </c>
      <c r="F86" s="7" t="s">
        <v>434</v>
      </c>
      <c r="G86" s="7" t="s">
        <v>697</v>
      </c>
      <c r="H86" s="9">
        <f>4584-G86</f>
        <v>852</v>
      </c>
      <c r="I86" s="7" t="s">
        <v>698</v>
      </c>
      <c r="J86" s="7" t="s">
        <v>243</v>
      </c>
      <c r="K86" s="7" t="s">
        <v>56</v>
      </c>
      <c r="L86" s="9">
        <f>23/12</f>
        <v>1.916666667</v>
      </c>
      <c r="M86" s="9">
        <f>460+847+452</f>
        <v>1759</v>
      </c>
      <c r="N86" s="9">
        <f>2208-M86</f>
        <v>449</v>
      </c>
      <c r="O86" s="9">
        <f>1278+695</f>
        <v>1973</v>
      </c>
      <c r="P86" s="9">
        <f>2376-O86</f>
        <v>403</v>
      </c>
      <c r="Q86" s="9"/>
      <c r="R86" s="9"/>
      <c r="S86" s="9"/>
      <c r="T86" s="9"/>
      <c r="U86" s="9"/>
      <c r="V86" s="9"/>
      <c r="W86" s="9"/>
      <c r="X86" s="9"/>
      <c r="Y86" s="9"/>
      <c r="Z86" s="9"/>
      <c r="AA86" s="9"/>
      <c r="AB86" s="9"/>
      <c r="AC86" s="7" t="s">
        <v>699</v>
      </c>
      <c r="AD86" s="9">
        <f>1605-AC86</f>
        <v>245</v>
      </c>
      <c r="AE86" s="9"/>
      <c r="AF86" s="9"/>
      <c r="AG86" s="9"/>
      <c r="AH86" s="9"/>
      <c r="AI86" s="9"/>
      <c r="AJ86" s="9"/>
      <c r="AK86" s="39" t="s">
        <v>700</v>
      </c>
      <c r="AL86" s="7" t="s">
        <v>701</v>
      </c>
    </row>
    <row r="87">
      <c r="A87" s="7" t="s">
        <v>702</v>
      </c>
      <c r="B87" s="7" t="s">
        <v>50</v>
      </c>
      <c r="C87" s="8" t="s">
        <v>703</v>
      </c>
      <c r="D87" s="16" t="s">
        <v>704</v>
      </c>
      <c r="E87" s="8" t="s">
        <v>705</v>
      </c>
      <c r="F87" s="7" t="s">
        <v>434</v>
      </c>
      <c r="G87" s="9"/>
      <c r="H87" s="9"/>
      <c r="I87" s="9"/>
      <c r="J87" s="7" t="s">
        <v>706</v>
      </c>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35"/>
      <c r="AL87" s="7" t="s">
        <v>580</v>
      </c>
    </row>
    <row r="88">
      <c r="A88" s="7" t="s">
        <v>707</v>
      </c>
      <c r="B88" s="7" t="s">
        <v>237</v>
      </c>
      <c r="C88" s="8" t="s">
        <v>708</v>
      </c>
      <c r="D88" s="40" t="s">
        <v>709</v>
      </c>
      <c r="E88" s="8" t="s">
        <v>710</v>
      </c>
      <c r="F88" s="7" t="s">
        <v>434</v>
      </c>
      <c r="G88" s="9"/>
      <c r="H88" s="9"/>
      <c r="I88" s="7" t="s">
        <v>711</v>
      </c>
      <c r="J88" s="7" t="s">
        <v>182</v>
      </c>
      <c r="K88" s="7" t="s">
        <v>56</v>
      </c>
      <c r="L88" s="9">
        <f>23/12</f>
        <v>1.916666667</v>
      </c>
      <c r="M88" s="9"/>
      <c r="N88" s="9"/>
      <c r="O88" s="9"/>
      <c r="P88" s="9"/>
      <c r="Q88" s="9"/>
      <c r="R88" s="9"/>
      <c r="S88" s="9"/>
      <c r="T88" s="9"/>
      <c r="U88" s="9"/>
      <c r="V88" s="9"/>
      <c r="W88" s="9"/>
      <c r="X88" s="9"/>
      <c r="Y88" s="9"/>
      <c r="Z88" s="9"/>
      <c r="AA88" s="9"/>
      <c r="AB88" s="9"/>
      <c r="AC88" s="9"/>
      <c r="AD88" s="9"/>
      <c r="AE88" s="9"/>
      <c r="AF88" s="9"/>
      <c r="AG88" s="9"/>
      <c r="AH88" s="9"/>
      <c r="AI88" s="9"/>
      <c r="AJ88" s="9"/>
      <c r="AK88" s="41" t="s">
        <v>712</v>
      </c>
      <c r="AL88" s="7" t="s">
        <v>580</v>
      </c>
    </row>
    <row r="89">
      <c r="A89" s="7" t="s">
        <v>157</v>
      </c>
      <c r="B89" s="7" t="s">
        <v>112</v>
      </c>
      <c r="C89" s="8" t="s">
        <v>713</v>
      </c>
      <c r="D89" s="16" t="s">
        <v>714</v>
      </c>
      <c r="E89" s="8" t="s">
        <v>715</v>
      </c>
      <c r="F89" s="7" t="s">
        <v>716</v>
      </c>
      <c r="G89" s="9"/>
      <c r="H89" s="9"/>
      <c r="I89" s="9"/>
      <c r="J89" s="7" t="s">
        <v>575</v>
      </c>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row>
    <row r="90">
      <c r="A90" s="7" t="s">
        <v>717</v>
      </c>
      <c r="B90" s="7" t="s">
        <v>50</v>
      </c>
      <c r="C90" s="8" t="s">
        <v>718</v>
      </c>
      <c r="D90" s="8" t="s">
        <v>462</v>
      </c>
      <c r="E90" s="8" t="s">
        <v>462</v>
      </c>
      <c r="F90" s="7" t="s">
        <v>361</v>
      </c>
      <c r="G90" s="9"/>
      <c r="H90" s="9"/>
      <c r="I90" s="9"/>
      <c r="J90" s="7" t="s">
        <v>217</v>
      </c>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row>
    <row r="91">
      <c r="A91" s="3" t="s">
        <v>719</v>
      </c>
      <c r="B91" s="3" t="s">
        <v>196</v>
      </c>
      <c r="C91" s="4" t="s">
        <v>720</v>
      </c>
      <c r="D91" s="4" t="s">
        <v>721</v>
      </c>
      <c r="E91" s="4" t="s">
        <v>721</v>
      </c>
      <c r="F91" s="3" t="s">
        <v>434</v>
      </c>
      <c r="G91" s="5"/>
      <c r="H91" s="5"/>
      <c r="I91" s="5"/>
      <c r="J91" s="3" t="s">
        <v>327</v>
      </c>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3" t="s">
        <v>722</v>
      </c>
      <c r="AL91" s="5"/>
    </row>
    <row r="92">
      <c r="A92" s="7" t="s">
        <v>723</v>
      </c>
      <c r="B92" s="7" t="s">
        <v>297</v>
      </c>
      <c r="C92" s="8" t="s">
        <v>582</v>
      </c>
      <c r="D92" s="42" t="s">
        <v>724</v>
      </c>
      <c r="E92" s="42" t="s">
        <v>724</v>
      </c>
      <c r="F92" s="7" t="s">
        <v>434</v>
      </c>
      <c r="G92" s="9"/>
      <c r="H92" s="9"/>
      <c r="I92" s="7" t="s">
        <v>725</v>
      </c>
      <c r="J92" s="7" t="s">
        <v>217</v>
      </c>
      <c r="K92" s="7" t="s">
        <v>56</v>
      </c>
      <c r="L92" s="9">
        <f>23/12</f>
        <v>1.916666667</v>
      </c>
      <c r="M92" s="9"/>
      <c r="N92" s="9"/>
      <c r="O92" s="9"/>
      <c r="P92" s="9"/>
      <c r="Q92" s="9">
        <f>34237*0.6125</f>
        <v>20970.1625</v>
      </c>
      <c r="R92" s="9">
        <f>34237-Q92</f>
        <v>13266.8375</v>
      </c>
      <c r="S92" s="9">
        <f>13602*0.6385</f>
        <v>8684.877</v>
      </c>
      <c r="T92" s="9">
        <f>13602-S92</f>
        <v>4917.123</v>
      </c>
      <c r="U92" s="9"/>
      <c r="V92" s="9"/>
      <c r="W92" s="9"/>
      <c r="X92" s="9"/>
      <c r="Y92" s="9"/>
      <c r="Z92" s="9"/>
      <c r="AA92" s="9"/>
      <c r="AB92" s="9"/>
      <c r="AC92" s="9"/>
      <c r="AD92" s="9"/>
      <c r="AE92" s="9"/>
      <c r="AF92" s="9"/>
      <c r="AG92" s="9"/>
      <c r="AH92" s="9"/>
      <c r="AI92" s="9"/>
      <c r="AJ92" s="9"/>
      <c r="AK92" s="7" t="s">
        <v>722</v>
      </c>
      <c r="AL92" s="7" t="s">
        <v>726</v>
      </c>
    </row>
    <row r="93">
      <c r="A93" s="3" t="s">
        <v>727</v>
      </c>
      <c r="B93" s="3" t="s">
        <v>237</v>
      </c>
      <c r="C93" s="4" t="s">
        <v>728</v>
      </c>
      <c r="D93" s="21" t="s">
        <v>729</v>
      </c>
      <c r="E93" s="21"/>
      <c r="F93" s="3" t="s">
        <v>434</v>
      </c>
      <c r="G93" s="5"/>
      <c r="H93" s="5"/>
      <c r="I93" s="5"/>
      <c r="J93" s="3" t="s">
        <v>575</v>
      </c>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3" t="s">
        <v>722</v>
      </c>
      <c r="AL93" s="5"/>
    </row>
    <row r="94">
      <c r="A94" s="7" t="s">
        <v>730</v>
      </c>
      <c r="B94" s="7" t="s">
        <v>49</v>
      </c>
      <c r="C94" s="8" t="s">
        <v>50</v>
      </c>
      <c r="D94" s="16" t="s">
        <v>731</v>
      </c>
      <c r="E94" s="19" t="s">
        <v>729</v>
      </c>
      <c r="F94" s="7" t="s">
        <v>361</v>
      </c>
      <c r="G94" s="9">
        <f>7742*0.671</f>
        <v>5194.882</v>
      </c>
      <c r="H94" s="9">
        <f>7742-G94</f>
        <v>2547.118</v>
      </c>
      <c r="I94" s="7" t="s">
        <v>732</v>
      </c>
      <c r="J94" s="7" t="s">
        <v>589</v>
      </c>
      <c r="K94" s="7" t="s">
        <v>45</v>
      </c>
      <c r="L94" s="9">
        <f t="shared" ref="L94:L96" si="9">59/12</f>
        <v>4.916666667</v>
      </c>
      <c r="M94" s="9"/>
      <c r="N94" s="9"/>
      <c r="O94" s="9"/>
      <c r="P94" s="9"/>
      <c r="Q94" s="9"/>
      <c r="R94" s="9"/>
      <c r="S94" s="9"/>
      <c r="T94" s="9"/>
      <c r="U94" s="9"/>
      <c r="V94" s="9"/>
      <c r="W94" s="9"/>
      <c r="X94" s="9"/>
      <c r="Y94" s="9"/>
      <c r="Z94" s="9"/>
      <c r="AA94" s="9"/>
      <c r="AB94" s="9"/>
      <c r="AC94" s="9"/>
      <c r="AD94" s="9"/>
      <c r="AE94" s="9"/>
      <c r="AF94" s="9"/>
      <c r="AG94" s="9"/>
      <c r="AH94" s="9"/>
      <c r="AI94" s="9"/>
      <c r="AJ94" s="9"/>
      <c r="AK94" s="31" t="s">
        <v>733</v>
      </c>
      <c r="AL94" s="9"/>
    </row>
    <row r="95">
      <c r="A95" s="7" t="s">
        <v>730</v>
      </c>
      <c r="B95" s="7" t="s">
        <v>49</v>
      </c>
      <c r="C95" s="8" t="s">
        <v>39</v>
      </c>
      <c r="D95" s="16" t="s">
        <v>731</v>
      </c>
      <c r="E95" s="19" t="s">
        <v>729</v>
      </c>
      <c r="F95" s="7" t="s">
        <v>361</v>
      </c>
      <c r="G95" s="9">
        <f>4241*0.686</f>
        <v>2909.326</v>
      </c>
      <c r="H95" s="9">
        <f>4241-G95</f>
        <v>1331.674</v>
      </c>
      <c r="I95" s="7" t="s">
        <v>732</v>
      </c>
      <c r="J95" s="7" t="s">
        <v>734</v>
      </c>
      <c r="K95" s="7" t="s">
        <v>45</v>
      </c>
      <c r="L95" s="9">
        <f t="shared" si="9"/>
        <v>4.916666667</v>
      </c>
      <c r="M95" s="9"/>
      <c r="N95" s="9"/>
      <c r="O95" s="9"/>
      <c r="P95" s="9"/>
      <c r="Q95" s="9"/>
      <c r="R95" s="9"/>
      <c r="S95" s="9"/>
      <c r="T95" s="9"/>
      <c r="U95" s="9"/>
      <c r="V95" s="9"/>
      <c r="W95" s="9"/>
      <c r="X95" s="9"/>
      <c r="Y95" s="9"/>
      <c r="Z95" s="9"/>
      <c r="AA95" s="9"/>
      <c r="AB95" s="9"/>
      <c r="AC95" s="9"/>
      <c r="AD95" s="9"/>
      <c r="AE95" s="9"/>
      <c r="AF95" s="9"/>
      <c r="AG95" s="9"/>
      <c r="AH95" s="9"/>
      <c r="AI95" s="9"/>
      <c r="AJ95" s="9"/>
      <c r="AK95" s="31" t="s">
        <v>733</v>
      </c>
      <c r="AL95" s="9"/>
    </row>
    <row r="96">
      <c r="A96" s="7" t="s">
        <v>730</v>
      </c>
      <c r="B96" s="7" t="s">
        <v>49</v>
      </c>
      <c r="C96" s="8" t="s">
        <v>50</v>
      </c>
      <c r="D96" s="16" t="s">
        <v>731</v>
      </c>
      <c r="E96" s="19" t="s">
        <v>729</v>
      </c>
      <c r="F96" s="7" t="s">
        <v>361</v>
      </c>
      <c r="G96" s="9">
        <f>4769*0.586</f>
        <v>2794.634</v>
      </c>
      <c r="H96" s="9">
        <f>4769-G96</f>
        <v>1974.366</v>
      </c>
      <c r="I96" s="7" t="s">
        <v>732</v>
      </c>
      <c r="J96" s="7" t="s">
        <v>735</v>
      </c>
      <c r="K96" s="7" t="s">
        <v>45</v>
      </c>
      <c r="L96" s="9">
        <f t="shared" si="9"/>
        <v>4.916666667</v>
      </c>
      <c r="M96" s="9"/>
      <c r="N96" s="9"/>
      <c r="O96" s="9"/>
      <c r="P96" s="9"/>
      <c r="Q96" s="9"/>
      <c r="R96" s="9"/>
      <c r="S96" s="9"/>
      <c r="T96" s="9"/>
      <c r="U96" s="9"/>
      <c r="V96" s="9"/>
      <c r="W96" s="9"/>
      <c r="X96" s="9"/>
      <c r="Y96" s="9"/>
      <c r="Z96" s="9"/>
      <c r="AA96" s="9"/>
      <c r="AB96" s="9"/>
      <c r="AC96" s="9"/>
      <c r="AD96" s="9"/>
      <c r="AE96" s="9"/>
      <c r="AF96" s="9"/>
      <c r="AG96" s="9"/>
      <c r="AH96" s="9"/>
      <c r="AI96" s="9"/>
      <c r="AJ96" s="9"/>
      <c r="AK96" s="31" t="s">
        <v>733</v>
      </c>
      <c r="AL96" s="9"/>
    </row>
    <row r="97">
      <c r="A97" s="7" t="s">
        <v>736</v>
      </c>
      <c r="B97" s="7" t="s">
        <v>196</v>
      </c>
      <c r="C97" s="8" t="s">
        <v>737</v>
      </c>
      <c r="D97" s="8" t="s">
        <v>738</v>
      </c>
      <c r="E97" s="8" t="s">
        <v>739</v>
      </c>
      <c r="F97" s="7" t="s">
        <v>361</v>
      </c>
      <c r="G97" s="9"/>
      <c r="H97" s="9"/>
      <c r="I97" s="7" t="s">
        <v>740</v>
      </c>
      <c r="J97" s="7" t="s">
        <v>741</v>
      </c>
      <c r="K97" s="7" t="s">
        <v>56</v>
      </c>
      <c r="L97" s="9">
        <f>23/12</f>
        <v>1.916666667</v>
      </c>
      <c r="M97" s="9"/>
      <c r="N97" s="9"/>
      <c r="O97" s="9"/>
      <c r="P97" s="9"/>
      <c r="Q97" s="9"/>
      <c r="R97" s="9"/>
      <c r="S97" s="9"/>
      <c r="T97" s="9"/>
      <c r="U97" s="9"/>
      <c r="V97" s="9"/>
      <c r="W97" s="9"/>
      <c r="X97" s="9"/>
      <c r="Y97" s="9"/>
      <c r="Z97" s="9"/>
      <c r="AA97" s="9"/>
      <c r="AB97" s="9"/>
      <c r="AC97" s="9"/>
      <c r="AD97" s="9"/>
      <c r="AE97" s="9"/>
      <c r="AF97" s="9"/>
      <c r="AG97" s="9"/>
      <c r="AH97" s="9"/>
      <c r="AI97" s="9"/>
      <c r="AJ97" s="9"/>
      <c r="AK97" s="7" t="s">
        <v>742</v>
      </c>
      <c r="AL97" s="7" t="s">
        <v>580</v>
      </c>
    </row>
    <row r="98" ht="15.0" customHeight="1">
      <c r="A98" s="7" t="s">
        <v>743</v>
      </c>
      <c r="B98" s="7" t="s">
        <v>40</v>
      </c>
      <c r="C98" s="8" t="s">
        <v>744</v>
      </c>
      <c r="D98" s="42" t="s">
        <v>745</v>
      </c>
      <c r="E98" s="8" t="s">
        <v>746</v>
      </c>
      <c r="F98" s="7" t="s">
        <v>361</v>
      </c>
      <c r="G98" s="9"/>
      <c r="H98" s="9"/>
      <c r="I98" s="7" t="s">
        <v>747</v>
      </c>
      <c r="J98" s="7" t="s">
        <v>748</v>
      </c>
      <c r="K98" s="7" t="s">
        <v>45</v>
      </c>
      <c r="L98" s="7" t="s">
        <v>56</v>
      </c>
      <c r="M98" s="9"/>
      <c r="N98" s="9"/>
      <c r="O98" s="9"/>
      <c r="P98" s="9"/>
      <c r="Q98" s="9"/>
      <c r="R98" s="9"/>
      <c r="S98" s="9"/>
      <c r="T98" s="9"/>
      <c r="U98" s="9"/>
      <c r="V98" s="9"/>
      <c r="W98" s="9"/>
      <c r="X98" s="9"/>
      <c r="Y98" s="9"/>
      <c r="Z98" s="9"/>
      <c r="AA98" s="9"/>
      <c r="AB98" s="9"/>
      <c r="AC98" s="9"/>
      <c r="AD98" s="9"/>
      <c r="AE98" s="9"/>
      <c r="AF98" s="9"/>
      <c r="AG98" s="9"/>
      <c r="AH98" s="9"/>
      <c r="AI98" s="9"/>
      <c r="AJ98" s="9"/>
      <c r="AK98" s="43" t="s">
        <v>749</v>
      </c>
      <c r="AL98" s="7" t="s">
        <v>580</v>
      </c>
    </row>
    <row r="99">
      <c r="A99" s="7" t="s">
        <v>750</v>
      </c>
      <c r="B99" s="7" t="s">
        <v>82</v>
      </c>
      <c r="C99" s="8" t="s">
        <v>751</v>
      </c>
      <c r="D99" s="44" t="s">
        <v>752</v>
      </c>
      <c r="E99" s="8" t="s">
        <v>753</v>
      </c>
      <c r="F99" s="7" t="s">
        <v>754</v>
      </c>
      <c r="G99" s="9"/>
      <c r="H99" s="9"/>
      <c r="I99" s="7" t="s">
        <v>755</v>
      </c>
      <c r="J99" s="7" t="s">
        <v>756</v>
      </c>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7" t="s">
        <v>757</v>
      </c>
      <c r="AL99" s="7" t="s">
        <v>580</v>
      </c>
    </row>
    <row r="100">
      <c r="A100" s="3" t="s">
        <v>758</v>
      </c>
      <c r="B100" s="3" t="s">
        <v>330</v>
      </c>
      <c r="C100" s="4" t="s">
        <v>176</v>
      </c>
      <c r="D100" s="4" t="s">
        <v>759</v>
      </c>
      <c r="E100" s="4" t="s">
        <v>759</v>
      </c>
      <c r="F100" s="3" t="s">
        <v>754</v>
      </c>
      <c r="G100" s="3" t="s">
        <v>760</v>
      </c>
      <c r="H100" s="5">
        <f>76+52</f>
        <v>128</v>
      </c>
      <c r="I100" s="3" t="s">
        <v>761</v>
      </c>
      <c r="J100" s="3" t="s">
        <v>149</v>
      </c>
      <c r="K100" s="5"/>
      <c r="L100" s="5"/>
      <c r="M100" s="3" t="s">
        <v>762</v>
      </c>
      <c r="N100" s="5">
        <f>22+29</f>
        <v>51</v>
      </c>
      <c r="O100" s="3" t="s">
        <v>336</v>
      </c>
      <c r="P100" s="5">
        <f>54+23</f>
        <v>77</v>
      </c>
      <c r="Q100" s="5"/>
      <c r="R100" s="5"/>
      <c r="S100" s="5"/>
      <c r="T100" s="5"/>
      <c r="U100" s="3" t="s">
        <v>763</v>
      </c>
      <c r="V100" s="5">
        <f>7+27</f>
        <v>34</v>
      </c>
      <c r="W100" s="3" t="s">
        <v>764</v>
      </c>
      <c r="X100" s="5">
        <f>49+45</f>
        <v>94</v>
      </c>
      <c r="Y100" s="5"/>
      <c r="Z100" s="5"/>
      <c r="AA100" s="5"/>
      <c r="AB100" s="5"/>
      <c r="AC100" s="5"/>
      <c r="AD100" s="5"/>
      <c r="AE100" s="5"/>
      <c r="AF100" s="5"/>
      <c r="AG100" s="5"/>
      <c r="AH100" s="5"/>
      <c r="AI100" s="5"/>
      <c r="AJ100" s="5"/>
      <c r="AK100" s="3" t="s">
        <v>765</v>
      </c>
      <c r="AL100" s="5"/>
    </row>
    <row r="101">
      <c r="A101" s="3" t="s">
        <v>766</v>
      </c>
      <c r="B101" s="3" t="s">
        <v>112</v>
      </c>
      <c r="C101" s="22"/>
      <c r="D101" s="4" t="s">
        <v>767</v>
      </c>
      <c r="E101" s="4" t="s">
        <v>767</v>
      </c>
      <c r="F101" s="3" t="s">
        <v>361</v>
      </c>
      <c r="G101" s="5"/>
      <c r="H101" s="5"/>
      <c r="I101" s="5"/>
      <c r="J101" s="3" t="s">
        <v>575</v>
      </c>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3" t="s">
        <v>79</v>
      </c>
      <c r="AL101" s="5"/>
    </row>
    <row r="102">
      <c r="A102" s="3" t="s">
        <v>768</v>
      </c>
      <c r="B102" s="3" t="s">
        <v>64</v>
      </c>
      <c r="C102" s="22"/>
      <c r="D102" s="4" t="s">
        <v>769</v>
      </c>
      <c r="E102" s="4" t="s">
        <v>769</v>
      </c>
      <c r="F102" s="3" t="s">
        <v>361</v>
      </c>
      <c r="G102" s="5"/>
      <c r="H102" s="5"/>
      <c r="I102" s="5"/>
      <c r="J102" s="3" t="s">
        <v>663</v>
      </c>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3" t="s">
        <v>770</v>
      </c>
      <c r="AL102" s="5"/>
    </row>
    <row r="103">
      <c r="A103" s="3" t="s">
        <v>771</v>
      </c>
      <c r="B103" s="3" t="s">
        <v>50</v>
      </c>
      <c r="C103" s="4" t="s">
        <v>772</v>
      </c>
      <c r="D103" s="4" t="s">
        <v>773</v>
      </c>
      <c r="E103" s="4" t="s">
        <v>773</v>
      </c>
      <c r="F103" s="3" t="s">
        <v>361</v>
      </c>
      <c r="G103" s="5"/>
      <c r="H103" s="5"/>
      <c r="I103" s="5"/>
      <c r="J103" s="3" t="s">
        <v>217</v>
      </c>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row>
    <row r="104">
      <c r="A104" s="3" t="s">
        <v>774</v>
      </c>
      <c r="B104" s="3" t="s">
        <v>39</v>
      </c>
      <c r="C104" s="22"/>
      <c r="D104" s="4" t="s">
        <v>775</v>
      </c>
      <c r="E104" s="4" t="s">
        <v>775</v>
      </c>
      <c r="F104" s="3" t="s">
        <v>361</v>
      </c>
      <c r="G104" s="5"/>
      <c r="H104" s="5"/>
      <c r="I104" s="5"/>
      <c r="J104" s="3" t="s">
        <v>575</v>
      </c>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row>
    <row r="105">
      <c r="A105" s="3" t="s">
        <v>776</v>
      </c>
      <c r="B105" s="3" t="s">
        <v>196</v>
      </c>
      <c r="C105" s="22"/>
      <c r="D105" s="4" t="s">
        <v>777</v>
      </c>
      <c r="E105" s="4" t="s">
        <v>777</v>
      </c>
      <c r="F105" s="3" t="s">
        <v>778</v>
      </c>
      <c r="G105" s="5"/>
      <c r="H105" s="5"/>
      <c r="I105" s="5"/>
      <c r="J105" s="3" t="s">
        <v>243</v>
      </c>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row>
    <row r="106">
      <c r="A106" s="7" t="s">
        <v>779</v>
      </c>
      <c r="B106" s="7" t="s">
        <v>369</v>
      </c>
      <c r="C106" s="8" t="s">
        <v>780</v>
      </c>
      <c r="D106" s="8" t="s">
        <v>781</v>
      </c>
      <c r="E106" s="8" t="s">
        <v>781</v>
      </c>
      <c r="F106" s="7" t="s">
        <v>361</v>
      </c>
      <c r="G106" s="9"/>
      <c r="H106" s="9"/>
      <c r="I106" s="9"/>
      <c r="J106" s="7" t="s">
        <v>390</v>
      </c>
      <c r="K106" s="7" t="s">
        <v>45</v>
      </c>
      <c r="L106" s="7" t="s">
        <v>782</v>
      </c>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7" t="s">
        <v>783</v>
      </c>
      <c r="AL106" s="9"/>
    </row>
    <row r="107">
      <c r="A107" s="3" t="s">
        <v>784</v>
      </c>
      <c r="B107" s="3" t="s">
        <v>49</v>
      </c>
      <c r="C107" s="22"/>
      <c r="D107" s="21" t="s">
        <v>785</v>
      </c>
      <c r="E107" s="21" t="s">
        <v>785</v>
      </c>
      <c r="F107" s="3" t="s">
        <v>361</v>
      </c>
      <c r="G107" s="5"/>
      <c r="H107" s="5"/>
      <c r="I107" s="5"/>
      <c r="J107" s="3" t="s">
        <v>786</v>
      </c>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3"/>
      <c r="AL107" s="5"/>
    </row>
    <row r="108">
      <c r="A108" s="3" t="s">
        <v>787</v>
      </c>
      <c r="B108" s="3" t="s">
        <v>49</v>
      </c>
      <c r="C108" s="22"/>
      <c r="D108" s="21" t="s">
        <v>788</v>
      </c>
      <c r="E108" s="21" t="s">
        <v>788</v>
      </c>
      <c r="F108" s="3" t="s">
        <v>361</v>
      </c>
      <c r="G108" s="5"/>
      <c r="H108" s="5"/>
      <c r="I108" s="5"/>
      <c r="J108" s="3" t="s">
        <v>109</v>
      </c>
      <c r="K108" s="5"/>
      <c r="L108" s="5"/>
      <c r="M108" s="5"/>
      <c r="N108" s="5"/>
      <c r="O108" s="5"/>
      <c r="P108" s="5"/>
      <c r="Q108" s="3"/>
      <c r="R108" s="5"/>
      <c r="S108" s="5"/>
      <c r="T108" s="5"/>
      <c r="U108" s="5"/>
      <c r="V108" s="5"/>
      <c r="W108" s="5"/>
      <c r="X108" s="5"/>
      <c r="Y108" s="5"/>
      <c r="Z108" s="5"/>
      <c r="AA108" s="5"/>
      <c r="AB108" s="5"/>
      <c r="AC108" s="5"/>
      <c r="AD108" s="5"/>
      <c r="AE108" s="5"/>
      <c r="AF108" s="5"/>
      <c r="AG108" s="5"/>
      <c r="AH108" s="5"/>
      <c r="AI108" s="5"/>
      <c r="AJ108" s="5"/>
      <c r="AK108" s="5"/>
      <c r="AL108" s="5"/>
    </row>
    <row r="109">
      <c r="A109" s="7" t="s">
        <v>789</v>
      </c>
      <c r="B109" s="7" t="s">
        <v>49</v>
      </c>
      <c r="C109" s="8" t="s">
        <v>506</v>
      </c>
      <c r="D109" s="8" t="s">
        <v>790</v>
      </c>
      <c r="E109" s="8" t="s">
        <v>790</v>
      </c>
      <c r="F109" s="7" t="s">
        <v>361</v>
      </c>
      <c r="G109" s="7" t="s">
        <v>791</v>
      </c>
      <c r="H109" s="7" t="s">
        <v>792</v>
      </c>
      <c r="I109" s="7" t="s">
        <v>793</v>
      </c>
      <c r="J109" s="7" t="s">
        <v>390</v>
      </c>
      <c r="K109" s="7" t="s">
        <v>794</v>
      </c>
      <c r="L109" s="7" t="s">
        <v>795</v>
      </c>
      <c r="M109" s="7" t="s">
        <v>796</v>
      </c>
      <c r="N109" s="7" t="s">
        <v>137</v>
      </c>
      <c r="O109" s="7" t="s">
        <v>797</v>
      </c>
      <c r="P109" s="7" t="s">
        <v>798</v>
      </c>
      <c r="Q109" s="9"/>
      <c r="R109" s="9"/>
      <c r="S109" s="9"/>
      <c r="T109" s="9"/>
      <c r="U109" s="9"/>
      <c r="V109" s="9"/>
      <c r="W109" s="9"/>
      <c r="X109" s="9"/>
      <c r="Y109" s="9"/>
      <c r="Z109" s="9"/>
      <c r="AA109" s="9"/>
      <c r="AB109" s="9"/>
      <c r="AC109" s="9"/>
      <c r="AD109" s="9"/>
      <c r="AE109" s="9"/>
      <c r="AF109" s="9"/>
      <c r="AG109" s="9"/>
      <c r="AH109" s="9"/>
      <c r="AI109" s="9"/>
      <c r="AJ109" s="9"/>
      <c r="AK109" s="7" t="s">
        <v>765</v>
      </c>
      <c r="AL109" s="7" t="s">
        <v>799</v>
      </c>
    </row>
    <row r="110">
      <c r="A110" s="7" t="s">
        <v>800</v>
      </c>
      <c r="B110" s="7" t="s">
        <v>134</v>
      </c>
      <c r="C110" s="8" t="s">
        <v>801</v>
      </c>
      <c r="D110" s="8" t="s">
        <v>802</v>
      </c>
      <c r="E110" s="8" t="s">
        <v>802</v>
      </c>
      <c r="F110" s="7" t="s">
        <v>361</v>
      </c>
      <c r="G110" s="9"/>
      <c r="H110" s="9"/>
      <c r="I110" s="9"/>
      <c r="J110" s="8" t="s">
        <v>803</v>
      </c>
      <c r="K110" s="7" t="s">
        <v>56</v>
      </c>
      <c r="L110" s="9">
        <f>23/12</f>
        <v>1.916666667</v>
      </c>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7" t="s">
        <v>79</v>
      </c>
      <c r="AL110" s="9"/>
    </row>
    <row r="111">
      <c r="A111" s="7" t="s">
        <v>804</v>
      </c>
      <c r="B111" s="7" t="s">
        <v>330</v>
      </c>
      <c r="C111" s="8" t="s">
        <v>39</v>
      </c>
      <c r="D111" s="8" t="s">
        <v>805</v>
      </c>
      <c r="E111" s="8" t="s">
        <v>805</v>
      </c>
      <c r="F111" s="7" t="s">
        <v>361</v>
      </c>
      <c r="G111" s="7" t="s">
        <v>806</v>
      </c>
      <c r="H111" s="7" t="s">
        <v>263</v>
      </c>
      <c r="I111" s="7" t="s">
        <v>807</v>
      </c>
      <c r="J111" s="7" t="s">
        <v>808</v>
      </c>
      <c r="K111" s="7" t="s">
        <v>45</v>
      </c>
      <c r="L111" s="7" t="s">
        <v>46</v>
      </c>
      <c r="M111" s="9">
        <f>(200-108)*0.957</f>
        <v>88.044</v>
      </c>
      <c r="N111" s="9">
        <f>(200-108)-M111</f>
        <v>3.956</v>
      </c>
      <c r="O111" s="9">
        <f>108*0.943</f>
        <v>101.844</v>
      </c>
      <c r="P111" s="9">
        <f>108-O111</f>
        <v>6.156</v>
      </c>
      <c r="Q111" s="9"/>
      <c r="R111" s="9"/>
      <c r="S111" s="9"/>
      <c r="T111" s="9"/>
      <c r="U111" s="9"/>
      <c r="V111" s="9"/>
      <c r="W111" s="9"/>
      <c r="X111" s="9"/>
      <c r="Y111" s="7" t="s">
        <v>809</v>
      </c>
      <c r="Z111" s="7" t="s">
        <v>46</v>
      </c>
      <c r="AA111" s="7" t="s">
        <v>810</v>
      </c>
      <c r="AB111" s="7" t="s">
        <v>46</v>
      </c>
      <c r="AC111" s="7" t="s">
        <v>811</v>
      </c>
      <c r="AD111" s="7" t="s">
        <v>45</v>
      </c>
      <c r="AE111" s="9"/>
      <c r="AF111" s="9"/>
      <c r="AG111" s="9"/>
      <c r="AH111" s="9"/>
      <c r="AI111" s="9"/>
      <c r="AJ111" s="9"/>
      <c r="AK111" s="7" t="s">
        <v>812</v>
      </c>
      <c r="AL111" s="9"/>
    </row>
    <row r="112">
      <c r="A112" s="3" t="s">
        <v>813</v>
      </c>
      <c r="B112" s="3" t="s">
        <v>196</v>
      </c>
      <c r="C112" s="4" t="s">
        <v>39</v>
      </c>
      <c r="D112" s="4" t="s">
        <v>814</v>
      </c>
      <c r="E112" s="4" t="s">
        <v>814</v>
      </c>
      <c r="F112" s="3" t="s">
        <v>754</v>
      </c>
      <c r="G112" s="3"/>
      <c r="H112" s="5"/>
      <c r="I112" s="3" t="s">
        <v>815</v>
      </c>
      <c r="J112" s="3" t="s">
        <v>390</v>
      </c>
      <c r="K112" s="3" t="s">
        <v>816</v>
      </c>
      <c r="L112" s="5"/>
      <c r="M112" s="3" t="s">
        <v>817</v>
      </c>
      <c r="N112" s="5">
        <f>957-350</f>
        <v>607</v>
      </c>
      <c r="O112" s="3" t="s">
        <v>818</v>
      </c>
      <c r="P112" s="5">
        <f>716-O112</f>
        <v>419</v>
      </c>
      <c r="Q112" s="3" t="s">
        <v>819</v>
      </c>
      <c r="R112" s="3" t="s">
        <v>530</v>
      </c>
      <c r="S112" s="3" t="s">
        <v>820</v>
      </c>
      <c r="T112" s="3" t="s">
        <v>821</v>
      </c>
      <c r="U112" s="3" t="s">
        <v>259</v>
      </c>
      <c r="V112" s="5">
        <f>306-112</f>
        <v>194</v>
      </c>
      <c r="W112" s="3" t="s">
        <v>681</v>
      </c>
      <c r="X112" s="5">
        <f>335-W112</f>
        <v>148</v>
      </c>
      <c r="Y112" s="5"/>
      <c r="Z112" s="5"/>
      <c r="AA112" s="5"/>
      <c r="AB112" s="5"/>
      <c r="AC112" s="5"/>
      <c r="AD112" s="5"/>
      <c r="AE112" s="5"/>
      <c r="AF112" s="5"/>
      <c r="AG112" s="5"/>
      <c r="AH112" s="5"/>
      <c r="AI112" s="5"/>
      <c r="AJ112" s="5"/>
      <c r="AK112" s="3" t="s">
        <v>494</v>
      </c>
      <c r="AL112" s="5"/>
    </row>
    <row r="113">
      <c r="A113" s="7" t="s">
        <v>822</v>
      </c>
      <c r="B113" s="7" t="s">
        <v>197</v>
      </c>
      <c r="C113" s="8" t="s">
        <v>823</v>
      </c>
      <c r="D113" s="19" t="s">
        <v>824</v>
      </c>
      <c r="E113" s="19" t="s">
        <v>824</v>
      </c>
      <c r="F113" s="7" t="s">
        <v>754</v>
      </c>
      <c r="G113" s="7" t="s">
        <v>825</v>
      </c>
      <c r="H113" s="9">
        <f>3249-G113</f>
        <v>1813</v>
      </c>
      <c r="I113" s="7" t="s">
        <v>826</v>
      </c>
      <c r="J113" s="7" t="s">
        <v>663</v>
      </c>
      <c r="K113" s="7" t="s">
        <v>45</v>
      </c>
      <c r="L113" s="7" t="s">
        <v>46</v>
      </c>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7" t="s">
        <v>827</v>
      </c>
      <c r="AL113" s="7" t="s">
        <v>828</v>
      </c>
    </row>
    <row r="114">
      <c r="A114" s="3" t="s">
        <v>829</v>
      </c>
      <c r="B114" s="3" t="s">
        <v>112</v>
      </c>
      <c r="C114" s="22"/>
      <c r="D114" s="4" t="s">
        <v>830</v>
      </c>
      <c r="E114" s="4" t="s">
        <v>830</v>
      </c>
      <c r="F114" s="3" t="s">
        <v>361</v>
      </c>
      <c r="G114" s="5"/>
      <c r="H114" s="5"/>
      <c r="I114" s="5"/>
      <c r="J114" s="3" t="s">
        <v>217</v>
      </c>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row>
    <row r="115">
      <c r="A115" s="3" t="s">
        <v>831</v>
      </c>
      <c r="B115" s="3" t="s">
        <v>82</v>
      </c>
      <c r="C115" s="22"/>
      <c r="D115" s="4" t="s">
        <v>832</v>
      </c>
      <c r="E115" s="4" t="s">
        <v>832</v>
      </c>
      <c r="F115" s="3" t="s">
        <v>833</v>
      </c>
      <c r="G115" s="5"/>
      <c r="H115" s="5"/>
      <c r="I115" s="5"/>
      <c r="J115" s="3" t="s">
        <v>834</v>
      </c>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row>
    <row r="116">
      <c r="A116" s="3" t="s">
        <v>835</v>
      </c>
      <c r="B116" s="3" t="s">
        <v>424</v>
      </c>
      <c r="C116" s="4" t="s">
        <v>836</v>
      </c>
      <c r="D116" s="4" t="s">
        <v>837</v>
      </c>
      <c r="E116" s="4" t="s">
        <v>837</v>
      </c>
      <c r="F116" s="3" t="s">
        <v>361</v>
      </c>
      <c r="G116" s="5"/>
      <c r="H116" s="5"/>
      <c r="I116" s="5"/>
      <c r="J116" s="3" t="s">
        <v>217</v>
      </c>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30" t="s">
        <v>838</v>
      </c>
      <c r="AL116" s="5"/>
    </row>
    <row r="117">
      <c r="A117" s="3" t="s">
        <v>839</v>
      </c>
      <c r="B117" s="3" t="s">
        <v>196</v>
      </c>
      <c r="C117" s="22"/>
      <c r="D117" s="45" t="s">
        <v>574</v>
      </c>
      <c r="E117" s="45" t="s">
        <v>574</v>
      </c>
      <c r="F117" s="3" t="s">
        <v>361</v>
      </c>
      <c r="G117" s="5"/>
      <c r="H117" s="5"/>
      <c r="I117" s="30" t="s">
        <v>840</v>
      </c>
      <c r="J117" s="3" t="s">
        <v>575</v>
      </c>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row>
    <row r="118">
      <c r="A118" s="3" t="s">
        <v>841</v>
      </c>
      <c r="B118" s="3" t="s">
        <v>237</v>
      </c>
      <c r="C118" s="22"/>
      <c r="D118" s="4" t="s">
        <v>767</v>
      </c>
      <c r="E118" s="4" t="s">
        <v>767</v>
      </c>
      <c r="F118" s="3" t="s">
        <v>361</v>
      </c>
      <c r="G118" s="5"/>
      <c r="H118" s="5"/>
      <c r="I118" s="3" t="s">
        <v>842</v>
      </c>
      <c r="J118" s="3" t="s">
        <v>575</v>
      </c>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3" t="s">
        <v>79</v>
      </c>
      <c r="AL118" s="5"/>
    </row>
    <row r="119">
      <c r="A119" s="7" t="s">
        <v>843</v>
      </c>
      <c r="B119" s="7" t="s">
        <v>133</v>
      </c>
      <c r="C119" s="8" t="s">
        <v>844</v>
      </c>
      <c r="D119" s="8" t="s">
        <v>845</v>
      </c>
      <c r="E119" s="8" t="s">
        <v>846</v>
      </c>
      <c r="F119" s="7" t="s">
        <v>361</v>
      </c>
      <c r="G119" s="9">
        <f>1617*0.71</f>
        <v>1148.07</v>
      </c>
      <c r="H119" s="9">
        <f>1617-G119</f>
        <v>468.93</v>
      </c>
      <c r="I119" s="7" t="s">
        <v>847</v>
      </c>
      <c r="J119" s="7" t="s">
        <v>848</v>
      </c>
      <c r="K119" s="7" t="s">
        <v>56</v>
      </c>
      <c r="L119" s="9">
        <f t="shared" ref="L119:L121" si="10">23/12</f>
        <v>1.916666667</v>
      </c>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7" t="s">
        <v>849</v>
      </c>
      <c r="AL119" s="7" t="s">
        <v>850</v>
      </c>
    </row>
    <row r="120">
      <c r="A120" s="7" t="s">
        <v>843</v>
      </c>
      <c r="B120" s="7" t="s">
        <v>133</v>
      </c>
      <c r="C120" s="8" t="s">
        <v>851</v>
      </c>
      <c r="D120" s="8" t="s">
        <v>845</v>
      </c>
      <c r="E120" s="8" t="s">
        <v>846</v>
      </c>
      <c r="F120" s="7" t="s">
        <v>361</v>
      </c>
      <c r="G120" s="9">
        <f>1241*0.727</f>
        <v>902.207</v>
      </c>
      <c r="H120" s="9">
        <f>1241-G120</f>
        <v>338.793</v>
      </c>
      <c r="I120" s="7" t="s">
        <v>847</v>
      </c>
      <c r="J120" s="7" t="s">
        <v>848</v>
      </c>
      <c r="K120" s="7" t="s">
        <v>56</v>
      </c>
      <c r="L120" s="9">
        <f t="shared" si="10"/>
        <v>1.916666667</v>
      </c>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7" t="s">
        <v>849</v>
      </c>
      <c r="AL120" s="7" t="s">
        <v>850</v>
      </c>
    </row>
    <row r="121">
      <c r="A121" s="7" t="s">
        <v>843</v>
      </c>
      <c r="B121" s="7" t="s">
        <v>133</v>
      </c>
      <c r="C121" s="8" t="s">
        <v>221</v>
      </c>
      <c r="D121" s="8" t="s">
        <v>845</v>
      </c>
      <c r="E121" s="8" t="s">
        <v>846</v>
      </c>
      <c r="F121" s="7" t="s">
        <v>361</v>
      </c>
      <c r="G121" s="9">
        <f>1613*0.723</f>
        <v>1166.199</v>
      </c>
      <c r="H121" s="9">
        <f>1613-G121</f>
        <v>446.801</v>
      </c>
      <c r="I121" s="7" t="s">
        <v>847</v>
      </c>
      <c r="J121" s="7" t="s">
        <v>848</v>
      </c>
      <c r="K121" s="7" t="s">
        <v>56</v>
      </c>
      <c r="L121" s="9">
        <f t="shared" si="10"/>
        <v>1.916666667</v>
      </c>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7" t="s">
        <v>849</v>
      </c>
      <c r="AL121" s="7" t="s">
        <v>850</v>
      </c>
    </row>
    <row r="122">
      <c r="A122" s="46"/>
      <c r="B122" s="46"/>
      <c r="C122" s="47"/>
      <c r="D122" s="47"/>
      <c r="E122" s="47"/>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row>
    <row r="123">
      <c r="A123" s="46"/>
      <c r="B123" s="46"/>
      <c r="C123" s="47"/>
      <c r="D123" s="47"/>
      <c r="E123" s="47"/>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row>
    <row r="124">
      <c r="A124" s="46"/>
      <c r="B124" s="46"/>
      <c r="C124" s="47"/>
      <c r="D124" s="47"/>
      <c r="E124" s="47"/>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row>
    <row r="125">
      <c r="A125" s="46"/>
      <c r="B125" s="46"/>
      <c r="C125" s="47"/>
      <c r="D125" s="47"/>
      <c r="E125" s="47"/>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row>
    <row r="126">
      <c r="A126" s="46"/>
      <c r="B126" s="46"/>
      <c r="C126" s="47"/>
      <c r="D126" s="47"/>
      <c r="E126" s="47"/>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row>
    <row r="127">
      <c r="A127" s="46"/>
      <c r="B127" s="46"/>
      <c r="C127" s="47"/>
      <c r="D127" s="47"/>
      <c r="E127" s="47"/>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row>
    <row r="128">
      <c r="A128" s="46"/>
      <c r="B128" s="46"/>
      <c r="C128" s="47"/>
      <c r="D128" s="47"/>
      <c r="E128" s="47"/>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row>
    <row r="129">
      <c r="A129" s="46"/>
      <c r="B129" s="46"/>
      <c r="C129" s="47"/>
      <c r="D129" s="47"/>
      <c r="E129" s="47"/>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row>
    <row r="130">
      <c r="A130" s="46"/>
      <c r="B130" s="46"/>
      <c r="C130" s="47"/>
      <c r="D130" s="47"/>
      <c r="E130" s="47"/>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row>
    <row r="131">
      <c r="A131" s="46"/>
      <c r="B131" s="46"/>
      <c r="C131" s="47"/>
      <c r="D131" s="47"/>
      <c r="E131" s="47"/>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row>
    <row r="132">
      <c r="A132" s="46"/>
      <c r="B132" s="46"/>
      <c r="C132" s="47"/>
      <c r="D132" s="47"/>
      <c r="E132" s="47"/>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row>
    <row r="133">
      <c r="A133" s="46"/>
      <c r="B133" s="46"/>
      <c r="C133" s="47"/>
      <c r="D133" s="47"/>
      <c r="E133" s="47"/>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row>
    <row r="134">
      <c r="A134" s="46"/>
      <c r="B134" s="46"/>
      <c r="C134" s="47"/>
      <c r="D134" s="47"/>
      <c r="E134" s="47"/>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row>
    <row r="135">
      <c r="A135" s="46"/>
      <c r="B135" s="46"/>
      <c r="C135" s="47"/>
      <c r="D135" s="47"/>
      <c r="E135" s="47"/>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row>
    <row r="136">
      <c r="A136" s="46"/>
      <c r="B136" s="46"/>
      <c r="C136" s="47"/>
      <c r="D136" s="47"/>
      <c r="E136" s="47"/>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row>
    <row r="137">
      <c r="A137" s="46"/>
      <c r="B137" s="46"/>
      <c r="C137" s="47"/>
      <c r="D137" s="47"/>
      <c r="E137" s="47"/>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row>
    <row r="138">
      <c r="A138" s="46"/>
      <c r="B138" s="46"/>
      <c r="C138" s="47"/>
      <c r="D138" s="47"/>
      <c r="E138" s="47"/>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row>
    <row r="139">
      <c r="A139" s="46"/>
      <c r="B139" s="46"/>
      <c r="C139" s="47"/>
      <c r="D139" s="47"/>
      <c r="E139" s="47"/>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row>
    <row r="140">
      <c r="A140" s="46"/>
      <c r="B140" s="46"/>
      <c r="C140" s="47"/>
      <c r="D140" s="47"/>
      <c r="E140" s="47"/>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row>
    <row r="141">
      <c r="A141" s="46"/>
      <c r="B141" s="46"/>
      <c r="C141" s="47"/>
      <c r="D141" s="47"/>
      <c r="E141" s="47"/>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row>
    <row r="142">
      <c r="A142" s="46"/>
      <c r="B142" s="46"/>
      <c r="C142" s="47"/>
      <c r="D142" s="47"/>
      <c r="E142" s="47"/>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row>
    <row r="143">
      <c r="A143" s="46"/>
      <c r="B143" s="46"/>
      <c r="C143" s="47"/>
      <c r="D143" s="47"/>
      <c r="E143" s="47"/>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row>
    <row r="144">
      <c r="A144" s="46"/>
      <c r="B144" s="46"/>
      <c r="C144" s="47"/>
      <c r="D144" s="47"/>
      <c r="E144" s="47"/>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row>
    <row r="145">
      <c r="A145" s="46"/>
      <c r="B145" s="46"/>
      <c r="C145" s="47"/>
      <c r="D145" s="47"/>
      <c r="E145" s="47"/>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row>
    <row r="146">
      <c r="A146" s="46"/>
      <c r="B146" s="46"/>
      <c r="C146" s="47"/>
      <c r="D146" s="47"/>
      <c r="E146" s="47"/>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row>
    <row r="147">
      <c r="A147" s="46"/>
      <c r="B147" s="46"/>
      <c r="C147" s="47"/>
      <c r="D147" s="47"/>
      <c r="E147" s="47"/>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row>
    <row r="148">
      <c r="A148" s="46"/>
      <c r="B148" s="46"/>
      <c r="C148" s="47"/>
      <c r="D148" s="47"/>
      <c r="E148" s="47"/>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row>
    <row r="149">
      <c r="A149" s="46"/>
      <c r="B149" s="46"/>
      <c r="C149" s="47"/>
      <c r="D149" s="47"/>
      <c r="E149" s="47"/>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row>
    <row r="150">
      <c r="A150" s="46"/>
      <c r="B150" s="46"/>
      <c r="C150" s="47"/>
      <c r="D150" s="47"/>
      <c r="E150" s="47"/>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row>
    <row r="151">
      <c r="A151" s="46"/>
      <c r="B151" s="46"/>
      <c r="C151" s="47"/>
      <c r="D151" s="47"/>
      <c r="E151" s="47"/>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row>
    <row r="152">
      <c r="A152" s="46"/>
      <c r="B152" s="46"/>
      <c r="C152" s="47"/>
      <c r="D152" s="47"/>
      <c r="E152" s="47"/>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row>
    <row r="153">
      <c r="A153" s="46"/>
      <c r="B153" s="46"/>
      <c r="C153" s="47"/>
      <c r="D153" s="47"/>
      <c r="E153" s="47"/>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row>
    <row r="154">
      <c r="A154" s="46"/>
      <c r="B154" s="46"/>
      <c r="C154" s="47"/>
      <c r="D154" s="47"/>
      <c r="E154" s="47"/>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row>
    <row r="155">
      <c r="A155" s="46"/>
      <c r="B155" s="46"/>
      <c r="C155" s="47"/>
      <c r="D155" s="47"/>
      <c r="E155" s="47"/>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row>
    <row r="156">
      <c r="A156" s="46"/>
      <c r="B156" s="46"/>
      <c r="C156" s="47"/>
      <c r="D156" s="47"/>
      <c r="E156" s="47"/>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row>
    <row r="157">
      <c r="A157" s="46"/>
      <c r="B157" s="46"/>
      <c r="C157" s="47"/>
      <c r="D157" s="47"/>
      <c r="E157" s="47"/>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row>
    <row r="158">
      <c r="A158" s="46"/>
      <c r="B158" s="46"/>
      <c r="C158" s="47"/>
      <c r="D158" s="47"/>
      <c r="E158" s="47"/>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row>
    <row r="159">
      <c r="A159" s="46"/>
      <c r="B159" s="46"/>
      <c r="C159" s="47"/>
      <c r="D159" s="47"/>
      <c r="E159" s="47"/>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row>
    <row r="160">
      <c r="A160" s="46"/>
      <c r="B160" s="46"/>
      <c r="C160" s="47"/>
      <c r="D160" s="47"/>
      <c r="E160" s="47"/>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row>
    <row r="161">
      <c r="A161" s="46"/>
      <c r="B161" s="46"/>
      <c r="C161" s="47"/>
      <c r="D161" s="47"/>
      <c r="E161" s="47"/>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row>
    <row r="162">
      <c r="A162" s="46"/>
      <c r="B162" s="46"/>
      <c r="C162" s="47"/>
      <c r="D162" s="47"/>
      <c r="E162" s="47"/>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row>
    <row r="163">
      <c r="A163" s="46"/>
      <c r="B163" s="46"/>
      <c r="C163" s="47"/>
      <c r="D163" s="47"/>
      <c r="E163" s="47"/>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row>
    <row r="164">
      <c r="A164" s="46"/>
      <c r="B164" s="46"/>
      <c r="C164" s="47"/>
      <c r="D164" s="47"/>
      <c r="E164" s="47"/>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row>
    <row r="165">
      <c r="A165" s="46"/>
      <c r="B165" s="46"/>
      <c r="C165" s="47"/>
      <c r="D165" s="47"/>
      <c r="E165" s="47"/>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row>
    <row r="166">
      <c r="A166" s="46"/>
      <c r="B166" s="46"/>
      <c r="C166" s="47"/>
      <c r="D166" s="47"/>
      <c r="E166" s="47"/>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row>
    <row r="167">
      <c r="A167" s="46"/>
      <c r="B167" s="46"/>
      <c r="C167" s="47"/>
      <c r="D167" s="47"/>
      <c r="E167" s="47"/>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row>
    <row r="168">
      <c r="A168" s="46"/>
      <c r="B168" s="46"/>
      <c r="C168" s="47"/>
      <c r="D168" s="47"/>
      <c r="E168" s="47"/>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row>
    <row r="169">
      <c r="A169" s="46"/>
      <c r="B169" s="46"/>
      <c r="C169" s="47"/>
      <c r="D169" s="47"/>
      <c r="E169" s="47"/>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row>
    <row r="170">
      <c r="A170" s="46"/>
      <c r="B170" s="46"/>
      <c r="C170" s="47"/>
      <c r="D170" s="47"/>
      <c r="E170" s="47"/>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row>
    <row r="171">
      <c r="A171" s="46"/>
      <c r="B171" s="46"/>
      <c r="C171" s="47"/>
      <c r="D171" s="47"/>
      <c r="E171" s="47"/>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row>
    <row r="172">
      <c r="A172" s="46"/>
      <c r="B172" s="46"/>
      <c r="C172" s="47"/>
      <c r="D172" s="47"/>
      <c r="E172" s="47"/>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row>
    <row r="173">
      <c r="A173" s="46"/>
      <c r="B173" s="46"/>
      <c r="C173" s="47"/>
      <c r="D173" s="47"/>
      <c r="E173" s="47"/>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row>
    <row r="174">
      <c r="A174" s="46"/>
      <c r="B174" s="46"/>
      <c r="C174" s="47"/>
      <c r="D174" s="47"/>
      <c r="E174" s="47"/>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row>
    <row r="175">
      <c r="A175" s="46"/>
      <c r="B175" s="46"/>
      <c r="C175" s="47"/>
      <c r="D175" s="47"/>
      <c r="E175" s="47"/>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row>
    <row r="176">
      <c r="A176" s="46"/>
      <c r="B176" s="46"/>
      <c r="C176" s="47"/>
      <c r="D176" s="47"/>
      <c r="E176" s="47"/>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row>
    <row r="177">
      <c r="A177" s="46"/>
      <c r="B177" s="46"/>
      <c r="C177" s="47"/>
      <c r="D177" s="47"/>
      <c r="E177" s="47"/>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row>
    <row r="178">
      <c r="A178" s="46"/>
      <c r="B178" s="46"/>
      <c r="C178" s="47"/>
      <c r="D178" s="47"/>
      <c r="E178" s="47"/>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row>
    <row r="179">
      <c r="A179" s="46"/>
      <c r="B179" s="46"/>
      <c r="C179" s="47"/>
      <c r="D179" s="47"/>
      <c r="E179" s="47"/>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row>
    <row r="180">
      <c r="A180" s="46"/>
      <c r="B180" s="46"/>
      <c r="C180" s="47"/>
      <c r="D180" s="47"/>
      <c r="E180" s="47"/>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row>
    <row r="181">
      <c r="A181" s="46"/>
      <c r="B181" s="46"/>
      <c r="C181" s="47"/>
      <c r="D181" s="47"/>
      <c r="E181" s="47"/>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row>
    <row r="182">
      <c r="A182" s="46"/>
      <c r="B182" s="46"/>
      <c r="C182" s="47"/>
      <c r="D182" s="47"/>
      <c r="E182" s="47"/>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row>
    <row r="183">
      <c r="A183" s="46"/>
      <c r="B183" s="46"/>
      <c r="C183" s="47"/>
      <c r="D183" s="47"/>
      <c r="E183" s="47"/>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row>
    <row r="184">
      <c r="A184" s="46"/>
      <c r="B184" s="46"/>
      <c r="C184" s="47"/>
      <c r="D184" s="47"/>
      <c r="E184" s="47"/>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row>
    <row r="185">
      <c r="A185" s="46"/>
      <c r="B185" s="46"/>
      <c r="C185" s="47"/>
      <c r="D185" s="47"/>
      <c r="E185" s="47"/>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row>
    <row r="186">
      <c r="A186" s="46"/>
      <c r="B186" s="46"/>
      <c r="C186" s="47"/>
      <c r="D186" s="47"/>
      <c r="E186" s="47"/>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row>
    <row r="187">
      <c r="A187" s="46"/>
      <c r="B187" s="46"/>
      <c r="C187" s="47"/>
      <c r="D187" s="47"/>
      <c r="E187" s="47"/>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row>
    <row r="188">
      <c r="A188" s="46"/>
      <c r="B188" s="46"/>
      <c r="C188" s="47"/>
      <c r="D188" s="47"/>
      <c r="E188" s="47"/>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row>
    <row r="189">
      <c r="A189" s="46"/>
      <c r="B189" s="46"/>
      <c r="C189" s="47"/>
      <c r="D189" s="47"/>
      <c r="E189" s="47"/>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row>
    <row r="190">
      <c r="A190" s="46"/>
      <c r="B190" s="46"/>
      <c r="C190" s="47"/>
      <c r="D190" s="47"/>
      <c r="E190" s="47"/>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row>
    <row r="191">
      <c r="A191" s="46"/>
      <c r="B191" s="46"/>
      <c r="C191" s="47"/>
      <c r="D191" s="47"/>
      <c r="E191" s="47"/>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row>
    <row r="192">
      <c r="A192" s="46"/>
      <c r="B192" s="46"/>
      <c r="C192" s="47"/>
      <c r="D192" s="47"/>
      <c r="E192" s="47"/>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row>
    <row r="193">
      <c r="A193" s="46"/>
      <c r="B193" s="46"/>
      <c r="C193" s="47"/>
      <c r="D193" s="47"/>
      <c r="E193" s="47"/>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row>
    <row r="194">
      <c r="A194" s="46"/>
      <c r="B194" s="46"/>
      <c r="C194" s="47"/>
      <c r="D194" s="47"/>
      <c r="E194" s="47"/>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row>
    <row r="195">
      <c r="A195" s="46"/>
      <c r="B195" s="46"/>
      <c r="C195" s="47"/>
      <c r="D195" s="47"/>
      <c r="E195" s="47"/>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row>
    <row r="196">
      <c r="A196" s="46"/>
      <c r="B196" s="46"/>
      <c r="C196" s="47"/>
      <c r="D196" s="47"/>
      <c r="E196" s="47"/>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row>
    <row r="197">
      <c r="A197" s="46"/>
      <c r="B197" s="46"/>
      <c r="C197" s="47"/>
      <c r="D197" s="47"/>
      <c r="E197" s="47"/>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row>
    <row r="198">
      <c r="A198" s="46"/>
      <c r="B198" s="46"/>
      <c r="C198" s="47"/>
      <c r="D198" s="47"/>
      <c r="E198" s="47"/>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row>
    <row r="199">
      <c r="A199" s="46"/>
      <c r="B199" s="46"/>
      <c r="C199" s="47"/>
      <c r="D199" s="47"/>
      <c r="E199" s="47"/>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row>
    <row r="200">
      <c r="A200" s="46"/>
      <c r="B200" s="46"/>
      <c r="C200" s="47"/>
      <c r="D200" s="47"/>
      <c r="E200" s="47"/>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row>
    <row r="201">
      <c r="A201" s="46"/>
      <c r="B201" s="46"/>
      <c r="C201" s="47"/>
      <c r="D201" s="47"/>
      <c r="E201" s="47"/>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row>
    <row r="202">
      <c r="A202" s="46"/>
      <c r="B202" s="46"/>
      <c r="C202" s="47"/>
      <c r="D202" s="47"/>
      <c r="E202" s="47"/>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row>
    <row r="203">
      <c r="A203" s="46"/>
      <c r="B203" s="46"/>
      <c r="C203" s="47"/>
      <c r="D203" s="47"/>
      <c r="E203" s="47"/>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row>
    <row r="204">
      <c r="A204" s="46"/>
      <c r="B204" s="46"/>
      <c r="C204" s="47"/>
      <c r="D204" s="47"/>
      <c r="E204" s="47"/>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row>
    <row r="205">
      <c r="A205" s="46"/>
      <c r="B205" s="46"/>
      <c r="C205" s="47"/>
      <c r="D205" s="47"/>
      <c r="E205" s="47"/>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row>
    <row r="206">
      <c r="A206" s="46"/>
      <c r="B206" s="46"/>
      <c r="C206" s="47"/>
      <c r="D206" s="47"/>
      <c r="E206" s="47"/>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row>
    <row r="207">
      <c r="A207" s="46"/>
      <c r="B207" s="46"/>
      <c r="C207" s="47"/>
      <c r="D207" s="47"/>
      <c r="E207" s="47"/>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row>
    <row r="208">
      <c r="A208" s="46"/>
      <c r="B208" s="46"/>
      <c r="C208" s="47"/>
      <c r="D208" s="47"/>
      <c r="E208" s="47"/>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row>
    <row r="209">
      <c r="A209" s="46"/>
      <c r="B209" s="46"/>
      <c r="C209" s="47"/>
      <c r="D209" s="47"/>
      <c r="E209" s="47"/>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row>
    <row r="210">
      <c r="A210" s="46"/>
      <c r="B210" s="46"/>
      <c r="C210" s="47"/>
      <c r="D210" s="47"/>
      <c r="E210" s="47"/>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row>
    <row r="211">
      <c r="A211" s="46"/>
      <c r="B211" s="46"/>
      <c r="C211" s="47"/>
      <c r="D211" s="47"/>
      <c r="E211" s="47"/>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row>
    <row r="212">
      <c r="A212" s="46"/>
      <c r="B212" s="46"/>
      <c r="C212" s="47"/>
      <c r="D212" s="47"/>
      <c r="E212" s="47"/>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row>
    <row r="213">
      <c r="A213" s="46"/>
      <c r="B213" s="46"/>
      <c r="C213" s="47"/>
      <c r="D213" s="47"/>
      <c r="E213" s="47"/>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row>
    <row r="214">
      <c r="A214" s="46"/>
      <c r="B214" s="46"/>
      <c r="C214" s="47"/>
      <c r="D214" s="47"/>
      <c r="E214" s="47"/>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row>
    <row r="215">
      <c r="A215" s="46"/>
      <c r="B215" s="46"/>
      <c r="C215" s="47"/>
      <c r="D215" s="47"/>
      <c r="E215" s="47"/>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row>
    <row r="216">
      <c r="A216" s="46"/>
      <c r="B216" s="46"/>
      <c r="C216" s="47"/>
      <c r="D216" s="47"/>
      <c r="E216" s="47"/>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row>
    <row r="217">
      <c r="A217" s="46"/>
      <c r="B217" s="46"/>
      <c r="C217" s="47"/>
      <c r="D217" s="47"/>
      <c r="E217" s="47"/>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row>
    <row r="218">
      <c r="A218" s="46"/>
      <c r="B218" s="46"/>
      <c r="C218" s="47"/>
      <c r="D218" s="47"/>
      <c r="E218" s="47"/>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row>
    <row r="219">
      <c r="A219" s="46"/>
      <c r="B219" s="46"/>
      <c r="C219" s="47"/>
      <c r="D219" s="47"/>
      <c r="E219" s="47"/>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row>
    <row r="220">
      <c r="A220" s="46"/>
      <c r="B220" s="46"/>
      <c r="C220" s="47"/>
      <c r="D220" s="47"/>
      <c r="E220" s="47"/>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row>
    <row r="221">
      <c r="A221" s="46"/>
      <c r="B221" s="46"/>
      <c r="C221" s="47"/>
      <c r="D221" s="47"/>
      <c r="E221" s="47"/>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row>
    <row r="222">
      <c r="A222" s="46"/>
      <c r="B222" s="46"/>
      <c r="C222" s="47"/>
      <c r="D222" s="47"/>
      <c r="E222" s="47"/>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row>
    <row r="223">
      <c r="A223" s="46"/>
      <c r="B223" s="46"/>
      <c r="C223" s="47"/>
      <c r="D223" s="47"/>
      <c r="E223" s="47"/>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row>
    <row r="224">
      <c r="A224" s="46"/>
      <c r="B224" s="46"/>
      <c r="C224" s="47"/>
      <c r="D224" s="47"/>
      <c r="E224" s="47"/>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row>
    <row r="225">
      <c r="A225" s="46"/>
      <c r="B225" s="46"/>
      <c r="C225" s="47"/>
      <c r="D225" s="47"/>
      <c r="E225" s="47"/>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row>
    <row r="226">
      <c r="A226" s="46"/>
      <c r="B226" s="46"/>
      <c r="C226" s="47"/>
      <c r="D226" s="47"/>
      <c r="E226" s="47"/>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row>
    <row r="227">
      <c r="A227" s="46"/>
      <c r="B227" s="46"/>
      <c r="C227" s="47"/>
      <c r="D227" s="47"/>
      <c r="E227" s="47"/>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row>
    <row r="228">
      <c r="A228" s="46"/>
      <c r="B228" s="46"/>
      <c r="C228" s="47"/>
      <c r="D228" s="47"/>
      <c r="E228" s="47"/>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row>
    <row r="229">
      <c r="A229" s="46"/>
      <c r="B229" s="46"/>
      <c r="C229" s="47"/>
      <c r="D229" s="47"/>
      <c r="E229" s="47"/>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row>
    <row r="230">
      <c r="A230" s="46"/>
      <c r="B230" s="46"/>
      <c r="C230" s="47"/>
      <c r="D230" s="47"/>
      <c r="E230" s="47"/>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row>
    <row r="231">
      <c r="A231" s="46"/>
      <c r="B231" s="46"/>
      <c r="C231" s="47"/>
      <c r="D231" s="47"/>
      <c r="E231" s="47"/>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row>
    <row r="232">
      <c r="A232" s="46"/>
      <c r="B232" s="46"/>
      <c r="C232" s="47"/>
      <c r="D232" s="47"/>
      <c r="E232" s="47"/>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row>
    <row r="233">
      <c r="A233" s="46"/>
      <c r="B233" s="46"/>
      <c r="C233" s="47"/>
      <c r="D233" s="47"/>
      <c r="E233" s="47"/>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row>
    <row r="234">
      <c r="A234" s="46"/>
      <c r="B234" s="46"/>
      <c r="C234" s="47"/>
      <c r="D234" s="47"/>
      <c r="E234" s="47"/>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row>
    <row r="235">
      <c r="A235" s="46"/>
      <c r="B235" s="46"/>
      <c r="C235" s="47"/>
      <c r="D235" s="47"/>
      <c r="E235" s="47"/>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row>
    <row r="236">
      <c r="A236" s="46"/>
      <c r="B236" s="46"/>
      <c r="C236" s="47"/>
      <c r="D236" s="47"/>
      <c r="E236" s="47"/>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row>
    <row r="237">
      <c r="A237" s="46"/>
      <c r="B237" s="46"/>
      <c r="C237" s="47"/>
      <c r="D237" s="47"/>
      <c r="E237" s="47"/>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row>
    <row r="238">
      <c r="A238" s="46"/>
      <c r="B238" s="46"/>
      <c r="C238" s="47"/>
      <c r="D238" s="47"/>
      <c r="E238" s="47"/>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row>
    <row r="239">
      <c r="A239" s="46"/>
      <c r="B239" s="46"/>
      <c r="C239" s="47"/>
      <c r="D239" s="47"/>
      <c r="E239" s="47"/>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row>
    <row r="240">
      <c r="A240" s="46"/>
      <c r="B240" s="46"/>
      <c r="C240" s="47"/>
      <c r="D240" s="47"/>
      <c r="E240" s="47"/>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row>
    <row r="241">
      <c r="A241" s="46"/>
      <c r="B241" s="46"/>
      <c r="C241" s="47"/>
      <c r="D241" s="47"/>
      <c r="E241" s="47"/>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row>
    <row r="242">
      <c r="A242" s="46"/>
      <c r="B242" s="46"/>
      <c r="C242" s="47"/>
      <c r="D242" s="47"/>
      <c r="E242" s="47"/>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row>
    <row r="243">
      <c r="A243" s="46"/>
      <c r="B243" s="46"/>
      <c r="C243" s="47"/>
      <c r="D243" s="47"/>
      <c r="E243" s="47"/>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row>
    <row r="244">
      <c r="A244" s="46"/>
      <c r="B244" s="46"/>
      <c r="C244" s="47"/>
      <c r="D244" s="47"/>
      <c r="E244" s="47"/>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row>
    <row r="245">
      <c r="A245" s="46"/>
      <c r="B245" s="46"/>
      <c r="C245" s="47"/>
      <c r="D245" s="47"/>
      <c r="E245" s="47"/>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row>
    <row r="246">
      <c r="A246" s="46"/>
      <c r="B246" s="46"/>
      <c r="C246" s="47"/>
      <c r="D246" s="47"/>
      <c r="E246" s="47"/>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row>
    <row r="247">
      <c r="A247" s="46"/>
      <c r="B247" s="46"/>
      <c r="C247" s="47"/>
      <c r="D247" s="47"/>
      <c r="E247" s="47"/>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row>
    <row r="248">
      <c r="A248" s="46"/>
      <c r="B248" s="46"/>
      <c r="C248" s="47"/>
      <c r="D248" s="47"/>
      <c r="E248" s="47"/>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row>
    <row r="249">
      <c r="A249" s="46"/>
      <c r="B249" s="46"/>
      <c r="C249" s="47"/>
      <c r="D249" s="47"/>
      <c r="E249" s="47"/>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row>
    <row r="250">
      <c r="A250" s="46"/>
      <c r="B250" s="46"/>
      <c r="C250" s="47"/>
      <c r="D250" s="47"/>
      <c r="E250" s="47"/>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row>
    <row r="251">
      <c r="A251" s="46"/>
      <c r="B251" s="46"/>
      <c r="C251" s="47"/>
      <c r="D251" s="47"/>
      <c r="E251" s="47"/>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row>
    <row r="252">
      <c r="A252" s="46"/>
      <c r="B252" s="46"/>
      <c r="C252" s="47"/>
      <c r="D252" s="47"/>
      <c r="E252" s="47"/>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row>
    <row r="253">
      <c r="A253" s="46"/>
      <c r="B253" s="46"/>
      <c r="C253" s="47"/>
      <c r="D253" s="47"/>
      <c r="E253" s="47"/>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row>
    <row r="254">
      <c r="A254" s="46"/>
      <c r="B254" s="46"/>
      <c r="C254" s="47"/>
      <c r="D254" s="47"/>
      <c r="E254" s="47"/>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row>
    <row r="255">
      <c r="A255" s="46"/>
      <c r="B255" s="46"/>
      <c r="C255" s="47"/>
      <c r="D255" s="47"/>
      <c r="E255" s="47"/>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row>
    <row r="256">
      <c r="A256" s="46"/>
      <c r="B256" s="46"/>
      <c r="C256" s="47"/>
      <c r="D256" s="47"/>
      <c r="E256" s="47"/>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row>
    <row r="257">
      <c r="A257" s="46"/>
      <c r="B257" s="46"/>
      <c r="C257" s="47"/>
      <c r="D257" s="47"/>
      <c r="E257" s="47"/>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row>
    <row r="258">
      <c r="A258" s="46"/>
      <c r="B258" s="46"/>
      <c r="C258" s="47"/>
      <c r="D258" s="47"/>
      <c r="E258" s="47"/>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row>
    <row r="259">
      <c r="A259" s="46"/>
      <c r="B259" s="46"/>
      <c r="C259" s="47"/>
      <c r="D259" s="47"/>
      <c r="E259" s="47"/>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row>
    <row r="260">
      <c r="A260" s="46"/>
      <c r="B260" s="46"/>
      <c r="C260" s="47"/>
      <c r="D260" s="47"/>
      <c r="E260" s="47"/>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row>
    <row r="261">
      <c r="A261" s="46"/>
      <c r="B261" s="46"/>
      <c r="C261" s="47"/>
      <c r="D261" s="47"/>
      <c r="E261" s="47"/>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row>
    <row r="262">
      <c r="A262" s="46"/>
      <c r="B262" s="46"/>
      <c r="C262" s="47"/>
      <c r="D262" s="47"/>
      <c r="E262" s="47"/>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row>
    <row r="263">
      <c r="A263" s="46"/>
      <c r="B263" s="46"/>
      <c r="C263" s="47"/>
      <c r="D263" s="47"/>
      <c r="E263" s="47"/>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row>
    <row r="264">
      <c r="A264" s="46"/>
      <c r="B264" s="46"/>
      <c r="C264" s="47"/>
      <c r="D264" s="47"/>
      <c r="E264" s="47"/>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row>
    <row r="265">
      <c r="A265" s="46"/>
      <c r="B265" s="46"/>
      <c r="C265" s="47"/>
      <c r="D265" s="47"/>
      <c r="E265" s="47"/>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row>
    <row r="266">
      <c r="A266" s="46"/>
      <c r="B266" s="46"/>
      <c r="C266" s="47"/>
      <c r="D266" s="47"/>
      <c r="E266" s="47"/>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row>
    <row r="267">
      <c r="A267" s="46"/>
      <c r="B267" s="46"/>
      <c r="C267" s="47"/>
      <c r="D267" s="47"/>
      <c r="E267" s="47"/>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row>
    <row r="268">
      <c r="A268" s="46"/>
      <c r="B268" s="46"/>
      <c r="C268" s="47"/>
      <c r="D268" s="47"/>
      <c r="E268" s="47"/>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row>
    <row r="269">
      <c r="A269" s="46"/>
      <c r="B269" s="46"/>
      <c r="C269" s="47"/>
      <c r="D269" s="47"/>
      <c r="E269" s="47"/>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row>
    <row r="270">
      <c r="A270" s="46"/>
      <c r="B270" s="46"/>
      <c r="C270" s="47"/>
      <c r="D270" s="47"/>
      <c r="E270" s="47"/>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row>
    <row r="271">
      <c r="A271" s="46"/>
      <c r="B271" s="46"/>
      <c r="C271" s="47"/>
      <c r="D271" s="47"/>
      <c r="E271" s="47"/>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c r="AE271" s="46"/>
      <c r="AF271" s="46"/>
      <c r="AG271" s="46"/>
      <c r="AH271" s="46"/>
      <c r="AI271" s="46"/>
      <c r="AJ271" s="46"/>
      <c r="AK271" s="46"/>
      <c r="AL271" s="46"/>
    </row>
    <row r="272">
      <c r="A272" s="46"/>
      <c r="B272" s="46"/>
      <c r="C272" s="47"/>
      <c r="D272" s="47"/>
      <c r="E272" s="47"/>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c r="AE272" s="46"/>
      <c r="AF272" s="46"/>
      <c r="AG272" s="46"/>
      <c r="AH272" s="46"/>
      <c r="AI272" s="46"/>
      <c r="AJ272" s="46"/>
      <c r="AK272" s="46"/>
      <c r="AL272" s="46"/>
    </row>
    <row r="273">
      <c r="A273" s="46"/>
      <c r="B273" s="46"/>
      <c r="C273" s="47"/>
      <c r="D273" s="47"/>
      <c r="E273" s="47"/>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c r="AE273" s="46"/>
      <c r="AF273" s="46"/>
      <c r="AG273" s="46"/>
      <c r="AH273" s="46"/>
      <c r="AI273" s="46"/>
      <c r="AJ273" s="46"/>
      <c r="AK273" s="46"/>
      <c r="AL273" s="46"/>
    </row>
    <row r="274">
      <c r="A274" s="46"/>
      <c r="B274" s="46"/>
      <c r="C274" s="47"/>
      <c r="D274" s="47"/>
      <c r="E274" s="47"/>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c r="AE274" s="46"/>
      <c r="AF274" s="46"/>
      <c r="AG274" s="46"/>
      <c r="AH274" s="46"/>
      <c r="AI274" s="46"/>
      <c r="AJ274" s="46"/>
      <c r="AK274" s="46"/>
      <c r="AL274" s="46"/>
    </row>
    <row r="275">
      <c r="A275" s="46"/>
      <c r="B275" s="46"/>
      <c r="C275" s="47"/>
      <c r="D275" s="47"/>
      <c r="E275" s="47"/>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c r="AE275" s="46"/>
      <c r="AF275" s="46"/>
      <c r="AG275" s="46"/>
      <c r="AH275" s="46"/>
      <c r="AI275" s="46"/>
      <c r="AJ275" s="46"/>
      <c r="AK275" s="46"/>
      <c r="AL275" s="46"/>
    </row>
    <row r="276">
      <c r="A276" s="46"/>
      <c r="B276" s="46"/>
      <c r="C276" s="47"/>
      <c r="D276" s="47"/>
      <c r="E276" s="47"/>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c r="AE276" s="46"/>
      <c r="AF276" s="46"/>
      <c r="AG276" s="46"/>
      <c r="AH276" s="46"/>
      <c r="AI276" s="46"/>
      <c r="AJ276" s="46"/>
      <c r="AK276" s="46"/>
      <c r="AL276" s="46"/>
    </row>
    <row r="277">
      <c r="A277" s="46"/>
      <c r="B277" s="46"/>
      <c r="C277" s="47"/>
      <c r="D277" s="47"/>
      <c r="E277" s="47"/>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c r="AE277" s="46"/>
      <c r="AF277" s="46"/>
      <c r="AG277" s="46"/>
      <c r="AH277" s="46"/>
      <c r="AI277" s="46"/>
      <c r="AJ277" s="46"/>
      <c r="AK277" s="46"/>
      <c r="AL277" s="46"/>
    </row>
    <row r="278">
      <c r="A278" s="46"/>
      <c r="B278" s="46"/>
      <c r="C278" s="47"/>
      <c r="D278" s="47"/>
      <c r="E278" s="47"/>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c r="AE278" s="46"/>
      <c r="AF278" s="46"/>
      <c r="AG278" s="46"/>
      <c r="AH278" s="46"/>
      <c r="AI278" s="46"/>
      <c r="AJ278" s="46"/>
      <c r="AK278" s="46"/>
      <c r="AL278" s="46"/>
    </row>
    <row r="279">
      <c r="A279" s="46"/>
      <c r="B279" s="46"/>
      <c r="C279" s="47"/>
      <c r="D279" s="47"/>
      <c r="E279" s="47"/>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c r="AE279" s="46"/>
      <c r="AF279" s="46"/>
      <c r="AG279" s="46"/>
      <c r="AH279" s="46"/>
      <c r="AI279" s="46"/>
      <c r="AJ279" s="46"/>
      <c r="AK279" s="46"/>
      <c r="AL279" s="46"/>
    </row>
    <row r="280">
      <c r="A280" s="46"/>
      <c r="B280" s="46"/>
      <c r="C280" s="47"/>
      <c r="D280" s="47"/>
      <c r="E280" s="47"/>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c r="AE280" s="46"/>
      <c r="AF280" s="46"/>
      <c r="AG280" s="46"/>
      <c r="AH280" s="46"/>
      <c r="AI280" s="46"/>
      <c r="AJ280" s="46"/>
      <c r="AK280" s="46"/>
      <c r="AL280" s="46"/>
    </row>
    <row r="281">
      <c r="A281" s="46"/>
      <c r="B281" s="46"/>
      <c r="C281" s="47"/>
      <c r="D281" s="47"/>
      <c r="E281" s="47"/>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c r="AE281" s="46"/>
      <c r="AF281" s="46"/>
      <c r="AG281" s="46"/>
      <c r="AH281" s="46"/>
      <c r="AI281" s="46"/>
      <c r="AJ281" s="46"/>
      <c r="AK281" s="46"/>
      <c r="AL281" s="46"/>
    </row>
    <row r="282">
      <c r="A282" s="46"/>
      <c r="B282" s="46"/>
      <c r="C282" s="47"/>
      <c r="D282" s="47"/>
      <c r="E282" s="47"/>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c r="AE282" s="46"/>
      <c r="AF282" s="46"/>
      <c r="AG282" s="46"/>
      <c r="AH282" s="46"/>
      <c r="AI282" s="46"/>
      <c r="AJ282" s="46"/>
      <c r="AK282" s="46"/>
      <c r="AL282" s="46"/>
    </row>
    <row r="283">
      <c r="A283" s="46"/>
      <c r="B283" s="46"/>
      <c r="C283" s="47"/>
      <c r="D283" s="47"/>
      <c r="E283" s="47"/>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c r="AE283" s="46"/>
      <c r="AF283" s="46"/>
      <c r="AG283" s="46"/>
      <c r="AH283" s="46"/>
      <c r="AI283" s="46"/>
      <c r="AJ283" s="46"/>
      <c r="AK283" s="46"/>
      <c r="AL283" s="46"/>
    </row>
    <row r="284">
      <c r="A284" s="46"/>
      <c r="B284" s="46"/>
      <c r="C284" s="47"/>
      <c r="D284" s="47"/>
      <c r="E284" s="47"/>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c r="AE284" s="46"/>
      <c r="AF284" s="46"/>
      <c r="AG284" s="46"/>
      <c r="AH284" s="46"/>
      <c r="AI284" s="46"/>
      <c r="AJ284" s="46"/>
      <c r="AK284" s="46"/>
      <c r="AL284" s="46"/>
    </row>
    <row r="285">
      <c r="A285" s="46"/>
      <c r="B285" s="46"/>
      <c r="C285" s="47"/>
      <c r="D285" s="47"/>
      <c r="E285" s="47"/>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c r="AE285" s="46"/>
      <c r="AF285" s="46"/>
      <c r="AG285" s="46"/>
      <c r="AH285" s="46"/>
      <c r="AI285" s="46"/>
      <c r="AJ285" s="46"/>
      <c r="AK285" s="46"/>
      <c r="AL285" s="46"/>
    </row>
    <row r="286">
      <c r="A286" s="46"/>
      <c r="B286" s="46"/>
      <c r="C286" s="47"/>
      <c r="D286" s="47"/>
      <c r="E286" s="47"/>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c r="AE286" s="46"/>
      <c r="AF286" s="46"/>
      <c r="AG286" s="46"/>
      <c r="AH286" s="46"/>
      <c r="AI286" s="46"/>
      <c r="AJ286" s="46"/>
      <c r="AK286" s="46"/>
      <c r="AL286" s="46"/>
    </row>
    <row r="287">
      <c r="A287" s="46"/>
      <c r="B287" s="46"/>
      <c r="C287" s="47"/>
      <c r="D287" s="47"/>
      <c r="E287" s="47"/>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c r="AE287" s="46"/>
      <c r="AF287" s="46"/>
      <c r="AG287" s="46"/>
      <c r="AH287" s="46"/>
      <c r="AI287" s="46"/>
      <c r="AJ287" s="46"/>
      <c r="AK287" s="46"/>
      <c r="AL287" s="46"/>
    </row>
    <row r="288">
      <c r="A288" s="46"/>
      <c r="B288" s="46"/>
      <c r="C288" s="47"/>
      <c r="D288" s="47"/>
      <c r="E288" s="47"/>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c r="AE288" s="46"/>
      <c r="AF288" s="46"/>
      <c r="AG288" s="46"/>
      <c r="AH288" s="46"/>
      <c r="AI288" s="46"/>
      <c r="AJ288" s="46"/>
      <c r="AK288" s="46"/>
      <c r="AL288" s="46"/>
    </row>
    <row r="289">
      <c r="A289" s="46"/>
      <c r="B289" s="46"/>
      <c r="C289" s="47"/>
      <c r="D289" s="47"/>
      <c r="E289" s="47"/>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c r="AE289" s="46"/>
      <c r="AF289" s="46"/>
      <c r="AG289" s="46"/>
      <c r="AH289" s="46"/>
      <c r="AI289" s="46"/>
      <c r="AJ289" s="46"/>
      <c r="AK289" s="46"/>
      <c r="AL289" s="46"/>
    </row>
    <row r="290">
      <c r="A290" s="46"/>
      <c r="B290" s="46"/>
      <c r="C290" s="47"/>
      <c r="D290" s="47"/>
      <c r="E290" s="47"/>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c r="AE290" s="46"/>
      <c r="AF290" s="46"/>
      <c r="AG290" s="46"/>
      <c r="AH290" s="46"/>
      <c r="AI290" s="46"/>
      <c r="AJ290" s="46"/>
      <c r="AK290" s="46"/>
      <c r="AL290" s="46"/>
    </row>
    <row r="291">
      <c r="A291" s="46"/>
      <c r="B291" s="46"/>
      <c r="C291" s="47"/>
      <c r="D291" s="47"/>
      <c r="E291" s="47"/>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c r="AE291" s="46"/>
      <c r="AF291" s="46"/>
      <c r="AG291" s="46"/>
      <c r="AH291" s="46"/>
      <c r="AI291" s="46"/>
      <c r="AJ291" s="46"/>
      <c r="AK291" s="46"/>
      <c r="AL291" s="46"/>
    </row>
    <row r="292">
      <c r="A292" s="46"/>
      <c r="B292" s="46"/>
      <c r="C292" s="47"/>
      <c r="D292" s="47"/>
      <c r="E292" s="47"/>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c r="AE292" s="46"/>
      <c r="AF292" s="46"/>
      <c r="AG292" s="46"/>
      <c r="AH292" s="46"/>
      <c r="AI292" s="46"/>
      <c r="AJ292" s="46"/>
      <c r="AK292" s="46"/>
      <c r="AL292" s="46"/>
    </row>
    <row r="293">
      <c r="A293" s="46"/>
      <c r="B293" s="46"/>
      <c r="C293" s="47"/>
      <c r="D293" s="47"/>
      <c r="E293" s="47"/>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c r="AE293" s="46"/>
      <c r="AF293" s="46"/>
      <c r="AG293" s="46"/>
      <c r="AH293" s="46"/>
      <c r="AI293" s="46"/>
      <c r="AJ293" s="46"/>
      <c r="AK293" s="46"/>
      <c r="AL293" s="46"/>
    </row>
    <row r="294">
      <c r="A294" s="46"/>
      <c r="B294" s="46"/>
      <c r="C294" s="47"/>
      <c r="D294" s="47"/>
      <c r="E294" s="47"/>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c r="AE294" s="46"/>
      <c r="AF294" s="46"/>
      <c r="AG294" s="46"/>
      <c r="AH294" s="46"/>
      <c r="AI294" s="46"/>
      <c r="AJ294" s="46"/>
      <c r="AK294" s="46"/>
      <c r="AL294" s="46"/>
    </row>
    <row r="295">
      <c r="A295" s="46"/>
      <c r="B295" s="46"/>
      <c r="C295" s="47"/>
      <c r="D295" s="47"/>
      <c r="E295" s="47"/>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c r="AE295" s="46"/>
      <c r="AF295" s="46"/>
      <c r="AG295" s="46"/>
      <c r="AH295" s="46"/>
      <c r="AI295" s="46"/>
      <c r="AJ295" s="46"/>
      <c r="AK295" s="46"/>
      <c r="AL295" s="46"/>
    </row>
    <row r="296">
      <c r="A296" s="46"/>
      <c r="B296" s="46"/>
      <c r="C296" s="47"/>
      <c r="D296" s="47"/>
      <c r="E296" s="47"/>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c r="AE296" s="46"/>
      <c r="AF296" s="46"/>
      <c r="AG296" s="46"/>
      <c r="AH296" s="46"/>
      <c r="AI296" s="46"/>
      <c r="AJ296" s="46"/>
      <c r="AK296" s="46"/>
      <c r="AL296" s="46"/>
    </row>
    <row r="297">
      <c r="A297" s="46"/>
      <c r="B297" s="46"/>
      <c r="C297" s="47"/>
      <c r="D297" s="47"/>
      <c r="E297" s="47"/>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c r="AE297" s="46"/>
      <c r="AF297" s="46"/>
      <c r="AG297" s="46"/>
      <c r="AH297" s="46"/>
      <c r="AI297" s="46"/>
      <c r="AJ297" s="46"/>
      <c r="AK297" s="46"/>
      <c r="AL297" s="46"/>
    </row>
    <row r="298">
      <c r="A298" s="46"/>
      <c r="B298" s="46"/>
      <c r="C298" s="47"/>
      <c r="D298" s="47"/>
      <c r="E298" s="47"/>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c r="AE298" s="46"/>
      <c r="AF298" s="46"/>
      <c r="AG298" s="46"/>
      <c r="AH298" s="46"/>
      <c r="AI298" s="46"/>
      <c r="AJ298" s="46"/>
      <c r="AK298" s="46"/>
      <c r="AL298" s="46"/>
    </row>
    <row r="299">
      <c r="A299" s="46"/>
      <c r="B299" s="46"/>
      <c r="C299" s="47"/>
      <c r="D299" s="47"/>
      <c r="E299" s="47"/>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c r="AE299" s="46"/>
      <c r="AF299" s="46"/>
      <c r="AG299" s="46"/>
      <c r="AH299" s="46"/>
      <c r="AI299" s="46"/>
      <c r="AJ299" s="46"/>
      <c r="AK299" s="46"/>
      <c r="AL299" s="46"/>
    </row>
    <row r="300">
      <c r="A300" s="46"/>
      <c r="B300" s="46"/>
      <c r="C300" s="47"/>
      <c r="D300" s="47"/>
      <c r="E300" s="47"/>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c r="AE300" s="46"/>
      <c r="AF300" s="46"/>
      <c r="AG300" s="46"/>
      <c r="AH300" s="46"/>
      <c r="AI300" s="46"/>
      <c r="AJ300" s="46"/>
      <c r="AK300" s="46"/>
      <c r="AL300" s="46"/>
    </row>
    <row r="301">
      <c r="A301" s="46"/>
      <c r="B301" s="46"/>
      <c r="C301" s="47"/>
      <c r="D301" s="47"/>
      <c r="E301" s="47"/>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c r="AE301" s="46"/>
      <c r="AF301" s="46"/>
      <c r="AG301" s="46"/>
      <c r="AH301" s="46"/>
      <c r="AI301" s="46"/>
      <c r="AJ301" s="46"/>
      <c r="AK301" s="46"/>
      <c r="AL301" s="46"/>
    </row>
    <row r="302">
      <c r="A302" s="46"/>
      <c r="B302" s="46"/>
      <c r="C302" s="47"/>
      <c r="D302" s="47"/>
      <c r="E302" s="47"/>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c r="AE302" s="46"/>
      <c r="AF302" s="46"/>
      <c r="AG302" s="46"/>
      <c r="AH302" s="46"/>
      <c r="AI302" s="46"/>
      <c r="AJ302" s="46"/>
      <c r="AK302" s="46"/>
      <c r="AL302" s="46"/>
    </row>
    <row r="303">
      <c r="A303" s="46"/>
      <c r="B303" s="46"/>
      <c r="C303" s="47"/>
      <c r="D303" s="47"/>
      <c r="E303" s="47"/>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c r="AE303" s="46"/>
      <c r="AF303" s="46"/>
      <c r="AG303" s="46"/>
      <c r="AH303" s="46"/>
      <c r="AI303" s="46"/>
      <c r="AJ303" s="46"/>
      <c r="AK303" s="46"/>
      <c r="AL303" s="46"/>
    </row>
    <row r="304">
      <c r="A304" s="46"/>
      <c r="B304" s="46"/>
      <c r="C304" s="47"/>
      <c r="D304" s="47"/>
      <c r="E304" s="47"/>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c r="AE304" s="46"/>
      <c r="AF304" s="46"/>
      <c r="AG304" s="46"/>
      <c r="AH304" s="46"/>
      <c r="AI304" s="46"/>
      <c r="AJ304" s="46"/>
      <c r="AK304" s="46"/>
      <c r="AL304" s="46"/>
    </row>
    <row r="305">
      <c r="A305" s="46"/>
      <c r="B305" s="46"/>
      <c r="C305" s="47"/>
      <c r="D305" s="47"/>
      <c r="E305" s="47"/>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c r="AE305" s="46"/>
      <c r="AF305" s="46"/>
      <c r="AG305" s="46"/>
      <c r="AH305" s="46"/>
      <c r="AI305" s="46"/>
      <c r="AJ305" s="46"/>
      <c r="AK305" s="46"/>
      <c r="AL305" s="46"/>
    </row>
    <row r="306">
      <c r="A306" s="46"/>
      <c r="B306" s="46"/>
      <c r="C306" s="47"/>
      <c r="D306" s="47"/>
      <c r="E306" s="47"/>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c r="AE306" s="46"/>
      <c r="AF306" s="46"/>
      <c r="AG306" s="46"/>
      <c r="AH306" s="46"/>
      <c r="AI306" s="46"/>
      <c r="AJ306" s="46"/>
      <c r="AK306" s="46"/>
      <c r="AL306" s="46"/>
    </row>
    <row r="307">
      <c r="A307" s="46"/>
      <c r="B307" s="46"/>
      <c r="C307" s="47"/>
      <c r="D307" s="47"/>
      <c r="E307" s="47"/>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c r="AE307" s="46"/>
      <c r="AF307" s="46"/>
      <c r="AG307" s="46"/>
      <c r="AH307" s="46"/>
      <c r="AI307" s="46"/>
      <c r="AJ307" s="46"/>
      <c r="AK307" s="46"/>
      <c r="AL307" s="46"/>
    </row>
    <row r="308">
      <c r="A308" s="46"/>
      <c r="B308" s="46"/>
      <c r="C308" s="47"/>
      <c r="D308" s="47"/>
      <c r="E308" s="47"/>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c r="AE308" s="46"/>
      <c r="AF308" s="46"/>
      <c r="AG308" s="46"/>
      <c r="AH308" s="46"/>
      <c r="AI308" s="46"/>
      <c r="AJ308" s="46"/>
      <c r="AK308" s="46"/>
      <c r="AL308" s="46"/>
    </row>
    <row r="309">
      <c r="A309" s="46"/>
      <c r="B309" s="46"/>
      <c r="C309" s="47"/>
      <c r="D309" s="47"/>
      <c r="E309" s="47"/>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c r="AE309" s="46"/>
      <c r="AF309" s="46"/>
      <c r="AG309" s="46"/>
      <c r="AH309" s="46"/>
      <c r="AI309" s="46"/>
      <c r="AJ309" s="46"/>
      <c r="AK309" s="46"/>
      <c r="AL309" s="46"/>
    </row>
    <row r="310">
      <c r="A310" s="46"/>
      <c r="B310" s="46"/>
      <c r="C310" s="47"/>
      <c r="D310" s="47"/>
      <c r="E310" s="47"/>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c r="AE310" s="46"/>
      <c r="AF310" s="46"/>
      <c r="AG310" s="46"/>
      <c r="AH310" s="46"/>
      <c r="AI310" s="46"/>
      <c r="AJ310" s="46"/>
      <c r="AK310" s="46"/>
      <c r="AL310" s="46"/>
    </row>
    <row r="311">
      <c r="A311" s="46"/>
      <c r="B311" s="46"/>
      <c r="C311" s="47"/>
      <c r="D311" s="47"/>
      <c r="E311" s="47"/>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c r="AE311" s="46"/>
      <c r="AF311" s="46"/>
      <c r="AG311" s="46"/>
      <c r="AH311" s="46"/>
      <c r="AI311" s="46"/>
      <c r="AJ311" s="46"/>
      <c r="AK311" s="46"/>
      <c r="AL311" s="46"/>
    </row>
    <row r="312">
      <c r="A312" s="46"/>
      <c r="B312" s="46"/>
      <c r="C312" s="47"/>
      <c r="D312" s="47"/>
      <c r="E312" s="47"/>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c r="AE312" s="46"/>
      <c r="AF312" s="46"/>
      <c r="AG312" s="46"/>
      <c r="AH312" s="46"/>
      <c r="AI312" s="46"/>
      <c r="AJ312" s="46"/>
      <c r="AK312" s="46"/>
      <c r="AL312" s="46"/>
    </row>
    <row r="313">
      <c r="A313" s="46"/>
      <c r="B313" s="46"/>
      <c r="C313" s="47"/>
      <c r="D313" s="47"/>
      <c r="E313" s="47"/>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c r="AE313" s="46"/>
      <c r="AF313" s="46"/>
      <c r="AG313" s="46"/>
      <c r="AH313" s="46"/>
      <c r="AI313" s="46"/>
      <c r="AJ313" s="46"/>
      <c r="AK313" s="46"/>
      <c r="AL313" s="46"/>
    </row>
    <row r="314">
      <c r="A314" s="46"/>
      <c r="B314" s="46"/>
      <c r="C314" s="47"/>
      <c r="D314" s="47"/>
      <c r="E314" s="47"/>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c r="AE314" s="46"/>
      <c r="AF314" s="46"/>
      <c r="AG314" s="46"/>
      <c r="AH314" s="46"/>
      <c r="AI314" s="46"/>
      <c r="AJ314" s="46"/>
      <c r="AK314" s="46"/>
      <c r="AL314" s="46"/>
    </row>
    <row r="315">
      <c r="A315" s="46"/>
      <c r="B315" s="46"/>
      <c r="C315" s="47"/>
      <c r="D315" s="47"/>
      <c r="E315" s="47"/>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c r="AE315" s="46"/>
      <c r="AF315" s="46"/>
      <c r="AG315" s="46"/>
      <c r="AH315" s="46"/>
      <c r="AI315" s="46"/>
      <c r="AJ315" s="46"/>
      <c r="AK315" s="46"/>
      <c r="AL315" s="46"/>
    </row>
    <row r="316">
      <c r="A316" s="46"/>
      <c r="B316" s="46"/>
      <c r="C316" s="47"/>
      <c r="D316" s="47"/>
      <c r="E316" s="47"/>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c r="AE316" s="46"/>
      <c r="AF316" s="46"/>
      <c r="AG316" s="46"/>
      <c r="AH316" s="46"/>
      <c r="AI316" s="46"/>
      <c r="AJ316" s="46"/>
      <c r="AK316" s="46"/>
      <c r="AL316" s="46"/>
    </row>
    <row r="317">
      <c r="A317" s="46"/>
      <c r="B317" s="46"/>
      <c r="C317" s="47"/>
      <c r="D317" s="47"/>
      <c r="E317" s="47"/>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c r="AE317" s="46"/>
      <c r="AF317" s="46"/>
      <c r="AG317" s="46"/>
      <c r="AH317" s="46"/>
      <c r="AI317" s="46"/>
      <c r="AJ317" s="46"/>
      <c r="AK317" s="46"/>
      <c r="AL317" s="46"/>
    </row>
    <row r="318">
      <c r="A318" s="46"/>
      <c r="B318" s="46"/>
      <c r="C318" s="47"/>
      <c r="D318" s="47"/>
      <c r="E318" s="47"/>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c r="AE318" s="46"/>
      <c r="AF318" s="46"/>
      <c r="AG318" s="46"/>
      <c r="AH318" s="46"/>
      <c r="AI318" s="46"/>
      <c r="AJ318" s="46"/>
      <c r="AK318" s="46"/>
      <c r="AL318" s="46"/>
    </row>
    <row r="319">
      <c r="A319" s="46"/>
      <c r="B319" s="46"/>
      <c r="C319" s="47"/>
      <c r="D319" s="47"/>
      <c r="E319" s="47"/>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c r="AE319" s="46"/>
      <c r="AF319" s="46"/>
      <c r="AG319" s="46"/>
      <c r="AH319" s="46"/>
      <c r="AI319" s="46"/>
      <c r="AJ319" s="46"/>
      <c r="AK319" s="46"/>
      <c r="AL319" s="46"/>
    </row>
    <row r="320">
      <c r="A320" s="46"/>
      <c r="B320" s="46"/>
      <c r="C320" s="47"/>
      <c r="D320" s="47"/>
      <c r="E320" s="47"/>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c r="AE320" s="46"/>
      <c r="AF320" s="46"/>
      <c r="AG320" s="46"/>
      <c r="AH320" s="46"/>
      <c r="AI320" s="46"/>
      <c r="AJ320" s="46"/>
      <c r="AK320" s="46"/>
      <c r="AL320" s="46"/>
    </row>
    <row r="321">
      <c r="A321" s="46"/>
      <c r="B321" s="46"/>
      <c r="C321" s="47"/>
      <c r="D321" s="47"/>
      <c r="E321" s="47"/>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c r="AE321" s="46"/>
      <c r="AF321" s="46"/>
      <c r="AG321" s="46"/>
      <c r="AH321" s="46"/>
      <c r="AI321" s="46"/>
      <c r="AJ321" s="46"/>
      <c r="AK321" s="46"/>
      <c r="AL321" s="46"/>
    </row>
    <row r="322">
      <c r="A322" s="46"/>
      <c r="B322" s="46"/>
      <c r="C322" s="47"/>
      <c r="D322" s="47"/>
      <c r="E322" s="47"/>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c r="AE322" s="46"/>
      <c r="AF322" s="46"/>
      <c r="AG322" s="46"/>
      <c r="AH322" s="46"/>
      <c r="AI322" s="46"/>
      <c r="AJ322" s="46"/>
      <c r="AK322" s="46"/>
      <c r="AL322" s="46"/>
    </row>
    <row r="323">
      <c r="A323" s="46"/>
      <c r="B323" s="46"/>
      <c r="C323" s="47"/>
      <c r="D323" s="47"/>
      <c r="E323" s="47"/>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c r="AE323" s="46"/>
      <c r="AF323" s="46"/>
      <c r="AG323" s="46"/>
      <c r="AH323" s="46"/>
      <c r="AI323" s="46"/>
      <c r="AJ323" s="46"/>
      <c r="AK323" s="46"/>
      <c r="AL323" s="46"/>
    </row>
    <row r="324">
      <c r="A324" s="46"/>
      <c r="B324" s="46"/>
      <c r="C324" s="47"/>
      <c r="D324" s="47"/>
      <c r="E324" s="47"/>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c r="AE324" s="46"/>
      <c r="AF324" s="46"/>
      <c r="AG324" s="46"/>
      <c r="AH324" s="46"/>
      <c r="AI324" s="46"/>
      <c r="AJ324" s="46"/>
      <c r="AK324" s="46"/>
      <c r="AL324" s="46"/>
    </row>
    <row r="325">
      <c r="A325" s="46"/>
      <c r="B325" s="46"/>
      <c r="C325" s="47"/>
      <c r="D325" s="47"/>
      <c r="E325" s="47"/>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c r="AE325" s="46"/>
      <c r="AF325" s="46"/>
      <c r="AG325" s="46"/>
      <c r="AH325" s="46"/>
      <c r="AI325" s="46"/>
      <c r="AJ325" s="46"/>
      <c r="AK325" s="46"/>
      <c r="AL325" s="46"/>
    </row>
    <row r="326">
      <c r="A326" s="46"/>
      <c r="B326" s="46"/>
      <c r="C326" s="47"/>
      <c r="D326" s="47"/>
      <c r="E326" s="47"/>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c r="AE326" s="46"/>
      <c r="AF326" s="46"/>
      <c r="AG326" s="46"/>
      <c r="AH326" s="46"/>
      <c r="AI326" s="46"/>
      <c r="AJ326" s="46"/>
      <c r="AK326" s="46"/>
      <c r="AL326" s="46"/>
    </row>
    <row r="327">
      <c r="A327" s="46"/>
      <c r="B327" s="46"/>
      <c r="C327" s="47"/>
      <c r="D327" s="47"/>
      <c r="E327" s="47"/>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c r="AE327" s="46"/>
      <c r="AF327" s="46"/>
      <c r="AG327" s="46"/>
      <c r="AH327" s="46"/>
      <c r="AI327" s="46"/>
      <c r="AJ327" s="46"/>
      <c r="AK327" s="46"/>
      <c r="AL327" s="46"/>
    </row>
    <row r="328">
      <c r="A328" s="46"/>
      <c r="B328" s="46"/>
      <c r="C328" s="47"/>
      <c r="D328" s="47"/>
      <c r="E328" s="47"/>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c r="AE328" s="46"/>
      <c r="AF328" s="46"/>
      <c r="AG328" s="46"/>
      <c r="AH328" s="46"/>
      <c r="AI328" s="46"/>
      <c r="AJ328" s="46"/>
      <c r="AK328" s="46"/>
      <c r="AL328" s="46"/>
    </row>
    <row r="329">
      <c r="A329" s="46"/>
      <c r="B329" s="46"/>
      <c r="C329" s="47"/>
      <c r="D329" s="47"/>
      <c r="E329" s="47"/>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c r="AE329" s="46"/>
      <c r="AF329" s="46"/>
      <c r="AG329" s="46"/>
      <c r="AH329" s="46"/>
      <c r="AI329" s="46"/>
      <c r="AJ329" s="46"/>
      <c r="AK329" s="46"/>
      <c r="AL329" s="46"/>
    </row>
    <row r="330">
      <c r="A330" s="46"/>
      <c r="B330" s="46"/>
      <c r="C330" s="47"/>
      <c r="D330" s="47"/>
      <c r="E330" s="47"/>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c r="AE330" s="46"/>
      <c r="AF330" s="46"/>
      <c r="AG330" s="46"/>
      <c r="AH330" s="46"/>
      <c r="AI330" s="46"/>
      <c r="AJ330" s="46"/>
      <c r="AK330" s="46"/>
      <c r="AL330" s="46"/>
    </row>
    <row r="331">
      <c r="A331" s="46"/>
      <c r="B331" s="46"/>
      <c r="C331" s="47"/>
      <c r="D331" s="47"/>
      <c r="E331" s="47"/>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c r="AE331" s="46"/>
      <c r="AF331" s="46"/>
      <c r="AG331" s="46"/>
      <c r="AH331" s="46"/>
      <c r="AI331" s="46"/>
      <c r="AJ331" s="46"/>
      <c r="AK331" s="46"/>
      <c r="AL331" s="46"/>
    </row>
    <row r="332">
      <c r="A332" s="46"/>
      <c r="B332" s="46"/>
      <c r="C332" s="47"/>
      <c r="D332" s="47"/>
      <c r="E332" s="47"/>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c r="AE332" s="46"/>
      <c r="AF332" s="46"/>
      <c r="AG332" s="46"/>
      <c r="AH332" s="46"/>
      <c r="AI332" s="46"/>
      <c r="AJ332" s="46"/>
      <c r="AK332" s="46"/>
      <c r="AL332" s="46"/>
    </row>
    <row r="333">
      <c r="A333" s="46"/>
      <c r="B333" s="46"/>
      <c r="C333" s="47"/>
      <c r="D333" s="47"/>
      <c r="E333" s="47"/>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c r="AE333" s="46"/>
      <c r="AF333" s="46"/>
      <c r="AG333" s="46"/>
      <c r="AH333" s="46"/>
      <c r="AI333" s="46"/>
      <c r="AJ333" s="46"/>
      <c r="AK333" s="46"/>
      <c r="AL333" s="46"/>
    </row>
    <row r="334">
      <c r="A334" s="46"/>
      <c r="B334" s="46"/>
      <c r="C334" s="47"/>
      <c r="D334" s="47"/>
      <c r="E334" s="47"/>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c r="AE334" s="46"/>
      <c r="AF334" s="46"/>
      <c r="AG334" s="46"/>
      <c r="AH334" s="46"/>
      <c r="AI334" s="46"/>
      <c r="AJ334" s="46"/>
      <c r="AK334" s="46"/>
      <c r="AL334" s="46"/>
    </row>
    <row r="335">
      <c r="A335" s="46"/>
      <c r="B335" s="46"/>
      <c r="C335" s="47"/>
      <c r="D335" s="47"/>
      <c r="E335" s="47"/>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c r="AE335" s="46"/>
      <c r="AF335" s="46"/>
      <c r="AG335" s="46"/>
      <c r="AH335" s="46"/>
      <c r="AI335" s="46"/>
      <c r="AJ335" s="46"/>
      <c r="AK335" s="46"/>
      <c r="AL335" s="46"/>
    </row>
    <row r="336">
      <c r="A336" s="46"/>
      <c r="B336" s="46"/>
      <c r="C336" s="47"/>
      <c r="D336" s="47"/>
      <c r="E336" s="47"/>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c r="AE336" s="46"/>
      <c r="AF336" s="46"/>
      <c r="AG336" s="46"/>
      <c r="AH336" s="46"/>
      <c r="AI336" s="46"/>
      <c r="AJ336" s="46"/>
      <c r="AK336" s="46"/>
      <c r="AL336" s="46"/>
    </row>
    <row r="337">
      <c r="A337" s="46"/>
      <c r="B337" s="46"/>
      <c r="C337" s="47"/>
      <c r="D337" s="47"/>
      <c r="E337" s="47"/>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c r="AE337" s="46"/>
      <c r="AF337" s="46"/>
      <c r="AG337" s="46"/>
      <c r="AH337" s="46"/>
      <c r="AI337" s="46"/>
      <c r="AJ337" s="46"/>
      <c r="AK337" s="46"/>
      <c r="AL337" s="46"/>
    </row>
    <row r="338">
      <c r="A338" s="46"/>
      <c r="B338" s="46"/>
      <c r="C338" s="47"/>
      <c r="D338" s="47"/>
      <c r="E338" s="47"/>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c r="AE338" s="46"/>
      <c r="AF338" s="46"/>
      <c r="AG338" s="46"/>
      <c r="AH338" s="46"/>
      <c r="AI338" s="46"/>
      <c r="AJ338" s="46"/>
      <c r="AK338" s="46"/>
      <c r="AL338" s="46"/>
    </row>
    <row r="339">
      <c r="A339" s="46"/>
      <c r="B339" s="46"/>
      <c r="C339" s="47"/>
      <c r="D339" s="47"/>
      <c r="E339" s="47"/>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c r="AE339" s="46"/>
      <c r="AF339" s="46"/>
      <c r="AG339" s="46"/>
      <c r="AH339" s="46"/>
      <c r="AI339" s="46"/>
      <c r="AJ339" s="46"/>
      <c r="AK339" s="46"/>
      <c r="AL339" s="46"/>
    </row>
    <row r="340">
      <c r="A340" s="46"/>
      <c r="B340" s="46"/>
      <c r="C340" s="47"/>
      <c r="D340" s="47"/>
      <c r="E340" s="47"/>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c r="AE340" s="46"/>
      <c r="AF340" s="46"/>
      <c r="AG340" s="46"/>
      <c r="AH340" s="46"/>
      <c r="AI340" s="46"/>
      <c r="AJ340" s="46"/>
      <c r="AK340" s="46"/>
      <c r="AL340" s="46"/>
    </row>
    <row r="341">
      <c r="A341" s="46"/>
      <c r="B341" s="46"/>
      <c r="C341" s="47"/>
      <c r="D341" s="47"/>
      <c r="E341" s="47"/>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c r="AE341" s="46"/>
      <c r="AF341" s="46"/>
      <c r="AG341" s="46"/>
      <c r="AH341" s="46"/>
      <c r="AI341" s="46"/>
      <c r="AJ341" s="46"/>
      <c r="AK341" s="46"/>
      <c r="AL341" s="46"/>
    </row>
    <row r="342">
      <c r="A342" s="46"/>
      <c r="B342" s="46"/>
      <c r="C342" s="47"/>
      <c r="D342" s="47"/>
      <c r="E342" s="47"/>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c r="AE342" s="46"/>
      <c r="AF342" s="46"/>
      <c r="AG342" s="46"/>
      <c r="AH342" s="46"/>
      <c r="AI342" s="46"/>
      <c r="AJ342" s="46"/>
      <c r="AK342" s="46"/>
      <c r="AL342" s="46"/>
    </row>
    <row r="343">
      <c r="A343" s="46"/>
      <c r="B343" s="46"/>
      <c r="C343" s="47"/>
      <c r="D343" s="47"/>
      <c r="E343" s="47"/>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c r="AE343" s="46"/>
      <c r="AF343" s="46"/>
      <c r="AG343" s="46"/>
      <c r="AH343" s="46"/>
      <c r="AI343" s="46"/>
      <c r="AJ343" s="46"/>
      <c r="AK343" s="46"/>
      <c r="AL343" s="46"/>
    </row>
    <row r="344">
      <c r="A344" s="46"/>
      <c r="B344" s="46"/>
      <c r="C344" s="47"/>
      <c r="D344" s="47"/>
      <c r="E344" s="47"/>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c r="AE344" s="46"/>
      <c r="AF344" s="46"/>
      <c r="AG344" s="46"/>
      <c r="AH344" s="46"/>
      <c r="AI344" s="46"/>
      <c r="AJ344" s="46"/>
      <c r="AK344" s="46"/>
      <c r="AL344" s="46"/>
    </row>
    <row r="345">
      <c r="A345" s="46"/>
      <c r="B345" s="46"/>
      <c r="C345" s="47"/>
      <c r="D345" s="47"/>
      <c r="E345" s="47"/>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c r="AE345" s="46"/>
      <c r="AF345" s="46"/>
      <c r="AG345" s="46"/>
      <c r="AH345" s="46"/>
      <c r="AI345" s="46"/>
      <c r="AJ345" s="46"/>
      <c r="AK345" s="46"/>
      <c r="AL345" s="46"/>
    </row>
    <row r="346">
      <c r="A346" s="46"/>
      <c r="B346" s="46"/>
      <c r="C346" s="47"/>
      <c r="D346" s="47"/>
      <c r="E346" s="47"/>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c r="AE346" s="46"/>
      <c r="AF346" s="46"/>
      <c r="AG346" s="46"/>
      <c r="AH346" s="46"/>
      <c r="AI346" s="46"/>
      <c r="AJ346" s="46"/>
      <c r="AK346" s="46"/>
      <c r="AL346" s="46"/>
    </row>
    <row r="347">
      <c r="A347" s="46"/>
      <c r="B347" s="46"/>
      <c r="C347" s="47"/>
      <c r="D347" s="47"/>
      <c r="E347" s="47"/>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c r="AE347" s="46"/>
      <c r="AF347" s="46"/>
      <c r="AG347" s="46"/>
      <c r="AH347" s="46"/>
      <c r="AI347" s="46"/>
      <c r="AJ347" s="46"/>
      <c r="AK347" s="46"/>
      <c r="AL347" s="46"/>
    </row>
    <row r="348">
      <c r="A348" s="46"/>
      <c r="B348" s="46"/>
      <c r="C348" s="47"/>
      <c r="D348" s="47"/>
      <c r="E348" s="47"/>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c r="AE348" s="46"/>
      <c r="AF348" s="46"/>
      <c r="AG348" s="46"/>
      <c r="AH348" s="46"/>
      <c r="AI348" s="46"/>
      <c r="AJ348" s="46"/>
      <c r="AK348" s="46"/>
      <c r="AL348" s="46"/>
    </row>
    <row r="349">
      <c r="A349" s="46"/>
      <c r="B349" s="46"/>
      <c r="C349" s="47"/>
      <c r="D349" s="47"/>
      <c r="E349" s="47"/>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c r="AE349" s="46"/>
      <c r="AF349" s="46"/>
      <c r="AG349" s="46"/>
      <c r="AH349" s="46"/>
      <c r="AI349" s="46"/>
      <c r="AJ349" s="46"/>
      <c r="AK349" s="46"/>
      <c r="AL349" s="46"/>
    </row>
    <row r="350">
      <c r="A350" s="46"/>
      <c r="B350" s="46"/>
      <c r="C350" s="47"/>
      <c r="D350" s="47"/>
      <c r="E350" s="47"/>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c r="AE350" s="46"/>
      <c r="AF350" s="46"/>
      <c r="AG350" s="46"/>
      <c r="AH350" s="46"/>
      <c r="AI350" s="46"/>
      <c r="AJ350" s="46"/>
      <c r="AK350" s="46"/>
      <c r="AL350" s="46"/>
    </row>
    <row r="351">
      <c r="A351" s="46"/>
      <c r="B351" s="46"/>
      <c r="C351" s="47"/>
      <c r="D351" s="47"/>
      <c r="E351" s="47"/>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c r="AE351" s="46"/>
      <c r="AF351" s="46"/>
      <c r="AG351" s="46"/>
      <c r="AH351" s="46"/>
      <c r="AI351" s="46"/>
      <c r="AJ351" s="46"/>
      <c r="AK351" s="46"/>
      <c r="AL351" s="46"/>
    </row>
    <row r="352">
      <c r="A352" s="46"/>
      <c r="B352" s="46"/>
      <c r="C352" s="47"/>
      <c r="D352" s="47"/>
      <c r="E352" s="47"/>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c r="AE352" s="46"/>
      <c r="AF352" s="46"/>
      <c r="AG352" s="46"/>
      <c r="AH352" s="46"/>
      <c r="AI352" s="46"/>
      <c r="AJ352" s="46"/>
      <c r="AK352" s="46"/>
      <c r="AL352" s="46"/>
    </row>
    <row r="353">
      <c r="A353" s="46"/>
      <c r="B353" s="46"/>
      <c r="C353" s="47"/>
      <c r="D353" s="47"/>
      <c r="E353" s="47"/>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c r="AE353" s="46"/>
      <c r="AF353" s="46"/>
      <c r="AG353" s="46"/>
      <c r="AH353" s="46"/>
      <c r="AI353" s="46"/>
      <c r="AJ353" s="46"/>
      <c r="AK353" s="46"/>
      <c r="AL353" s="46"/>
    </row>
    <row r="354">
      <c r="A354" s="46"/>
      <c r="B354" s="46"/>
      <c r="C354" s="47"/>
      <c r="D354" s="47"/>
      <c r="E354" s="47"/>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c r="AE354" s="46"/>
      <c r="AF354" s="46"/>
      <c r="AG354" s="46"/>
      <c r="AH354" s="46"/>
      <c r="AI354" s="46"/>
      <c r="AJ354" s="46"/>
      <c r="AK354" s="46"/>
      <c r="AL354" s="46"/>
    </row>
    <row r="355">
      <c r="A355" s="46"/>
      <c r="B355" s="46"/>
      <c r="C355" s="47"/>
      <c r="D355" s="47"/>
      <c r="E355" s="47"/>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c r="AE355" s="46"/>
      <c r="AF355" s="46"/>
      <c r="AG355" s="46"/>
      <c r="AH355" s="46"/>
      <c r="AI355" s="46"/>
      <c r="AJ355" s="46"/>
      <c r="AK355" s="46"/>
      <c r="AL355" s="46"/>
    </row>
    <row r="356">
      <c r="A356" s="46"/>
      <c r="B356" s="46"/>
      <c r="C356" s="47"/>
      <c r="D356" s="47"/>
      <c r="E356" s="47"/>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c r="AE356" s="46"/>
      <c r="AF356" s="46"/>
      <c r="AG356" s="46"/>
      <c r="AH356" s="46"/>
      <c r="AI356" s="46"/>
      <c r="AJ356" s="46"/>
      <c r="AK356" s="46"/>
      <c r="AL356" s="46"/>
    </row>
    <row r="357">
      <c r="A357" s="46"/>
      <c r="B357" s="46"/>
      <c r="C357" s="47"/>
      <c r="D357" s="47"/>
      <c r="E357" s="47"/>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c r="AE357" s="46"/>
      <c r="AF357" s="46"/>
      <c r="AG357" s="46"/>
      <c r="AH357" s="46"/>
      <c r="AI357" s="46"/>
      <c r="AJ357" s="46"/>
      <c r="AK357" s="46"/>
      <c r="AL357" s="46"/>
    </row>
    <row r="358">
      <c r="A358" s="46"/>
      <c r="B358" s="46"/>
      <c r="C358" s="47"/>
      <c r="D358" s="47"/>
      <c r="E358" s="47"/>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c r="AE358" s="46"/>
      <c r="AF358" s="46"/>
      <c r="AG358" s="46"/>
      <c r="AH358" s="46"/>
      <c r="AI358" s="46"/>
      <c r="AJ358" s="46"/>
      <c r="AK358" s="46"/>
      <c r="AL358" s="46"/>
    </row>
    <row r="359">
      <c r="A359" s="46"/>
      <c r="B359" s="46"/>
      <c r="C359" s="47"/>
      <c r="D359" s="47"/>
      <c r="E359" s="47"/>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c r="AE359" s="46"/>
      <c r="AF359" s="46"/>
      <c r="AG359" s="46"/>
      <c r="AH359" s="46"/>
      <c r="AI359" s="46"/>
      <c r="AJ359" s="46"/>
      <c r="AK359" s="46"/>
      <c r="AL359" s="46"/>
    </row>
    <row r="360">
      <c r="A360" s="46"/>
      <c r="B360" s="46"/>
      <c r="C360" s="47"/>
      <c r="D360" s="47"/>
      <c r="E360" s="47"/>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c r="AE360" s="46"/>
      <c r="AF360" s="46"/>
      <c r="AG360" s="46"/>
      <c r="AH360" s="46"/>
      <c r="AI360" s="46"/>
      <c r="AJ360" s="46"/>
      <c r="AK360" s="46"/>
      <c r="AL360" s="46"/>
    </row>
    <row r="361">
      <c r="A361" s="46"/>
      <c r="B361" s="46"/>
      <c r="C361" s="47"/>
      <c r="D361" s="47"/>
      <c r="E361" s="47"/>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c r="AE361" s="46"/>
      <c r="AF361" s="46"/>
      <c r="AG361" s="46"/>
      <c r="AH361" s="46"/>
      <c r="AI361" s="46"/>
      <c r="AJ361" s="46"/>
      <c r="AK361" s="46"/>
      <c r="AL361" s="46"/>
    </row>
    <row r="362">
      <c r="A362" s="46"/>
      <c r="B362" s="46"/>
      <c r="C362" s="47"/>
      <c r="D362" s="47"/>
      <c r="E362" s="47"/>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c r="AE362" s="46"/>
      <c r="AF362" s="46"/>
      <c r="AG362" s="46"/>
      <c r="AH362" s="46"/>
      <c r="AI362" s="46"/>
      <c r="AJ362" s="46"/>
      <c r="AK362" s="46"/>
      <c r="AL362" s="46"/>
    </row>
    <row r="363">
      <c r="A363" s="46"/>
      <c r="B363" s="46"/>
      <c r="C363" s="47"/>
      <c r="D363" s="47"/>
      <c r="E363" s="47"/>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c r="AE363" s="46"/>
      <c r="AF363" s="46"/>
      <c r="AG363" s="46"/>
      <c r="AH363" s="46"/>
      <c r="AI363" s="46"/>
      <c r="AJ363" s="46"/>
      <c r="AK363" s="46"/>
      <c r="AL363" s="46"/>
    </row>
    <row r="364">
      <c r="A364" s="46"/>
      <c r="B364" s="46"/>
      <c r="C364" s="47"/>
      <c r="D364" s="47"/>
      <c r="E364" s="47"/>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c r="AE364" s="46"/>
      <c r="AF364" s="46"/>
      <c r="AG364" s="46"/>
      <c r="AH364" s="46"/>
      <c r="AI364" s="46"/>
      <c r="AJ364" s="46"/>
      <c r="AK364" s="46"/>
      <c r="AL364" s="46"/>
    </row>
    <row r="365">
      <c r="A365" s="46"/>
      <c r="B365" s="46"/>
      <c r="C365" s="47"/>
      <c r="D365" s="47"/>
      <c r="E365" s="47"/>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c r="AE365" s="46"/>
      <c r="AF365" s="46"/>
      <c r="AG365" s="46"/>
      <c r="AH365" s="46"/>
      <c r="AI365" s="46"/>
      <c r="AJ365" s="46"/>
      <c r="AK365" s="46"/>
      <c r="AL365" s="46"/>
    </row>
    <row r="366">
      <c r="A366" s="46"/>
      <c r="B366" s="46"/>
      <c r="C366" s="47"/>
      <c r="D366" s="47"/>
      <c r="E366" s="47"/>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c r="AE366" s="46"/>
      <c r="AF366" s="46"/>
      <c r="AG366" s="46"/>
      <c r="AH366" s="46"/>
      <c r="AI366" s="46"/>
      <c r="AJ366" s="46"/>
      <c r="AK366" s="46"/>
      <c r="AL366" s="46"/>
    </row>
    <row r="367">
      <c r="A367" s="46"/>
      <c r="B367" s="46"/>
      <c r="C367" s="47"/>
      <c r="D367" s="47"/>
      <c r="E367" s="47"/>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c r="AE367" s="46"/>
      <c r="AF367" s="46"/>
      <c r="AG367" s="46"/>
      <c r="AH367" s="46"/>
      <c r="AI367" s="46"/>
      <c r="AJ367" s="46"/>
      <c r="AK367" s="46"/>
      <c r="AL367" s="46"/>
    </row>
    <row r="368">
      <c r="A368" s="46"/>
      <c r="B368" s="46"/>
      <c r="C368" s="47"/>
      <c r="D368" s="47"/>
      <c r="E368" s="47"/>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c r="AE368" s="46"/>
      <c r="AF368" s="46"/>
      <c r="AG368" s="46"/>
      <c r="AH368" s="46"/>
      <c r="AI368" s="46"/>
      <c r="AJ368" s="46"/>
      <c r="AK368" s="46"/>
      <c r="AL368" s="46"/>
    </row>
    <row r="369">
      <c r="A369" s="46"/>
      <c r="B369" s="46"/>
      <c r="C369" s="47"/>
      <c r="D369" s="47"/>
      <c r="E369" s="47"/>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c r="AE369" s="46"/>
      <c r="AF369" s="46"/>
      <c r="AG369" s="46"/>
      <c r="AH369" s="46"/>
      <c r="AI369" s="46"/>
      <c r="AJ369" s="46"/>
      <c r="AK369" s="46"/>
      <c r="AL369" s="46"/>
    </row>
    <row r="370">
      <c r="A370" s="46"/>
      <c r="B370" s="46"/>
      <c r="C370" s="47"/>
      <c r="D370" s="47"/>
      <c r="E370" s="47"/>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c r="AE370" s="46"/>
      <c r="AF370" s="46"/>
      <c r="AG370" s="46"/>
      <c r="AH370" s="46"/>
      <c r="AI370" s="46"/>
      <c r="AJ370" s="46"/>
      <c r="AK370" s="46"/>
      <c r="AL370" s="46"/>
    </row>
    <row r="371">
      <c r="A371" s="46"/>
      <c r="B371" s="46"/>
      <c r="C371" s="47"/>
      <c r="D371" s="47"/>
      <c r="E371" s="47"/>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c r="AE371" s="46"/>
      <c r="AF371" s="46"/>
      <c r="AG371" s="46"/>
      <c r="AH371" s="46"/>
      <c r="AI371" s="46"/>
      <c r="AJ371" s="46"/>
      <c r="AK371" s="46"/>
      <c r="AL371" s="46"/>
    </row>
    <row r="372">
      <c r="A372" s="46"/>
      <c r="B372" s="46"/>
      <c r="C372" s="47"/>
      <c r="D372" s="47"/>
      <c r="E372" s="47"/>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c r="AE372" s="46"/>
      <c r="AF372" s="46"/>
      <c r="AG372" s="46"/>
      <c r="AH372" s="46"/>
      <c r="AI372" s="46"/>
      <c r="AJ372" s="46"/>
      <c r="AK372" s="46"/>
      <c r="AL372" s="46"/>
    </row>
    <row r="373">
      <c r="A373" s="46"/>
      <c r="B373" s="46"/>
      <c r="C373" s="47"/>
      <c r="D373" s="47"/>
      <c r="E373" s="47"/>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c r="AE373" s="46"/>
      <c r="AF373" s="46"/>
      <c r="AG373" s="46"/>
      <c r="AH373" s="46"/>
      <c r="AI373" s="46"/>
      <c r="AJ373" s="46"/>
      <c r="AK373" s="46"/>
      <c r="AL373" s="46"/>
    </row>
    <row r="374">
      <c r="A374" s="46"/>
      <c r="B374" s="46"/>
      <c r="C374" s="47"/>
      <c r="D374" s="47"/>
      <c r="E374" s="47"/>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c r="AE374" s="46"/>
      <c r="AF374" s="46"/>
      <c r="AG374" s="46"/>
      <c r="AH374" s="46"/>
      <c r="AI374" s="46"/>
      <c r="AJ374" s="46"/>
      <c r="AK374" s="46"/>
      <c r="AL374" s="46"/>
    </row>
    <row r="375">
      <c r="A375" s="46"/>
      <c r="B375" s="46"/>
      <c r="C375" s="47"/>
      <c r="D375" s="47"/>
      <c r="E375" s="47"/>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c r="AE375" s="46"/>
      <c r="AF375" s="46"/>
      <c r="AG375" s="46"/>
      <c r="AH375" s="46"/>
      <c r="AI375" s="46"/>
      <c r="AJ375" s="46"/>
      <c r="AK375" s="46"/>
      <c r="AL375" s="46"/>
    </row>
    <row r="376">
      <c r="A376" s="46"/>
      <c r="B376" s="46"/>
      <c r="C376" s="47"/>
      <c r="D376" s="47"/>
      <c r="E376" s="47"/>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c r="AE376" s="46"/>
      <c r="AF376" s="46"/>
      <c r="AG376" s="46"/>
      <c r="AH376" s="46"/>
      <c r="AI376" s="46"/>
      <c r="AJ376" s="46"/>
      <c r="AK376" s="46"/>
      <c r="AL376" s="46"/>
    </row>
    <row r="377">
      <c r="A377" s="46"/>
      <c r="B377" s="46"/>
      <c r="C377" s="47"/>
      <c r="D377" s="47"/>
      <c r="E377" s="47"/>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c r="AE377" s="46"/>
      <c r="AF377" s="46"/>
      <c r="AG377" s="46"/>
      <c r="AH377" s="46"/>
      <c r="AI377" s="46"/>
      <c r="AJ377" s="46"/>
      <c r="AK377" s="46"/>
      <c r="AL377" s="46"/>
    </row>
    <row r="378">
      <c r="A378" s="46"/>
      <c r="B378" s="46"/>
      <c r="C378" s="47"/>
      <c r="D378" s="47"/>
      <c r="E378" s="47"/>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c r="AE378" s="46"/>
      <c r="AF378" s="46"/>
      <c r="AG378" s="46"/>
      <c r="AH378" s="46"/>
      <c r="AI378" s="46"/>
      <c r="AJ378" s="46"/>
      <c r="AK378" s="46"/>
      <c r="AL378" s="46"/>
    </row>
    <row r="379">
      <c r="A379" s="46"/>
      <c r="B379" s="46"/>
      <c r="C379" s="47"/>
      <c r="D379" s="47"/>
      <c r="E379" s="47"/>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c r="AE379" s="46"/>
      <c r="AF379" s="46"/>
      <c r="AG379" s="46"/>
      <c r="AH379" s="46"/>
      <c r="AI379" s="46"/>
      <c r="AJ379" s="46"/>
      <c r="AK379" s="46"/>
      <c r="AL379" s="46"/>
    </row>
    <row r="380">
      <c r="A380" s="46"/>
      <c r="B380" s="46"/>
      <c r="C380" s="47"/>
      <c r="D380" s="47"/>
      <c r="E380" s="47"/>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c r="AE380" s="46"/>
      <c r="AF380" s="46"/>
      <c r="AG380" s="46"/>
      <c r="AH380" s="46"/>
      <c r="AI380" s="46"/>
      <c r="AJ380" s="46"/>
      <c r="AK380" s="46"/>
      <c r="AL380" s="46"/>
    </row>
    <row r="381">
      <c r="A381" s="46"/>
      <c r="B381" s="46"/>
      <c r="C381" s="47"/>
      <c r="D381" s="47"/>
      <c r="E381" s="47"/>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c r="AE381" s="46"/>
      <c r="AF381" s="46"/>
      <c r="AG381" s="46"/>
      <c r="AH381" s="46"/>
      <c r="AI381" s="46"/>
      <c r="AJ381" s="46"/>
      <c r="AK381" s="46"/>
      <c r="AL381" s="46"/>
    </row>
    <row r="382">
      <c r="A382" s="46"/>
      <c r="B382" s="46"/>
      <c r="C382" s="47"/>
      <c r="D382" s="47"/>
      <c r="E382" s="47"/>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c r="AE382" s="46"/>
      <c r="AF382" s="46"/>
      <c r="AG382" s="46"/>
      <c r="AH382" s="46"/>
      <c r="AI382" s="46"/>
      <c r="AJ382" s="46"/>
      <c r="AK382" s="46"/>
      <c r="AL382" s="46"/>
    </row>
    <row r="383">
      <c r="A383" s="46"/>
      <c r="B383" s="46"/>
      <c r="C383" s="47"/>
      <c r="D383" s="47"/>
      <c r="E383" s="47"/>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c r="AE383" s="46"/>
      <c r="AF383" s="46"/>
      <c r="AG383" s="46"/>
      <c r="AH383" s="46"/>
      <c r="AI383" s="46"/>
      <c r="AJ383" s="46"/>
      <c r="AK383" s="46"/>
      <c r="AL383" s="46"/>
    </row>
    <row r="384">
      <c r="A384" s="46"/>
      <c r="B384" s="46"/>
      <c r="C384" s="47"/>
      <c r="D384" s="47"/>
      <c r="E384" s="47"/>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c r="AE384" s="46"/>
      <c r="AF384" s="46"/>
      <c r="AG384" s="46"/>
      <c r="AH384" s="46"/>
      <c r="AI384" s="46"/>
      <c r="AJ384" s="46"/>
      <c r="AK384" s="46"/>
      <c r="AL384" s="46"/>
    </row>
    <row r="385">
      <c r="A385" s="46"/>
      <c r="B385" s="46"/>
      <c r="C385" s="47"/>
      <c r="D385" s="47"/>
      <c r="E385" s="47"/>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c r="AE385" s="46"/>
      <c r="AF385" s="46"/>
      <c r="AG385" s="46"/>
      <c r="AH385" s="46"/>
      <c r="AI385" s="46"/>
      <c r="AJ385" s="46"/>
      <c r="AK385" s="46"/>
      <c r="AL385" s="46"/>
    </row>
    <row r="386">
      <c r="A386" s="46"/>
      <c r="B386" s="46"/>
      <c r="C386" s="47"/>
      <c r="D386" s="47"/>
      <c r="E386" s="47"/>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c r="AE386" s="46"/>
      <c r="AF386" s="46"/>
      <c r="AG386" s="46"/>
      <c r="AH386" s="46"/>
      <c r="AI386" s="46"/>
      <c r="AJ386" s="46"/>
      <c r="AK386" s="46"/>
      <c r="AL386" s="46"/>
    </row>
    <row r="387">
      <c r="A387" s="46"/>
      <c r="B387" s="46"/>
      <c r="C387" s="47"/>
      <c r="D387" s="47"/>
      <c r="E387" s="47"/>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c r="AE387" s="46"/>
      <c r="AF387" s="46"/>
      <c r="AG387" s="46"/>
      <c r="AH387" s="46"/>
      <c r="AI387" s="46"/>
      <c r="AJ387" s="46"/>
      <c r="AK387" s="46"/>
      <c r="AL387" s="46"/>
    </row>
    <row r="388">
      <c r="A388" s="46"/>
      <c r="B388" s="46"/>
      <c r="C388" s="47"/>
      <c r="D388" s="47"/>
      <c r="E388" s="47"/>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c r="AE388" s="46"/>
      <c r="AF388" s="46"/>
      <c r="AG388" s="46"/>
      <c r="AH388" s="46"/>
      <c r="AI388" s="46"/>
      <c r="AJ388" s="46"/>
      <c r="AK388" s="46"/>
      <c r="AL388" s="46"/>
    </row>
    <row r="389">
      <c r="A389" s="46"/>
      <c r="B389" s="46"/>
      <c r="C389" s="47"/>
      <c r="D389" s="47"/>
      <c r="E389" s="47"/>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c r="AE389" s="46"/>
      <c r="AF389" s="46"/>
      <c r="AG389" s="46"/>
      <c r="AH389" s="46"/>
      <c r="AI389" s="46"/>
      <c r="AJ389" s="46"/>
      <c r="AK389" s="46"/>
      <c r="AL389" s="46"/>
    </row>
    <row r="390">
      <c r="A390" s="46"/>
      <c r="B390" s="46"/>
      <c r="C390" s="47"/>
      <c r="D390" s="47"/>
      <c r="E390" s="47"/>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c r="AE390" s="46"/>
      <c r="AF390" s="46"/>
      <c r="AG390" s="46"/>
      <c r="AH390" s="46"/>
      <c r="AI390" s="46"/>
      <c r="AJ390" s="46"/>
      <c r="AK390" s="46"/>
      <c r="AL390" s="46"/>
    </row>
    <row r="391">
      <c r="A391" s="46"/>
      <c r="B391" s="46"/>
      <c r="C391" s="47"/>
      <c r="D391" s="47"/>
      <c r="E391" s="47"/>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c r="AE391" s="46"/>
      <c r="AF391" s="46"/>
      <c r="AG391" s="46"/>
      <c r="AH391" s="46"/>
      <c r="AI391" s="46"/>
      <c r="AJ391" s="46"/>
      <c r="AK391" s="46"/>
      <c r="AL391" s="46"/>
    </row>
    <row r="392">
      <c r="A392" s="46"/>
      <c r="B392" s="46"/>
      <c r="C392" s="47"/>
      <c r="D392" s="47"/>
      <c r="E392" s="47"/>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c r="AE392" s="46"/>
      <c r="AF392" s="46"/>
      <c r="AG392" s="46"/>
      <c r="AH392" s="46"/>
      <c r="AI392" s="46"/>
      <c r="AJ392" s="46"/>
      <c r="AK392" s="46"/>
      <c r="AL392" s="46"/>
    </row>
    <row r="393">
      <c r="A393" s="46"/>
      <c r="B393" s="46"/>
      <c r="C393" s="47"/>
      <c r="D393" s="47"/>
      <c r="E393" s="47"/>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c r="AE393" s="46"/>
      <c r="AF393" s="46"/>
      <c r="AG393" s="46"/>
      <c r="AH393" s="46"/>
      <c r="AI393" s="46"/>
      <c r="AJ393" s="46"/>
      <c r="AK393" s="46"/>
      <c r="AL393" s="46"/>
    </row>
    <row r="394">
      <c r="A394" s="46"/>
      <c r="B394" s="46"/>
      <c r="C394" s="47"/>
      <c r="D394" s="47"/>
      <c r="E394" s="47"/>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c r="AE394" s="46"/>
      <c r="AF394" s="46"/>
      <c r="AG394" s="46"/>
      <c r="AH394" s="46"/>
      <c r="AI394" s="46"/>
      <c r="AJ394" s="46"/>
      <c r="AK394" s="46"/>
      <c r="AL394" s="46"/>
    </row>
    <row r="395">
      <c r="A395" s="46"/>
      <c r="B395" s="46"/>
      <c r="C395" s="47"/>
      <c r="D395" s="47"/>
      <c r="E395" s="47"/>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c r="AE395" s="46"/>
      <c r="AF395" s="46"/>
      <c r="AG395" s="46"/>
      <c r="AH395" s="46"/>
      <c r="AI395" s="46"/>
      <c r="AJ395" s="46"/>
      <c r="AK395" s="46"/>
      <c r="AL395" s="46"/>
    </row>
    <row r="396">
      <c r="A396" s="46"/>
      <c r="B396" s="46"/>
      <c r="C396" s="47"/>
      <c r="D396" s="47"/>
      <c r="E396" s="47"/>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c r="AE396" s="46"/>
      <c r="AF396" s="46"/>
      <c r="AG396" s="46"/>
      <c r="AH396" s="46"/>
      <c r="AI396" s="46"/>
      <c r="AJ396" s="46"/>
      <c r="AK396" s="46"/>
      <c r="AL396" s="46"/>
    </row>
    <row r="397">
      <c r="A397" s="46"/>
      <c r="B397" s="46"/>
      <c r="C397" s="47"/>
      <c r="D397" s="47"/>
      <c r="E397" s="47"/>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c r="AE397" s="46"/>
      <c r="AF397" s="46"/>
      <c r="AG397" s="46"/>
      <c r="AH397" s="46"/>
      <c r="AI397" s="46"/>
      <c r="AJ397" s="46"/>
      <c r="AK397" s="46"/>
      <c r="AL397" s="46"/>
    </row>
    <row r="398">
      <c r="A398" s="46"/>
      <c r="B398" s="46"/>
      <c r="C398" s="47"/>
      <c r="D398" s="47"/>
      <c r="E398" s="47"/>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c r="AE398" s="46"/>
      <c r="AF398" s="46"/>
      <c r="AG398" s="46"/>
      <c r="AH398" s="46"/>
      <c r="AI398" s="46"/>
      <c r="AJ398" s="46"/>
      <c r="AK398" s="46"/>
      <c r="AL398" s="46"/>
    </row>
    <row r="399">
      <c r="A399" s="46"/>
      <c r="B399" s="46"/>
      <c r="C399" s="47"/>
      <c r="D399" s="47"/>
      <c r="E399" s="47"/>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c r="AE399" s="46"/>
      <c r="AF399" s="46"/>
      <c r="AG399" s="46"/>
      <c r="AH399" s="46"/>
      <c r="AI399" s="46"/>
      <c r="AJ399" s="46"/>
      <c r="AK399" s="46"/>
      <c r="AL399" s="46"/>
    </row>
    <row r="400">
      <c r="A400" s="46"/>
      <c r="B400" s="46"/>
      <c r="C400" s="47"/>
      <c r="D400" s="47"/>
      <c r="E400" s="47"/>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c r="AE400" s="46"/>
      <c r="AF400" s="46"/>
      <c r="AG400" s="46"/>
      <c r="AH400" s="46"/>
      <c r="AI400" s="46"/>
      <c r="AJ400" s="46"/>
      <c r="AK400" s="46"/>
      <c r="AL400" s="46"/>
    </row>
    <row r="401">
      <c r="A401" s="46"/>
      <c r="B401" s="46"/>
      <c r="C401" s="47"/>
      <c r="D401" s="47"/>
      <c r="E401" s="47"/>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c r="AE401" s="46"/>
      <c r="AF401" s="46"/>
      <c r="AG401" s="46"/>
      <c r="AH401" s="46"/>
      <c r="AI401" s="46"/>
      <c r="AJ401" s="46"/>
      <c r="AK401" s="46"/>
      <c r="AL401" s="46"/>
    </row>
    <row r="402">
      <c r="A402" s="46"/>
      <c r="B402" s="46"/>
      <c r="C402" s="47"/>
      <c r="D402" s="47"/>
      <c r="E402" s="47"/>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c r="AE402" s="46"/>
      <c r="AF402" s="46"/>
      <c r="AG402" s="46"/>
      <c r="AH402" s="46"/>
      <c r="AI402" s="46"/>
      <c r="AJ402" s="46"/>
      <c r="AK402" s="46"/>
      <c r="AL402" s="46"/>
    </row>
    <row r="403">
      <c r="A403" s="46"/>
      <c r="B403" s="46"/>
      <c r="C403" s="47"/>
      <c r="D403" s="47"/>
      <c r="E403" s="47"/>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c r="AE403" s="46"/>
      <c r="AF403" s="46"/>
      <c r="AG403" s="46"/>
      <c r="AH403" s="46"/>
      <c r="AI403" s="46"/>
      <c r="AJ403" s="46"/>
      <c r="AK403" s="46"/>
      <c r="AL403" s="46"/>
    </row>
    <row r="404">
      <c r="A404" s="46"/>
      <c r="B404" s="46"/>
      <c r="C404" s="47"/>
      <c r="D404" s="47"/>
      <c r="E404" s="47"/>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c r="AE404" s="46"/>
      <c r="AF404" s="46"/>
      <c r="AG404" s="46"/>
      <c r="AH404" s="46"/>
      <c r="AI404" s="46"/>
      <c r="AJ404" s="46"/>
      <c r="AK404" s="46"/>
      <c r="AL404" s="46"/>
    </row>
    <row r="405">
      <c r="A405" s="46"/>
      <c r="B405" s="46"/>
      <c r="C405" s="47"/>
      <c r="D405" s="47"/>
      <c r="E405" s="47"/>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c r="AE405" s="46"/>
      <c r="AF405" s="46"/>
      <c r="AG405" s="46"/>
      <c r="AH405" s="46"/>
      <c r="AI405" s="46"/>
      <c r="AJ405" s="46"/>
      <c r="AK405" s="46"/>
      <c r="AL405" s="46"/>
    </row>
    <row r="406">
      <c r="A406" s="46"/>
      <c r="B406" s="46"/>
      <c r="C406" s="47"/>
      <c r="D406" s="47"/>
      <c r="E406" s="47"/>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c r="AE406" s="46"/>
      <c r="AF406" s="46"/>
      <c r="AG406" s="46"/>
      <c r="AH406" s="46"/>
      <c r="AI406" s="46"/>
      <c r="AJ406" s="46"/>
      <c r="AK406" s="46"/>
      <c r="AL406" s="46"/>
    </row>
    <row r="407">
      <c r="A407" s="46"/>
      <c r="B407" s="46"/>
      <c r="C407" s="47"/>
      <c r="D407" s="47"/>
      <c r="E407" s="47"/>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c r="AE407" s="46"/>
      <c r="AF407" s="46"/>
      <c r="AG407" s="46"/>
      <c r="AH407" s="46"/>
      <c r="AI407" s="46"/>
      <c r="AJ407" s="46"/>
      <c r="AK407" s="46"/>
      <c r="AL407" s="46"/>
    </row>
    <row r="408">
      <c r="A408" s="46"/>
      <c r="B408" s="46"/>
      <c r="C408" s="47"/>
      <c r="D408" s="47"/>
      <c r="E408" s="47"/>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c r="AE408" s="46"/>
      <c r="AF408" s="46"/>
      <c r="AG408" s="46"/>
      <c r="AH408" s="46"/>
      <c r="AI408" s="46"/>
      <c r="AJ408" s="46"/>
      <c r="AK408" s="46"/>
      <c r="AL408" s="46"/>
    </row>
    <row r="409">
      <c r="A409" s="46"/>
      <c r="B409" s="46"/>
      <c r="C409" s="47"/>
      <c r="D409" s="47"/>
      <c r="E409" s="47"/>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c r="AE409" s="46"/>
      <c r="AF409" s="46"/>
      <c r="AG409" s="46"/>
      <c r="AH409" s="46"/>
      <c r="AI409" s="46"/>
      <c r="AJ409" s="46"/>
      <c r="AK409" s="46"/>
      <c r="AL409" s="46"/>
    </row>
    <row r="410">
      <c r="A410" s="46"/>
      <c r="B410" s="46"/>
      <c r="C410" s="47"/>
      <c r="D410" s="47"/>
      <c r="E410" s="47"/>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c r="AE410" s="46"/>
      <c r="AF410" s="46"/>
      <c r="AG410" s="46"/>
      <c r="AH410" s="46"/>
      <c r="AI410" s="46"/>
      <c r="AJ410" s="46"/>
      <c r="AK410" s="46"/>
      <c r="AL410" s="46"/>
    </row>
    <row r="411">
      <c r="A411" s="46"/>
      <c r="B411" s="46"/>
      <c r="C411" s="47"/>
      <c r="D411" s="47"/>
      <c r="E411" s="47"/>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c r="AE411" s="46"/>
      <c r="AF411" s="46"/>
      <c r="AG411" s="46"/>
      <c r="AH411" s="46"/>
      <c r="AI411" s="46"/>
      <c r="AJ411" s="46"/>
      <c r="AK411" s="46"/>
      <c r="AL411" s="46"/>
    </row>
    <row r="412">
      <c r="A412" s="46"/>
      <c r="B412" s="46"/>
      <c r="C412" s="47"/>
      <c r="D412" s="47"/>
      <c r="E412" s="47"/>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c r="AE412" s="46"/>
      <c r="AF412" s="46"/>
      <c r="AG412" s="46"/>
      <c r="AH412" s="46"/>
      <c r="AI412" s="46"/>
      <c r="AJ412" s="46"/>
      <c r="AK412" s="46"/>
      <c r="AL412" s="46"/>
    </row>
    <row r="413">
      <c r="A413" s="46"/>
      <c r="B413" s="46"/>
      <c r="C413" s="47"/>
      <c r="D413" s="47"/>
      <c r="E413" s="47"/>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c r="AE413" s="46"/>
      <c r="AF413" s="46"/>
      <c r="AG413" s="46"/>
      <c r="AH413" s="46"/>
      <c r="AI413" s="46"/>
      <c r="AJ413" s="46"/>
      <c r="AK413" s="46"/>
      <c r="AL413" s="46"/>
    </row>
    <row r="414">
      <c r="A414" s="46"/>
      <c r="B414" s="46"/>
      <c r="C414" s="47"/>
      <c r="D414" s="47"/>
      <c r="E414" s="47"/>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c r="AE414" s="46"/>
      <c r="AF414" s="46"/>
      <c r="AG414" s="46"/>
      <c r="AH414" s="46"/>
      <c r="AI414" s="46"/>
      <c r="AJ414" s="46"/>
      <c r="AK414" s="46"/>
      <c r="AL414" s="46"/>
    </row>
    <row r="415">
      <c r="A415" s="46"/>
      <c r="B415" s="46"/>
      <c r="C415" s="47"/>
      <c r="D415" s="47"/>
      <c r="E415" s="47"/>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c r="AE415" s="46"/>
      <c r="AF415" s="46"/>
      <c r="AG415" s="46"/>
      <c r="AH415" s="46"/>
      <c r="AI415" s="46"/>
      <c r="AJ415" s="46"/>
      <c r="AK415" s="46"/>
      <c r="AL415" s="46"/>
    </row>
    <row r="416">
      <c r="A416" s="46"/>
      <c r="B416" s="46"/>
      <c r="C416" s="47"/>
      <c r="D416" s="47"/>
      <c r="E416" s="47"/>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c r="AE416" s="46"/>
      <c r="AF416" s="46"/>
      <c r="AG416" s="46"/>
      <c r="AH416" s="46"/>
      <c r="AI416" s="46"/>
      <c r="AJ416" s="46"/>
      <c r="AK416" s="46"/>
      <c r="AL416" s="46"/>
    </row>
    <row r="417">
      <c r="A417" s="46"/>
      <c r="B417" s="46"/>
      <c r="C417" s="47"/>
      <c r="D417" s="47"/>
      <c r="E417" s="47"/>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c r="AE417" s="46"/>
      <c r="AF417" s="46"/>
      <c r="AG417" s="46"/>
      <c r="AH417" s="46"/>
      <c r="AI417" s="46"/>
      <c r="AJ417" s="46"/>
      <c r="AK417" s="46"/>
      <c r="AL417" s="46"/>
    </row>
    <row r="418">
      <c r="A418" s="46"/>
      <c r="B418" s="46"/>
      <c r="C418" s="47"/>
      <c r="D418" s="47"/>
      <c r="E418" s="47"/>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c r="AE418" s="46"/>
      <c r="AF418" s="46"/>
      <c r="AG418" s="46"/>
      <c r="AH418" s="46"/>
      <c r="AI418" s="46"/>
      <c r="AJ418" s="46"/>
      <c r="AK418" s="46"/>
      <c r="AL418" s="46"/>
    </row>
    <row r="419">
      <c r="A419" s="46"/>
      <c r="B419" s="46"/>
      <c r="C419" s="47"/>
      <c r="D419" s="47"/>
      <c r="E419" s="47"/>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c r="AE419" s="46"/>
      <c r="AF419" s="46"/>
      <c r="AG419" s="46"/>
      <c r="AH419" s="46"/>
      <c r="AI419" s="46"/>
      <c r="AJ419" s="46"/>
      <c r="AK419" s="46"/>
      <c r="AL419" s="46"/>
    </row>
    <row r="420">
      <c r="A420" s="46"/>
      <c r="B420" s="46"/>
      <c r="C420" s="47"/>
      <c r="D420" s="47"/>
      <c r="E420" s="47"/>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c r="AE420" s="46"/>
      <c r="AF420" s="46"/>
      <c r="AG420" s="46"/>
      <c r="AH420" s="46"/>
      <c r="AI420" s="46"/>
      <c r="AJ420" s="46"/>
      <c r="AK420" s="46"/>
      <c r="AL420" s="46"/>
    </row>
    <row r="421">
      <c r="A421" s="46"/>
      <c r="B421" s="46"/>
      <c r="C421" s="47"/>
      <c r="D421" s="47"/>
      <c r="E421" s="47"/>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c r="AE421" s="46"/>
      <c r="AF421" s="46"/>
      <c r="AG421" s="46"/>
      <c r="AH421" s="46"/>
      <c r="AI421" s="46"/>
      <c r="AJ421" s="46"/>
      <c r="AK421" s="46"/>
      <c r="AL421" s="46"/>
    </row>
    <row r="422">
      <c r="A422" s="46"/>
      <c r="B422" s="46"/>
      <c r="C422" s="47"/>
      <c r="D422" s="47"/>
      <c r="E422" s="47"/>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c r="AE422" s="46"/>
      <c r="AF422" s="46"/>
      <c r="AG422" s="46"/>
      <c r="AH422" s="46"/>
      <c r="AI422" s="46"/>
      <c r="AJ422" s="46"/>
      <c r="AK422" s="46"/>
      <c r="AL422" s="46"/>
    </row>
    <row r="423">
      <c r="A423" s="46"/>
      <c r="B423" s="46"/>
      <c r="C423" s="47"/>
      <c r="D423" s="47"/>
      <c r="E423" s="47"/>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c r="AE423" s="46"/>
      <c r="AF423" s="46"/>
      <c r="AG423" s="46"/>
      <c r="AH423" s="46"/>
      <c r="AI423" s="46"/>
      <c r="AJ423" s="46"/>
      <c r="AK423" s="46"/>
      <c r="AL423" s="46"/>
    </row>
    <row r="424">
      <c r="A424" s="46"/>
      <c r="B424" s="46"/>
      <c r="C424" s="47"/>
      <c r="D424" s="47"/>
      <c r="E424" s="47"/>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c r="AE424" s="46"/>
      <c r="AF424" s="46"/>
      <c r="AG424" s="46"/>
      <c r="AH424" s="46"/>
      <c r="AI424" s="46"/>
      <c r="AJ424" s="46"/>
      <c r="AK424" s="46"/>
      <c r="AL424" s="46"/>
    </row>
    <row r="425">
      <c r="A425" s="46"/>
      <c r="B425" s="46"/>
      <c r="C425" s="47"/>
      <c r="D425" s="47"/>
      <c r="E425" s="47"/>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c r="AE425" s="46"/>
      <c r="AF425" s="46"/>
      <c r="AG425" s="46"/>
      <c r="AH425" s="46"/>
      <c r="AI425" s="46"/>
      <c r="AJ425" s="46"/>
      <c r="AK425" s="46"/>
      <c r="AL425" s="46"/>
    </row>
    <row r="426">
      <c r="A426" s="46"/>
      <c r="B426" s="46"/>
      <c r="C426" s="47"/>
      <c r="D426" s="47"/>
      <c r="E426" s="47"/>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c r="AE426" s="46"/>
      <c r="AF426" s="46"/>
      <c r="AG426" s="46"/>
      <c r="AH426" s="46"/>
      <c r="AI426" s="46"/>
      <c r="AJ426" s="46"/>
      <c r="AK426" s="46"/>
      <c r="AL426" s="46"/>
    </row>
    <row r="427">
      <c r="A427" s="46"/>
      <c r="B427" s="46"/>
      <c r="C427" s="47"/>
      <c r="D427" s="47"/>
      <c r="E427" s="47"/>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c r="AE427" s="46"/>
      <c r="AF427" s="46"/>
      <c r="AG427" s="46"/>
      <c r="AH427" s="46"/>
      <c r="AI427" s="46"/>
      <c r="AJ427" s="46"/>
      <c r="AK427" s="46"/>
      <c r="AL427" s="46"/>
    </row>
    <row r="428">
      <c r="A428" s="46"/>
      <c r="B428" s="46"/>
      <c r="C428" s="47"/>
      <c r="D428" s="47"/>
      <c r="E428" s="47"/>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c r="AE428" s="46"/>
      <c r="AF428" s="46"/>
      <c r="AG428" s="46"/>
      <c r="AH428" s="46"/>
      <c r="AI428" s="46"/>
      <c r="AJ428" s="46"/>
      <c r="AK428" s="46"/>
      <c r="AL428" s="46"/>
    </row>
    <row r="429">
      <c r="A429" s="46"/>
      <c r="B429" s="46"/>
      <c r="C429" s="47"/>
      <c r="D429" s="47"/>
      <c r="E429" s="47"/>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c r="AE429" s="46"/>
      <c r="AF429" s="46"/>
      <c r="AG429" s="46"/>
      <c r="AH429" s="46"/>
      <c r="AI429" s="46"/>
      <c r="AJ429" s="46"/>
      <c r="AK429" s="46"/>
      <c r="AL429" s="46"/>
    </row>
    <row r="430">
      <c r="A430" s="46"/>
      <c r="B430" s="46"/>
      <c r="C430" s="47"/>
      <c r="D430" s="47"/>
      <c r="E430" s="47"/>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c r="AE430" s="46"/>
      <c r="AF430" s="46"/>
      <c r="AG430" s="46"/>
      <c r="AH430" s="46"/>
      <c r="AI430" s="46"/>
      <c r="AJ430" s="46"/>
      <c r="AK430" s="46"/>
      <c r="AL430" s="46"/>
    </row>
    <row r="431">
      <c r="A431" s="46"/>
      <c r="B431" s="46"/>
      <c r="C431" s="47"/>
      <c r="D431" s="47"/>
      <c r="E431" s="47"/>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c r="AE431" s="46"/>
      <c r="AF431" s="46"/>
      <c r="AG431" s="46"/>
      <c r="AH431" s="46"/>
      <c r="AI431" s="46"/>
      <c r="AJ431" s="46"/>
      <c r="AK431" s="46"/>
      <c r="AL431" s="46"/>
    </row>
    <row r="432">
      <c r="A432" s="46"/>
      <c r="B432" s="46"/>
      <c r="C432" s="47"/>
      <c r="D432" s="47"/>
      <c r="E432" s="47"/>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c r="AE432" s="46"/>
      <c r="AF432" s="46"/>
      <c r="AG432" s="46"/>
      <c r="AH432" s="46"/>
      <c r="AI432" s="46"/>
      <c r="AJ432" s="46"/>
      <c r="AK432" s="46"/>
      <c r="AL432" s="46"/>
    </row>
    <row r="433">
      <c r="A433" s="46"/>
      <c r="B433" s="46"/>
      <c r="C433" s="47"/>
      <c r="D433" s="47"/>
      <c r="E433" s="47"/>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c r="AE433" s="46"/>
      <c r="AF433" s="46"/>
      <c r="AG433" s="46"/>
      <c r="AH433" s="46"/>
      <c r="AI433" s="46"/>
      <c r="AJ433" s="46"/>
      <c r="AK433" s="46"/>
      <c r="AL433" s="46"/>
    </row>
    <row r="434">
      <c r="A434" s="46"/>
      <c r="B434" s="46"/>
      <c r="C434" s="47"/>
      <c r="D434" s="47"/>
      <c r="E434" s="47"/>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c r="AE434" s="46"/>
      <c r="AF434" s="46"/>
      <c r="AG434" s="46"/>
      <c r="AH434" s="46"/>
      <c r="AI434" s="46"/>
      <c r="AJ434" s="46"/>
      <c r="AK434" s="46"/>
      <c r="AL434" s="46"/>
    </row>
    <row r="435">
      <c r="A435" s="46"/>
      <c r="B435" s="46"/>
      <c r="C435" s="47"/>
      <c r="D435" s="47"/>
      <c r="E435" s="47"/>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c r="AE435" s="46"/>
      <c r="AF435" s="46"/>
      <c r="AG435" s="46"/>
      <c r="AH435" s="46"/>
      <c r="AI435" s="46"/>
      <c r="AJ435" s="46"/>
      <c r="AK435" s="46"/>
      <c r="AL435" s="46"/>
    </row>
    <row r="436">
      <c r="A436" s="46"/>
      <c r="B436" s="46"/>
      <c r="C436" s="47"/>
      <c r="D436" s="47"/>
      <c r="E436" s="47"/>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c r="AE436" s="46"/>
      <c r="AF436" s="46"/>
      <c r="AG436" s="46"/>
      <c r="AH436" s="46"/>
      <c r="AI436" s="46"/>
      <c r="AJ436" s="46"/>
      <c r="AK436" s="46"/>
      <c r="AL436" s="46"/>
    </row>
    <row r="437">
      <c r="A437" s="46"/>
      <c r="B437" s="46"/>
      <c r="C437" s="47"/>
      <c r="D437" s="47"/>
      <c r="E437" s="47"/>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c r="AE437" s="46"/>
      <c r="AF437" s="46"/>
      <c r="AG437" s="46"/>
      <c r="AH437" s="46"/>
      <c r="AI437" s="46"/>
      <c r="AJ437" s="46"/>
      <c r="AK437" s="46"/>
      <c r="AL437" s="46"/>
    </row>
    <row r="438">
      <c r="A438" s="46"/>
      <c r="B438" s="46"/>
      <c r="C438" s="47"/>
      <c r="D438" s="47"/>
      <c r="E438" s="47"/>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c r="AE438" s="46"/>
      <c r="AF438" s="46"/>
      <c r="AG438" s="46"/>
      <c r="AH438" s="46"/>
      <c r="AI438" s="46"/>
      <c r="AJ438" s="46"/>
      <c r="AK438" s="46"/>
      <c r="AL438" s="46"/>
    </row>
    <row r="439">
      <c r="A439" s="46"/>
      <c r="B439" s="46"/>
      <c r="C439" s="47"/>
      <c r="D439" s="47"/>
      <c r="E439" s="47"/>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c r="AE439" s="46"/>
      <c r="AF439" s="46"/>
      <c r="AG439" s="46"/>
      <c r="AH439" s="46"/>
      <c r="AI439" s="46"/>
      <c r="AJ439" s="46"/>
      <c r="AK439" s="46"/>
      <c r="AL439" s="46"/>
    </row>
    <row r="440">
      <c r="A440" s="46"/>
      <c r="B440" s="46"/>
      <c r="C440" s="47"/>
      <c r="D440" s="47"/>
      <c r="E440" s="47"/>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c r="AE440" s="46"/>
      <c r="AF440" s="46"/>
      <c r="AG440" s="46"/>
      <c r="AH440" s="46"/>
      <c r="AI440" s="46"/>
      <c r="AJ440" s="46"/>
      <c r="AK440" s="46"/>
      <c r="AL440" s="46"/>
    </row>
    <row r="441">
      <c r="A441" s="46"/>
      <c r="B441" s="46"/>
      <c r="C441" s="47"/>
      <c r="D441" s="47"/>
      <c r="E441" s="47"/>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c r="AE441" s="46"/>
      <c r="AF441" s="46"/>
      <c r="AG441" s="46"/>
      <c r="AH441" s="46"/>
      <c r="AI441" s="46"/>
      <c r="AJ441" s="46"/>
      <c r="AK441" s="46"/>
      <c r="AL441" s="46"/>
    </row>
    <row r="442">
      <c r="A442" s="46"/>
      <c r="B442" s="46"/>
      <c r="C442" s="47"/>
      <c r="D442" s="47"/>
      <c r="E442" s="47"/>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c r="AE442" s="46"/>
      <c r="AF442" s="46"/>
      <c r="AG442" s="46"/>
      <c r="AH442" s="46"/>
      <c r="AI442" s="46"/>
      <c r="AJ442" s="46"/>
      <c r="AK442" s="46"/>
      <c r="AL442" s="46"/>
    </row>
    <row r="443">
      <c r="A443" s="46"/>
      <c r="B443" s="46"/>
      <c r="C443" s="47"/>
      <c r="D443" s="47"/>
      <c r="E443" s="47"/>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c r="AE443" s="46"/>
      <c r="AF443" s="46"/>
      <c r="AG443" s="46"/>
      <c r="AH443" s="46"/>
      <c r="AI443" s="46"/>
      <c r="AJ443" s="46"/>
      <c r="AK443" s="46"/>
      <c r="AL443" s="46"/>
    </row>
    <row r="444">
      <c r="A444" s="46"/>
      <c r="B444" s="46"/>
      <c r="C444" s="47"/>
      <c r="D444" s="47"/>
      <c r="E444" s="47"/>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c r="AE444" s="46"/>
      <c r="AF444" s="46"/>
      <c r="AG444" s="46"/>
      <c r="AH444" s="46"/>
      <c r="AI444" s="46"/>
      <c r="AJ444" s="46"/>
      <c r="AK444" s="46"/>
      <c r="AL444" s="46"/>
    </row>
    <row r="445">
      <c r="A445" s="46"/>
      <c r="B445" s="46"/>
      <c r="C445" s="47"/>
      <c r="D445" s="47"/>
      <c r="E445" s="47"/>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c r="AE445" s="46"/>
      <c r="AF445" s="46"/>
      <c r="AG445" s="46"/>
      <c r="AH445" s="46"/>
      <c r="AI445" s="46"/>
      <c r="AJ445" s="46"/>
      <c r="AK445" s="46"/>
      <c r="AL445" s="46"/>
    </row>
    <row r="446">
      <c r="A446" s="46"/>
      <c r="B446" s="46"/>
      <c r="C446" s="47"/>
      <c r="D446" s="47"/>
      <c r="E446" s="47"/>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c r="AE446" s="46"/>
      <c r="AF446" s="46"/>
      <c r="AG446" s="46"/>
      <c r="AH446" s="46"/>
      <c r="AI446" s="46"/>
      <c r="AJ446" s="46"/>
      <c r="AK446" s="46"/>
      <c r="AL446" s="46"/>
    </row>
    <row r="447">
      <c r="A447" s="46"/>
      <c r="B447" s="46"/>
      <c r="C447" s="47"/>
      <c r="D447" s="47"/>
      <c r="E447" s="47"/>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c r="AE447" s="46"/>
      <c r="AF447" s="46"/>
      <c r="AG447" s="46"/>
      <c r="AH447" s="46"/>
      <c r="AI447" s="46"/>
      <c r="AJ447" s="46"/>
      <c r="AK447" s="46"/>
      <c r="AL447" s="46"/>
    </row>
    <row r="448">
      <c r="A448" s="46"/>
      <c r="B448" s="46"/>
      <c r="C448" s="47"/>
      <c r="D448" s="47"/>
      <c r="E448" s="47"/>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c r="AE448" s="46"/>
      <c r="AF448" s="46"/>
      <c r="AG448" s="46"/>
      <c r="AH448" s="46"/>
      <c r="AI448" s="46"/>
      <c r="AJ448" s="46"/>
      <c r="AK448" s="46"/>
      <c r="AL448" s="46"/>
    </row>
    <row r="449">
      <c r="A449" s="46"/>
      <c r="B449" s="46"/>
      <c r="C449" s="47"/>
      <c r="D449" s="47"/>
      <c r="E449" s="47"/>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c r="AE449" s="46"/>
      <c r="AF449" s="46"/>
      <c r="AG449" s="46"/>
      <c r="AH449" s="46"/>
      <c r="AI449" s="46"/>
      <c r="AJ449" s="46"/>
      <c r="AK449" s="46"/>
      <c r="AL449" s="46"/>
    </row>
    <row r="450">
      <c r="A450" s="46"/>
      <c r="B450" s="46"/>
      <c r="C450" s="47"/>
      <c r="D450" s="47"/>
      <c r="E450" s="47"/>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c r="AE450" s="46"/>
      <c r="AF450" s="46"/>
      <c r="AG450" s="46"/>
      <c r="AH450" s="46"/>
      <c r="AI450" s="46"/>
      <c r="AJ450" s="46"/>
      <c r="AK450" s="46"/>
      <c r="AL450" s="46"/>
    </row>
    <row r="451">
      <c r="A451" s="46"/>
      <c r="B451" s="46"/>
      <c r="C451" s="47"/>
      <c r="D451" s="47"/>
      <c r="E451" s="47"/>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c r="AE451" s="46"/>
      <c r="AF451" s="46"/>
      <c r="AG451" s="46"/>
      <c r="AH451" s="46"/>
      <c r="AI451" s="46"/>
      <c r="AJ451" s="46"/>
      <c r="AK451" s="46"/>
      <c r="AL451" s="46"/>
    </row>
    <row r="452">
      <c r="A452" s="46"/>
      <c r="B452" s="46"/>
      <c r="C452" s="47"/>
      <c r="D452" s="47"/>
      <c r="E452" s="47"/>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c r="AE452" s="46"/>
      <c r="AF452" s="46"/>
      <c r="AG452" s="46"/>
      <c r="AH452" s="46"/>
      <c r="AI452" s="46"/>
      <c r="AJ452" s="46"/>
      <c r="AK452" s="46"/>
      <c r="AL452" s="46"/>
    </row>
    <row r="453">
      <c r="A453" s="46"/>
      <c r="B453" s="46"/>
      <c r="C453" s="47"/>
      <c r="D453" s="47"/>
      <c r="E453" s="47"/>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c r="AE453" s="46"/>
      <c r="AF453" s="46"/>
      <c r="AG453" s="46"/>
      <c r="AH453" s="46"/>
      <c r="AI453" s="46"/>
      <c r="AJ453" s="46"/>
      <c r="AK453" s="46"/>
      <c r="AL453" s="46"/>
    </row>
    <row r="454">
      <c r="A454" s="46"/>
      <c r="B454" s="46"/>
      <c r="C454" s="47"/>
      <c r="D454" s="47"/>
      <c r="E454" s="47"/>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c r="AE454" s="46"/>
      <c r="AF454" s="46"/>
      <c r="AG454" s="46"/>
      <c r="AH454" s="46"/>
      <c r="AI454" s="46"/>
      <c r="AJ454" s="46"/>
      <c r="AK454" s="46"/>
      <c r="AL454" s="46"/>
    </row>
    <row r="455">
      <c r="A455" s="46"/>
      <c r="B455" s="46"/>
      <c r="C455" s="47"/>
      <c r="D455" s="47"/>
      <c r="E455" s="47"/>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c r="AE455" s="46"/>
      <c r="AF455" s="46"/>
      <c r="AG455" s="46"/>
      <c r="AH455" s="46"/>
      <c r="AI455" s="46"/>
      <c r="AJ455" s="46"/>
      <c r="AK455" s="46"/>
      <c r="AL455" s="46"/>
    </row>
    <row r="456">
      <c r="A456" s="46"/>
      <c r="B456" s="46"/>
      <c r="C456" s="47"/>
      <c r="D456" s="47"/>
      <c r="E456" s="47"/>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c r="AE456" s="46"/>
      <c r="AF456" s="46"/>
      <c r="AG456" s="46"/>
      <c r="AH456" s="46"/>
      <c r="AI456" s="46"/>
      <c r="AJ456" s="46"/>
      <c r="AK456" s="46"/>
      <c r="AL456" s="46"/>
    </row>
    <row r="457">
      <c r="A457" s="46"/>
      <c r="B457" s="46"/>
      <c r="C457" s="47"/>
      <c r="D457" s="47"/>
      <c r="E457" s="47"/>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c r="AE457" s="46"/>
      <c r="AF457" s="46"/>
      <c r="AG457" s="46"/>
      <c r="AH457" s="46"/>
      <c r="AI457" s="46"/>
      <c r="AJ457" s="46"/>
      <c r="AK457" s="46"/>
      <c r="AL457" s="46"/>
    </row>
    <row r="458">
      <c r="A458" s="46"/>
      <c r="B458" s="46"/>
      <c r="C458" s="47"/>
      <c r="D458" s="47"/>
      <c r="E458" s="47"/>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c r="AE458" s="46"/>
      <c r="AF458" s="46"/>
      <c r="AG458" s="46"/>
      <c r="AH458" s="46"/>
      <c r="AI458" s="46"/>
      <c r="AJ458" s="46"/>
      <c r="AK458" s="46"/>
      <c r="AL458" s="46"/>
    </row>
    <row r="459">
      <c r="A459" s="46"/>
      <c r="B459" s="46"/>
      <c r="C459" s="47"/>
      <c r="D459" s="47"/>
      <c r="E459" s="47"/>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c r="AE459" s="46"/>
      <c r="AF459" s="46"/>
      <c r="AG459" s="46"/>
      <c r="AH459" s="46"/>
      <c r="AI459" s="46"/>
      <c r="AJ459" s="46"/>
      <c r="AK459" s="46"/>
      <c r="AL459" s="46"/>
    </row>
    <row r="460">
      <c r="A460" s="46"/>
      <c r="B460" s="46"/>
      <c r="C460" s="47"/>
      <c r="D460" s="47"/>
      <c r="E460" s="47"/>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c r="AE460" s="46"/>
      <c r="AF460" s="46"/>
      <c r="AG460" s="46"/>
      <c r="AH460" s="46"/>
      <c r="AI460" s="46"/>
      <c r="AJ460" s="46"/>
      <c r="AK460" s="46"/>
      <c r="AL460" s="46"/>
    </row>
    <row r="461">
      <c r="A461" s="46"/>
      <c r="B461" s="46"/>
      <c r="C461" s="47"/>
      <c r="D461" s="47"/>
      <c r="E461" s="47"/>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c r="AE461" s="46"/>
      <c r="AF461" s="46"/>
      <c r="AG461" s="46"/>
      <c r="AH461" s="46"/>
      <c r="AI461" s="46"/>
      <c r="AJ461" s="46"/>
      <c r="AK461" s="46"/>
      <c r="AL461" s="46"/>
    </row>
    <row r="462">
      <c r="A462" s="46"/>
      <c r="B462" s="46"/>
      <c r="C462" s="47"/>
      <c r="D462" s="47"/>
      <c r="E462" s="47"/>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c r="AE462" s="46"/>
      <c r="AF462" s="46"/>
      <c r="AG462" s="46"/>
      <c r="AH462" s="46"/>
      <c r="AI462" s="46"/>
      <c r="AJ462" s="46"/>
      <c r="AK462" s="46"/>
      <c r="AL462" s="46"/>
    </row>
    <row r="463">
      <c r="A463" s="46"/>
      <c r="B463" s="46"/>
      <c r="C463" s="47"/>
      <c r="D463" s="47"/>
      <c r="E463" s="47"/>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c r="AE463" s="46"/>
      <c r="AF463" s="46"/>
      <c r="AG463" s="46"/>
      <c r="AH463" s="46"/>
      <c r="AI463" s="46"/>
      <c r="AJ463" s="46"/>
      <c r="AK463" s="46"/>
      <c r="AL463" s="46"/>
    </row>
    <row r="464">
      <c r="A464" s="46"/>
      <c r="B464" s="46"/>
      <c r="C464" s="47"/>
      <c r="D464" s="47"/>
      <c r="E464" s="47"/>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c r="AE464" s="46"/>
      <c r="AF464" s="46"/>
      <c r="AG464" s="46"/>
      <c r="AH464" s="46"/>
      <c r="AI464" s="46"/>
      <c r="AJ464" s="46"/>
      <c r="AK464" s="46"/>
      <c r="AL464" s="46"/>
    </row>
    <row r="465">
      <c r="A465" s="46"/>
      <c r="B465" s="46"/>
      <c r="C465" s="47"/>
      <c r="D465" s="47"/>
      <c r="E465" s="47"/>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c r="AE465" s="46"/>
      <c r="AF465" s="46"/>
      <c r="AG465" s="46"/>
      <c r="AH465" s="46"/>
      <c r="AI465" s="46"/>
      <c r="AJ465" s="46"/>
      <c r="AK465" s="46"/>
      <c r="AL465" s="46"/>
    </row>
    <row r="466">
      <c r="A466" s="46"/>
      <c r="B466" s="46"/>
      <c r="C466" s="47"/>
      <c r="D466" s="47"/>
      <c r="E466" s="47"/>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c r="AE466" s="46"/>
      <c r="AF466" s="46"/>
      <c r="AG466" s="46"/>
      <c r="AH466" s="46"/>
      <c r="AI466" s="46"/>
      <c r="AJ466" s="46"/>
      <c r="AK466" s="46"/>
      <c r="AL466" s="46"/>
    </row>
    <row r="467">
      <c r="A467" s="46"/>
      <c r="B467" s="46"/>
      <c r="C467" s="47"/>
      <c r="D467" s="47"/>
      <c r="E467" s="47"/>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c r="AE467" s="46"/>
      <c r="AF467" s="46"/>
      <c r="AG467" s="46"/>
      <c r="AH467" s="46"/>
      <c r="AI467" s="46"/>
      <c r="AJ467" s="46"/>
      <c r="AK467" s="46"/>
      <c r="AL467" s="46"/>
    </row>
    <row r="468">
      <c r="A468" s="46"/>
      <c r="B468" s="46"/>
      <c r="C468" s="47"/>
      <c r="D468" s="47"/>
      <c r="E468" s="47"/>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c r="AE468" s="46"/>
      <c r="AF468" s="46"/>
      <c r="AG468" s="46"/>
      <c r="AH468" s="46"/>
      <c r="AI468" s="46"/>
      <c r="AJ468" s="46"/>
      <c r="AK468" s="46"/>
      <c r="AL468" s="46"/>
    </row>
    <row r="469">
      <c r="A469" s="46"/>
      <c r="B469" s="46"/>
      <c r="C469" s="47"/>
      <c r="D469" s="47"/>
      <c r="E469" s="47"/>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c r="AE469" s="46"/>
      <c r="AF469" s="46"/>
      <c r="AG469" s="46"/>
      <c r="AH469" s="46"/>
      <c r="AI469" s="46"/>
      <c r="AJ469" s="46"/>
      <c r="AK469" s="46"/>
      <c r="AL469" s="46"/>
    </row>
    <row r="470">
      <c r="A470" s="46"/>
      <c r="B470" s="46"/>
      <c r="C470" s="47"/>
      <c r="D470" s="47"/>
      <c r="E470" s="47"/>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c r="AE470" s="46"/>
      <c r="AF470" s="46"/>
      <c r="AG470" s="46"/>
      <c r="AH470" s="46"/>
      <c r="AI470" s="46"/>
      <c r="AJ470" s="46"/>
      <c r="AK470" s="46"/>
      <c r="AL470" s="46"/>
    </row>
    <row r="471">
      <c r="A471" s="46"/>
      <c r="B471" s="46"/>
      <c r="C471" s="47"/>
      <c r="D471" s="47"/>
      <c r="E471" s="47"/>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c r="AE471" s="46"/>
      <c r="AF471" s="46"/>
      <c r="AG471" s="46"/>
      <c r="AH471" s="46"/>
      <c r="AI471" s="46"/>
      <c r="AJ471" s="46"/>
      <c r="AK471" s="46"/>
      <c r="AL471" s="46"/>
    </row>
    <row r="472">
      <c r="A472" s="46"/>
      <c r="B472" s="46"/>
      <c r="C472" s="47"/>
      <c r="D472" s="47"/>
      <c r="E472" s="47"/>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c r="AE472" s="46"/>
      <c r="AF472" s="46"/>
      <c r="AG472" s="46"/>
      <c r="AH472" s="46"/>
      <c r="AI472" s="46"/>
      <c r="AJ472" s="46"/>
      <c r="AK472" s="46"/>
      <c r="AL472" s="46"/>
    </row>
    <row r="473">
      <c r="A473" s="46"/>
      <c r="B473" s="46"/>
      <c r="C473" s="47"/>
      <c r="D473" s="47"/>
      <c r="E473" s="47"/>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c r="AE473" s="46"/>
      <c r="AF473" s="46"/>
      <c r="AG473" s="46"/>
      <c r="AH473" s="46"/>
      <c r="AI473" s="46"/>
      <c r="AJ473" s="46"/>
      <c r="AK473" s="46"/>
      <c r="AL473" s="46"/>
    </row>
    <row r="474">
      <c r="A474" s="46"/>
      <c r="B474" s="46"/>
      <c r="C474" s="47"/>
      <c r="D474" s="47"/>
      <c r="E474" s="47"/>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c r="AE474" s="46"/>
      <c r="AF474" s="46"/>
      <c r="AG474" s="46"/>
      <c r="AH474" s="46"/>
      <c r="AI474" s="46"/>
      <c r="AJ474" s="46"/>
      <c r="AK474" s="46"/>
      <c r="AL474" s="46"/>
    </row>
    <row r="475">
      <c r="A475" s="46"/>
      <c r="B475" s="46"/>
      <c r="C475" s="47"/>
      <c r="D475" s="47"/>
      <c r="E475" s="47"/>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c r="AE475" s="46"/>
      <c r="AF475" s="46"/>
      <c r="AG475" s="46"/>
      <c r="AH475" s="46"/>
      <c r="AI475" s="46"/>
      <c r="AJ475" s="46"/>
      <c r="AK475" s="46"/>
      <c r="AL475" s="46"/>
    </row>
    <row r="476">
      <c r="A476" s="46"/>
      <c r="B476" s="46"/>
      <c r="C476" s="47"/>
      <c r="D476" s="47"/>
      <c r="E476" s="47"/>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c r="AE476" s="46"/>
      <c r="AF476" s="46"/>
      <c r="AG476" s="46"/>
      <c r="AH476" s="46"/>
      <c r="AI476" s="46"/>
      <c r="AJ476" s="46"/>
      <c r="AK476" s="46"/>
      <c r="AL476" s="46"/>
    </row>
    <row r="477">
      <c r="A477" s="46"/>
      <c r="B477" s="46"/>
      <c r="C477" s="47"/>
      <c r="D477" s="47"/>
      <c r="E477" s="47"/>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c r="AE477" s="46"/>
      <c r="AF477" s="46"/>
      <c r="AG477" s="46"/>
      <c r="AH477" s="46"/>
      <c r="AI477" s="46"/>
      <c r="AJ477" s="46"/>
      <c r="AK477" s="46"/>
      <c r="AL477" s="46"/>
    </row>
    <row r="478">
      <c r="A478" s="46"/>
      <c r="B478" s="46"/>
      <c r="C478" s="47"/>
      <c r="D478" s="47"/>
      <c r="E478" s="47"/>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c r="AE478" s="46"/>
      <c r="AF478" s="46"/>
      <c r="AG478" s="46"/>
      <c r="AH478" s="46"/>
      <c r="AI478" s="46"/>
      <c r="AJ478" s="46"/>
      <c r="AK478" s="46"/>
      <c r="AL478" s="46"/>
    </row>
    <row r="479">
      <c r="A479" s="46"/>
      <c r="B479" s="46"/>
      <c r="C479" s="47"/>
      <c r="D479" s="47"/>
      <c r="E479" s="47"/>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c r="AE479" s="46"/>
      <c r="AF479" s="46"/>
      <c r="AG479" s="46"/>
      <c r="AH479" s="46"/>
      <c r="AI479" s="46"/>
      <c r="AJ479" s="46"/>
      <c r="AK479" s="46"/>
      <c r="AL479" s="46"/>
    </row>
    <row r="480">
      <c r="A480" s="46"/>
      <c r="B480" s="46"/>
      <c r="C480" s="47"/>
      <c r="D480" s="47"/>
      <c r="E480" s="47"/>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c r="AE480" s="46"/>
      <c r="AF480" s="46"/>
      <c r="AG480" s="46"/>
      <c r="AH480" s="46"/>
      <c r="AI480" s="46"/>
      <c r="AJ480" s="46"/>
      <c r="AK480" s="46"/>
      <c r="AL480" s="46"/>
    </row>
    <row r="481">
      <c r="A481" s="46"/>
      <c r="B481" s="46"/>
      <c r="C481" s="47"/>
      <c r="D481" s="47"/>
      <c r="E481" s="47"/>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c r="AE481" s="46"/>
      <c r="AF481" s="46"/>
      <c r="AG481" s="46"/>
      <c r="AH481" s="46"/>
      <c r="AI481" s="46"/>
      <c r="AJ481" s="46"/>
      <c r="AK481" s="46"/>
      <c r="AL481" s="46"/>
    </row>
    <row r="482">
      <c r="A482" s="46"/>
      <c r="B482" s="46"/>
      <c r="C482" s="47"/>
      <c r="D482" s="47"/>
      <c r="E482" s="47"/>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c r="AE482" s="46"/>
      <c r="AF482" s="46"/>
      <c r="AG482" s="46"/>
      <c r="AH482" s="46"/>
      <c r="AI482" s="46"/>
      <c r="AJ482" s="46"/>
      <c r="AK482" s="46"/>
      <c r="AL482" s="46"/>
    </row>
    <row r="483">
      <c r="A483" s="46"/>
      <c r="B483" s="46"/>
      <c r="C483" s="47"/>
      <c r="D483" s="47"/>
      <c r="E483" s="47"/>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c r="AE483" s="46"/>
      <c r="AF483" s="46"/>
      <c r="AG483" s="46"/>
      <c r="AH483" s="46"/>
      <c r="AI483" s="46"/>
      <c r="AJ483" s="46"/>
      <c r="AK483" s="46"/>
      <c r="AL483" s="46"/>
    </row>
    <row r="484">
      <c r="A484" s="46"/>
      <c r="B484" s="46"/>
      <c r="C484" s="47"/>
      <c r="D484" s="47"/>
      <c r="E484" s="47"/>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c r="AE484" s="46"/>
      <c r="AF484" s="46"/>
      <c r="AG484" s="46"/>
      <c r="AH484" s="46"/>
      <c r="AI484" s="46"/>
      <c r="AJ484" s="46"/>
      <c r="AK484" s="46"/>
      <c r="AL484" s="46"/>
    </row>
    <row r="485">
      <c r="A485" s="46"/>
      <c r="B485" s="46"/>
      <c r="C485" s="47"/>
      <c r="D485" s="47"/>
      <c r="E485" s="47"/>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c r="AE485" s="46"/>
      <c r="AF485" s="46"/>
      <c r="AG485" s="46"/>
      <c r="AH485" s="46"/>
      <c r="AI485" s="46"/>
      <c r="AJ485" s="46"/>
      <c r="AK485" s="46"/>
      <c r="AL485" s="46"/>
    </row>
    <row r="486">
      <c r="A486" s="46"/>
      <c r="B486" s="46"/>
      <c r="C486" s="47"/>
      <c r="D486" s="47"/>
      <c r="E486" s="47"/>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c r="AE486" s="46"/>
      <c r="AF486" s="46"/>
      <c r="AG486" s="46"/>
      <c r="AH486" s="46"/>
      <c r="AI486" s="46"/>
      <c r="AJ486" s="46"/>
      <c r="AK486" s="46"/>
      <c r="AL486" s="46"/>
    </row>
    <row r="487">
      <c r="A487" s="46"/>
      <c r="B487" s="46"/>
      <c r="C487" s="47"/>
      <c r="D487" s="47"/>
      <c r="E487" s="47"/>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c r="AE487" s="46"/>
      <c r="AF487" s="46"/>
      <c r="AG487" s="46"/>
      <c r="AH487" s="46"/>
      <c r="AI487" s="46"/>
      <c r="AJ487" s="46"/>
      <c r="AK487" s="46"/>
      <c r="AL487" s="46"/>
    </row>
    <row r="488">
      <c r="A488" s="46"/>
      <c r="B488" s="46"/>
      <c r="C488" s="47"/>
      <c r="D488" s="47"/>
      <c r="E488" s="47"/>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c r="AE488" s="46"/>
      <c r="AF488" s="46"/>
      <c r="AG488" s="46"/>
      <c r="AH488" s="46"/>
      <c r="AI488" s="46"/>
      <c r="AJ488" s="46"/>
      <c r="AK488" s="46"/>
      <c r="AL488" s="46"/>
    </row>
    <row r="489">
      <c r="A489" s="46"/>
      <c r="B489" s="46"/>
      <c r="C489" s="47"/>
      <c r="D489" s="47"/>
      <c r="E489" s="47"/>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c r="AE489" s="46"/>
      <c r="AF489" s="46"/>
      <c r="AG489" s="46"/>
      <c r="AH489" s="46"/>
      <c r="AI489" s="46"/>
      <c r="AJ489" s="46"/>
      <c r="AK489" s="46"/>
      <c r="AL489" s="46"/>
    </row>
    <row r="490">
      <c r="A490" s="46"/>
      <c r="B490" s="46"/>
      <c r="C490" s="47"/>
      <c r="D490" s="47"/>
      <c r="E490" s="47"/>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c r="AE490" s="46"/>
      <c r="AF490" s="46"/>
      <c r="AG490" s="46"/>
      <c r="AH490" s="46"/>
      <c r="AI490" s="46"/>
      <c r="AJ490" s="46"/>
      <c r="AK490" s="46"/>
      <c r="AL490" s="46"/>
    </row>
    <row r="491">
      <c r="A491" s="46"/>
      <c r="B491" s="46"/>
      <c r="C491" s="47"/>
      <c r="D491" s="47"/>
      <c r="E491" s="47"/>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c r="AE491" s="46"/>
      <c r="AF491" s="46"/>
      <c r="AG491" s="46"/>
      <c r="AH491" s="46"/>
      <c r="AI491" s="46"/>
      <c r="AJ491" s="46"/>
      <c r="AK491" s="46"/>
      <c r="AL491" s="46"/>
    </row>
    <row r="492">
      <c r="A492" s="46"/>
      <c r="B492" s="46"/>
      <c r="C492" s="47"/>
      <c r="D492" s="47"/>
      <c r="E492" s="47"/>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c r="AE492" s="46"/>
      <c r="AF492" s="46"/>
      <c r="AG492" s="46"/>
      <c r="AH492" s="46"/>
      <c r="AI492" s="46"/>
      <c r="AJ492" s="46"/>
      <c r="AK492" s="46"/>
      <c r="AL492" s="46"/>
    </row>
    <row r="493">
      <c r="A493" s="46"/>
      <c r="B493" s="46"/>
      <c r="C493" s="47"/>
      <c r="D493" s="47"/>
      <c r="E493" s="47"/>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c r="AE493" s="46"/>
      <c r="AF493" s="46"/>
      <c r="AG493" s="46"/>
      <c r="AH493" s="46"/>
      <c r="AI493" s="46"/>
      <c r="AJ493" s="46"/>
      <c r="AK493" s="46"/>
      <c r="AL493" s="46"/>
    </row>
    <row r="494">
      <c r="A494" s="46"/>
      <c r="B494" s="46"/>
      <c r="C494" s="47"/>
      <c r="D494" s="47"/>
      <c r="E494" s="47"/>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c r="AE494" s="46"/>
      <c r="AF494" s="46"/>
      <c r="AG494" s="46"/>
      <c r="AH494" s="46"/>
      <c r="AI494" s="46"/>
      <c r="AJ494" s="46"/>
      <c r="AK494" s="46"/>
      <c r="AL494" s="46"/>
    </row>
    <row r="495">
      <c r="A495" s="46"/>
      <c r="B495" s="46"/>
      <c r="C495" s="47"/>
      <c r="D495" s="47"/>
      <c r="E495" s="47"/>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c r="AE495" s="46"/>
      <c r="AF495" s="46"/>
      <c r="AG495" s="46"/>
      <c r="AH495" s="46"/>
      <c r="AI495" s="46"/>
      <c r="AJ495" s="46"/>
      <c r="AK495" s="46"/>
      <c r="AL495" s="46"/>
    </row>
    <row r="496">
      <c r="A496" s="46"/>
      <c r="B496" s="46"/>
      <c r="C496" s="47"/>
      <c r="D496" s="47"/>
      <c r="E496" s="47"/>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c r="AE496" s="46"/>
      <c r="AF496" s="46"/>
      <c r="AG496" s="46"/>
      <c r="AH496" s="46"/>
      <c r="AI496" s="46"/>
      <c r="AJ496" s="46"/>
      <c r="AK496" s="46"/>
      <c r="AL496" s="46"/>
    </row>
    <row r="497">
      <c r="A497" s="46"/>
      <c r="B497" s="46"/>
      <c r="C497" s="47"/>
      <c r="D497" s="47"/>
      <c r="E497" s="47"/>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c r="AE497" s="46"/>
      <c r="AF497" s="46"/>
      <c r="AG497" s="46"/>
      <c r="AH497" s="46"/>
      <c r="AI497" s="46"/>
      <c r="AJ497" s="46"/>
      <c r="AK497" s="46"/>
      <c r="AL497" s="46"/>
    </row>
    <row r="498">
      <c r="A498" s="46"/>
      <c r="B498" s="46"/>
      <c r="C498" s="47"/>
      <c r="D498" s="47"/>
      <c r="E498" s="47"/>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c r="AE498" s="46"/>
      <c r="AF498" s="46"/>
      <c r="AG498" s="46"/>
      <c r="AH498" s="46"/>
      <c r="AI498" s="46"/>
      <c r="AJ498" s="46"/>
      <c r="AK498" s="46"/>
      <c r="AL498" s="46"/>
    </row>
    <row r="499">
      <c r="A499" s="46"/>
      <c r="B499" s="46"/>
      <c r="C499" s="47"/>
      <c r="D499" s="47"/>
      <c r="E499" s="47"/>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c r="AE499" s="46"/>
      <c r="AF499" s="46"/>
      <c r="AG499" s="46"/>
      <c r="AH499" s="46"/>
      <c r="AI499" s="46"/>
      <c r="AJ499" s="46"/>
      <c r="AK499" s="46"/>
      <c r="AL499" s="46"/>
    </row>
    <row r="500">
      <c r="A500" s="46"/>
      <c r="B500" s="46"/>
      <c r="C500" s="47"/>
      <c r="D500" s="47"/>
      <c r="E500" s="47"/>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c r="AE500" s="46"/>
      <c r="AF500" s="46"/>
      <c r="AG500" s="46"/>
      <c r="AH500" s="46"/>
      <c r="AI500" s="46"/>
      <c r="AJ500" s="46"/>
      <c r="AK500" s="46"/>
      <c r="AL500" s="46"/>
    </row>
    <row r="501">
      <c r="A501" s="46"/>
      <c r="B501" s="46"/>
      <c r="C501" s="47"/>
      <c r="D501" s="47"/>
      <c r="E501" s="47"/>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c r="AE501" s="46"/>
      <c r="AF501" s="46"/>
      <c r="AG501" s="46"/>
      <c r="AH501" s="46"/>
      <c r="AI501" s="46"/>
      <c r="AJ501" s="46"/>
      <c r="AK501" s="46"/>
      <c r="AL501" s="46"/>
    </row>
    <row r="502">
      <c r="A502" s="46"/>
      <c r="B502" s="46"/>
      <c r="C502" s="47"/>
      <c r="D502" s="47"/>
      <c r="E502" s="47"/>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c r="AE502" s="46"/>
      <c r="AF502" s="46"/>
      <c r="AG502" s="46"/>
      <c r="AH502" s="46"/>
      <c r="AI502" s="46"/>
      <c r="AJ502" s="46"/>
      <c r="AK502" s="46"/>
      <c r="AL502" s="46"/>
    </row>
    <row r="503">
      <c r="A503" s="46"/>
      <c r="B503" s="46"/>
      <c r="C503" s="47"/>
      <c r="D503" s="47"/>
      <c r="E503" s="47"/>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c r="AE503" s="46"/>
      <c r="AF503" s="46"/>
      <c r="AG503" s="46"/>
      <c r="AH503" s="46"/>
      <c r="AI503" s="46"/>
      <c r="AJ503" s="46"/>
      <c r="AK503" s="46"/>
      <c r="AL503" s="46"/>
    </row>
    <row r="504">
      <c r="A504" s="46"/>
      <c r="B504" s="46"/>
      <c r="C504" s="47"/>
      <c r="D504" s="47"/>
      <c r="E504" s="47"/>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c r="AE504" s="46"/>
      <c r="AF504" s="46"/>
      <c r="AG504" s="46"/>
      <c r="AH504" s="46"/>
      <c r="AI504" s="46"/>
      <c r="AJ504" s="46"/>
      <c r="AK504" s="46"/>
      <c r="AL504" s="46"/>
    </row>
    <row r="505">
      <c r="A505" s="46"/>
      <c r="B505" s="46"/>
      <c r="C505" s="47"/>
      <c r="D505" s="47"/>
      <c r="E505" s="47"/>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c r="AE505" s="46"/>
      <c r="AF505" s="46"/>
      <c r="AG505" s="46"/>
      <c r="AH505" s="46"/>
      <c r="AI505" s="46"/>
      <c r="AJ505" s="46"/>
      <c r="AK505" s="46"/>
      <c r="AL505" s="46"/>
    </row>
    <row r="506">
      <c r="A506" s="46"/>
      <c r="B506" s="46"/>
      <c r="C506" s="47"/>
      <c r="D506" s="47"/>
      <c r="E506" s="47"/>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c r="AE506" s="46"/>
      <c r="AF506" s="46"/>
      <c r="AG506" s="46"/>
      <c r="AH506" s="46"/>
      <c r="AI506" s="46"/>
      <c r="AJ506" s="46"/>
      <c r="AK506" s="46"/>
      <c r="AL506" s="46"/>
    </row>
    <row r="507">
      <c r="A507" s="46"/>
      <c r="B507" s="46"/>
      <c r="C507" s="47"/>
      <c r="D507" s="47"/>
      <c r="E507" s="47"/>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c r="AE507" s="46"/>
      <c r="AF507" s="46"/>
      <c r="AG507" s="46"/>
      <c r="AH507" s="46"/>
      <c r="AI507" s="46"/>
      <c r="AJ507" s="46"/>
      <c r="AK507" s="46"/>
      <c r="AL507" s="46"/>
    </row>
    <row r="508">
      <c r="A508" s="46"/>
      <c r="B508" s="46"/>
      <c r="C508" s="47"/>
      <c r="D508" s="47"/>
      <c r="E508" s="47"/>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c r="AE508" s="46"/>
      <c r="AF508" s="46"/>
      <c r="AG508" s="46"/>
      <c r="AH508" s="46"/>
      <c r="AI508" s="46"/>
      <c r="AJ508" s="46"/>
      <c r="AK508" s="46"/>
      <c r="AL508" s="46"/>
    </row>
    <row r="509">
      <c r="A509" s="46"/>
      <c r="B509" s="46"/>
      <c r="C509" s="47"/>
      <c r="D509" s="47"/>
      <c r="E509" s="47"/>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c r="AE509" s="46"/>
      <c r="AF509" s="46"/>
      <c r="AG509" s="46"/>
      <c r="AH509" s="46"/>
      <c r="AI509" s="46"/>
      <c r="AJ509" s="46"/>
      <c r="AK509" s="46"/>
      <c r="AL509" s="46"/>
    </row>
    <row r="510">
      <c r="A510" s="46"/>
      <c r="B510" s="46"/>
      <c r="C510" s="47"/>
      <c r="D510" s="47"/>
      <c r="E510" s="47"/>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c r="AE510" s="46"/>
      <c r="AF510" s="46"/>
      <c r="AG510" s="46"/>
      <c r="AH510" s="46"/>
      <c r="AI510" s="46"/>
      <c r="AJ510" s="46"/>
      <c r="AK510" s="46"/>
      <c r="AL510" s="46"/>
    </row>
    <row r="511">
      <c r="A511" s="46"/>
      <c r="B511" s="46"/>
      <c r="C511" s="47"/>
      <c r="D511" s="47"/>
      <c r="E511" s="47"/>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c r="AE511" s="46"/>
      <c r="AF511" s="46"/>
      <c r="AG511" s="46"/>
      <c r="AH511" s="46"/>
      <c r="AI511" s="46"/>
      <c r="AJ511" s="46"/>
      <c r="AK511" s="46"/>
      <c r="AL511" s="46"/>
    </row>
    <row r="512">
      <c r="A512" s="46"/>
      <c r="B512" s="46"/>
      <c r="C512" s="47"/>
      <c r="D512" s="47"/>
      <c r="E512" s="47"/>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c r="AE512" s="46"/>
      <c r="AF512" s="46"/>
      <c r="AG512" s="46"/>
      <c r="AH512" s="46"/>
      <c r="AI512" s="46"/>
      <c r="AJ512" s="46"/>
      <c r="AK512" s="46"/>
      <c r="AL512" s="46"/>
    </row>
    <row r="513">
      <c r="A513" s="46"/>
      <c r="B513" s="46"/>
      <c r="C513" s="47"/>
      <c r="D513" s="47"/>
      <c r="E513" s="47"/>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c r="AE513" s="46"/>
      <c r="AF513" s="46"/>
      <c r="AG513" s="46"/>
      <c r="AH513" s="46"/>
      <c r="AI513" s="46"/>
      <c r="AJ513" s="46"/>
      <c r="AK513" s="46"/>
      <c r="AL513" s="46"/>
    </row>
    <row r="514">
      <c r="A514" s="46"/>
      <c r="B514" s="46"/>
      <c r="C514" s="47"/>
      <c r="D514" s="47"/>
      <c r="E514" s="47"/>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c r="AE514" s="46"/>
      <c r="AF514" s="46"/>
      <c r="AG514" s="46"/>
      <c r="AH514" s="46"/>
      <c r="AI514" s="46"/>
      <c r="AJ514" s="46"/>
      <c r="AK514" s="46"/>
      <c r="AL514" s="46"/>
    </row>
    <row r="515">
      <c r="A515" s="46"/>
      <c r="B515" s="46"/>
      <c r="C515" s="47"/>
      <c r="D515" s="47"/>
      <c r="E515" s="47"/>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c r="AE515" s="46"/>
      <c r="AF515" s="46"/>
      <c r="AG515" s="46"/>
      <c r="AH515" s="46"/>
      <c r="AI515" s="46"/>
      <c r="AJ515" s="46"/>
      <c r="AK515" s="46"/>
      <c r="AL515" s="46"/>
    </row>
    <row r="516">
      <c r="A516" s="46"/>
      <c r="B516" s="46"/>
      <c r="C516" s="47"/>
      <c r="D516" s="47"/>
      <c r="E516" s="47"/>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c r="AE516" s="46"/>
      <c r="AF516" s="46"/>
      <c r="AG516" s="46"/>
      <c r="AH516" s="46"/>
      <c r="AI516" s="46"/>
      <c r="AJ516" s="46"/>
      <c r="AK516" s="46"/>
      <c r="AL516" s="46"/>
    </row>
    <row r="517">
      <c r="A517" s="46"/>
      <c r="B517" s="46"/>
      <c r="C517" s="47"/>
      <c r="D517" s="47"/>
      <c r="E517" s="47"/>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c r="AE517" s="46"/>
      <c r="AF517" s="46"/>
      <c r="AG517" s="46"/>
      <c r="AH517" s="46"/>
      <c r="AI517" s="46"/>
      <c r="AJ517" s="46"/>
      <c r="AK517" s="46"/>
      <c r="AL517" s="46"/>
    </row>
    <row r="518">
      <c r="A518" s="46"/>
      <c r="B518" s="46"/>
      <c r="C518" s="47"/>
      <c r="D518" s="47"/>
      <c r="E518" s="47"/>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c r="AE518" s="46"/>
      <c r="AF518" s="46"/>
      <c r="AG518" s="46"/>
      <c r="AH518" s="46"/>
      <c r="AI518" s="46"/>
      <c r="AJ518" s="46"/>
      <c r="AK518" s="46"/>
      <c r="AL518" s="46"/>
    </row>
    <row r="519">
      <c r="A519" s="46"/>
      <c r="B519" s="46"/>
      <c r="C519" s="47"/>
      <c r="D519" s="47"/>
      <c r="E519" s="47"/>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c r="AE519" s="46"/>
      <c r="AF519" s="46"/>
      <c r="AG519" s="46"/>
      <c r="AH519" s="46"/>
      <c r="AI519" s="46"/>
      <c r="AJ519" s="46"/>
      <c r="AK519" s="46"/>
      <c r="AL519" s="46"/>
    </row>
    <row r="520">
      <c r="A520" s="46"/>
      <c r="B520" s="46"/>
      <c r="C520" s="47"/>
      <c r="D520" s="47"/>
      <c r="E520" s="47"/>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c r="AE520" s="46"/>
      <c r="AF520" s="46"/>
      <c r="AG520" s="46"/>
      <c r="AH520" s="46"/>
      <c r="AI520" s="46"/>
      <c r="AJ520" s="46"/>
      <c r="AK520" s="46"/>
      <c r="AL520" s="46"/>
    </row>
    <row r="521">
      <c r="A521" s="46"/>
      <c r="B521" s="46"/>
      <c r="C521" s="47"/>
      <c r="D521" s="47"/>
      <c r="E521" s="47"/>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c r="AE521" s="46"/>
      <c r="AF521" s="46"/>
      <c r="AG521" s="46"/>
      <c r="AH521" s="46"/>
      <c r="AI521" s="46"/>
      <c r="AJ521" s="46"/>
      <c r="AK521" s="46"/>
      <c r="AL521" s="46"/>
    </row>
    <row r="522">
      <c r="A522" s="46"/>
      <c r="B522" s="46"/>
      <c r="C522" s="47"/>
      <c r="D522" s="47"/>
      <c r="E522" s="47"/>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c r="AE522" s="46"/>
      <c r="AF522" s="46"/>
      <c r="AG522" s="46"/>
      <c r="AH522" s="46"/>
      <c r="AI522" s="46"/>
      <c r="AJ522" s="46"/>
      <c r="AK522" s="46"/>
      <c r="AL522" s="46"/>
    </row>
    <row r="523">
      <c r="A523" s="46"/>
      <c r="B523" s="46"/>
      <c r="C523" s="47"/>
      <c r="D523" s="47"/>
      <c r="E523" s="47"/>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c r="AE523" s="46"/>
      <c r="AF523" s="46"/>
      <c r="AG523" s="46"/>
      <c r="AH523" s="46"/>
      <c r="AI523" s="46"/>
      <c r="AJ523" s="46"/>
      <c r="AK523" s="46"/>
      <c r="AL523" s="46"/>
    </row>
    <row r="524">
      <c r="A524" s="46"/>
      <c r="B524" s="46"/>
      <c r="C524" s="47"/>
      <c r="D524" s="47"/>
      <c r="E524" s="47"/>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c r="AE524" s="46"/>
      <c r="AF524" s="46"/>
      <c r="AG524" s="46"/>
      <c r="AH524" s="46"/>
      <c r="AI524" s="46"/>
      <c r="AJ524" s="46"/>
      <c r="AK524" s="46"/>
      <c r="AL524" s="46"/>
    </row>
    <row r="525">
      <c r="A525" s="46"/>
      <c r="B525" s="46"/>
      <c r="C525" s="47"/>
      <c r="D525" s="47"/>
      <c r="E525" s="47"/>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c r="AE525" s="46"/>
      <c r="AF525" s="46"/>
      <c r="AG525" s="46"/>
      <c r="AH525" s="46"/>
      <c r="AI525" s="46"/>
      <c r="AJ525" s="46"/>
      <c r="AK525" s="46"/>
      <c r="AL525" s="46"/>
    </row>
    <row r="526">
      <c r="A526" s="46"/>
      <c r="B526" s="46"/>
      <c r="C526" s="47"/>
      <c r="D526" s="47"/>
      <c r="E526" s="47"/>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c r="AE526" s="46"/>
      <c r="AF526" s="46"/>
      <c r="AG526" s="46"/>
      <c r="AH526" s="46"/>
      <c r="AI526" s="46"/>
      <c r="AJ526" s="46"/>
      <c r="AK526" s="46"/>
      <c r="AL526" s="46"/>
    </row>
    <row r="527">
      <c r="A527" s="46"/>
      <c r="B527" s="46"/>
      <c r="C527" s="47"/>
      <c r="D527" s="47"/>
      <c r="E527" s="47"/>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c r="AE527" s="46"/>
      <c r="AF527" s="46"/>
      <c r="AG527" s="46"/>
      <c r="AH527" s="46"/>
      <c r="AI527" s="46"/>
      <c r="AJ527" s="46"/>
      <c r="AK527" s="46"/>
      <c r="AL527" s="46"/>
    </row>
    <row r="528">
      <c r="A528" s="46"/>
      <c r="B528" s="46"/>
      <c r="C528" s="47"/>
      <c r="D528" s="47"/>
      <c r="E528" s="47"/>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c r="AE528" s="46"/>
      <c r="AF528" s="46"/>
      <c r="AG528" s="46"/>
      <c r="AH528" s="46"/>
      <c r="AI528" s="46"/>
      <c r="AJ528" s="46"/>
      <c r="AK528" s="46"/>
      <c r="AL528" s="46"/>
    </row>
    <row r="529">
      <c r="A529" s="46"/>
      <c r="B529" s="46"/>
      <c r="C529" s="47"/>
      <c r="D529" s="47"/>
      <c r="E529" s="47"/>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c r="AE529" s="46"/>
      <c r="AF529" s="46"/>
      <c r="AG529" s="46"/>
      <c r="AH529" s="46"/>
      <c r="AI529" s="46"/>
      <c r="AJ529" s="46"/>
      <c r="AK529" s="46"/>
      <c r="AL529" s="46"/>
    </row>
    <row r="530">
      <c r="A530" s="46"/>
      <c r="B530" s="46"/>
      <c r="C530" s="47"/>
      <c r="D530" s="47"/>
      <c r="E530" s="47"/>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c r="AE530" s="46"/>
      <c r="AF530" s="46"/>
      <c r="AG530" s="46"/>
      <c r="AH530" s="46"/>
      <c r="AI530" s="46"/>
      <c r="AJ530" s="46"/>
      <c r="AK530" s="46"/>
      <c r="AL530" s="46"/>
    </row>
    <row r="531">
      <c r="A531" s="46"/>
      <c r="B531" s="46"/>
      <c r="C531" s="47"/>
      <c r="D531" s="47"/>
      <c r="E531" s="47"/>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c r="AE531" s="46"/>
      <c r="AF531" s="46"/>
      <c r="AG531" s="46"/>
      <c r="AH531" s="46"/>
      <c r="AI531" s="46"/>
      <c r="AJ531" s="46"/>
      <c r="AK531" s="46"/>
      <c r="AL531" s="46"/>
    </row>
    <row r="532">
      <c r="A532" s="46"/>
      <c r="B532" s="46"/>
      <c r="C532" s="47"/>
      <c r="D532" s="47"/>
      <c r="E532" s="47"/>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c r="AE532" s="46"/>
      <c r="AF532" s="46"/>
      <c r="AG532" s="46"/>
      <c r="AH532" s="46"/>
      <c r="AI532" s="46"/>
      <c r="AJ532" s="46"/>
      <c r="AK532" s="46"/>
      <c r="AL532" s="46"/>
    </row>
    <row r="533">
      <c r="A533" s="46"/>
      <c r="B533" s="46"/>
      <c r="C533" s="47"/>
      <c r="D533" s="47"/>
      <c r="E533" s="47"/>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c r="AE533" s="46"/>
      <c r="AF533" s="46"/>
      <c r="AG533" s="46"/>
      <c r="AH533" s="46"/>
      <c r="AI533" s="46"/>
      <c r="AJ533" s="46"/>
      <c r="AK533" s="46"/>
      <c r="AL533" s="46"/>
    </row>
    <row r="534">
      <c r="A534" s="46"/>
      <c r="B534" s="46"/>
      <c r="C534" s="47"/>
      <c r="D534" s="47"/>
      <c r="E534" s="47"/>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c r="AE534" s="46"/>
      <c r="AF534" s="46"/>
      <c r="AG534" s="46"/>
      <c r="AH534" s="46"/>
      <c r="AI534" s="46"/>
      <c r="AJ534" s="46"/>
      <c r="AK534" s="46"/>
      <c r="AL534" s="46"/>
    </row>
    <row r="535">
      <c r="A535" s="46"/>
      <c r="B535" s="46"/>
      <c r="C535" s="47"/>
      <c r="D535" s="47"/>
      <c r="E535" s="47"/>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c r="AE535" s="46"/>
      <c r="AF535" s="46"/>
      <c r="AG535" s="46"/>
      <c r="AH535" s="46"/>
      <c r="AI535" s="46"/>
      <c r="AJ535" s="46"/>
      <c r="AK535" s="46"/>
      <c r="AL535" s="46"/>
    </row>
    <row r="536">
      <c r="A536" s="46"/>
      <c r="B536" s="46"/>
      <c r="C536" s="47"/>
      <c r="D536" s="47"/>
      <c r="E536" s="47"/>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c r="AE536" s="46"/>
      <c r="AF536" s="46"/>
      <c r="AG536" s="46"/>
      <c r="AH536" s="46"/>
      <c r="AI536" s="46"/>
      <c r="AJ536" s="46"/>
      <c r="AK536" s="46"/>
      <c r="AL536" s="46"/>
    </row>
    <row r="537">
      <c r="A537" s="46"/>
      <c r="B537" s="46"/>
      <c r="C537" s="47"/>
      <c r="D537" s="47"/>
      <c r="E537" s="47"/>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c r="AE537" s="46"/>
      <c r="AF537" s="46"/>
      <c r="AG537" s="46"/>
      <c r="AH537" s="46"/>
      <c r="AI537" s="46"/>
      <c r="AJ537" s="46"/>
      <c r="AK537" s="46"/>
      <c r="AL537" s="46"/>
    </row>
    <row r="538">
      <c r="A538" s="46"/>
      <c r="B538" s="46"/>
      <c r="C538" s="47"/>
      <c r="D538" s="47"/>
      <c r="E538" s="47"/>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c r="AE538" s="46"/>
      <c r="AF538" s="46"/>
      <c r="AG538" s="46"/>
      <c r="AH538" s="46"/>
      <c r="AI538" s="46"/>
      <c r="AJ538" s="46"/>
      <c r="AK538" s="46"/>
      <c r="AL538" s="46"/>
    </row>
    <row r="539">
      <c r="A539" s="46"/>
      <c r="B539" s="46"/>
      <c r="C539" s="47"/>
      <c r="D539" s="47"/>
      <c r="E539" s="47"/>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c r="AE539" s="46"/>
      <c r="AF539" s="46"/>
      <c r="AG539" s="46"/>
      <c r="AH539" s="46"/>
      <c r="AI539" s="46"/>
      <c r="AJ539" s="46"/>
      <c r="AK539" s="46"/>
      <c r="AL539" s="46"/>
    </row>
    <row r="540">
      <c r="A540" s="46"/>
      <c r="B540" s="46"/>
      <c r="C540" s="47"/>
      <c r="D540" s="47"/>
      <c r="E540" s="47"/>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c r="AE540" s="46"/>
      <c r="AF540" s="46"/>
      <c r="AG540" s="46"/>
      <c r="AH540" s="46"/>
      <c r="AI540" s="46"/>
      <c r="AJ540" s="46"/>
      <c r="AK540" s="46"/>
      <c r="AL540" s="46"/>
    </row>
    <row r="541">
      <c r="A541" s="46"/>
      <c r="B541" s="46"/>
      <c r="C541" s="47"/>
      <c r="D541" s="47"/>
      <c r="E541" s="47"/>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c r="AE541" s="46"/>
      <c r="AF541" s="46"/>
      <c r="AG541" s="46"/>
      <c r="AH541" s="46"/>
      <c r="AI541" s="46"/>
      <c r="AJ541" s="46"/>
      <c r="AK541" s="46"/>
      <c r="AL541" s="46"/>
    </row>
    <row r="542">
      <c r="A542" s="46"/>
      <c r="B542" s="46"/>
      <c r="C542" s="47"/>
      <c r="D542" s="47"/>
      <c r="E542" s="47"/>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c r="AE542" s="46"/>
      <c r="AF542" s="46"/>
      <c r="AG542" s="46"/>
      <c r="AH542" s="46"/>
      <c r="AI542" s="46"/>
      <c r="AJ542" s="46"/>
      <c r="AK542" s="46"/>
      <c r="AL542" s="46"/>
    </row>
    <row r="543">
      <c r="A543" s="46"/>
      <c r="B543" s="46"/>
      <c r="C543" s="47"/>
      <c r="D543" s="47"/>
      <c r="E543" s="47"/>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c r="AE543" s="46"/>
      <c r="AF543" s="46"/>
      <c r="AG543" s="46"/>
      <c r="AH543" s="46"/>
      <c r="AI543" s="46"/>
      <c r="AJ543" s="46"/>
      <c r="AK543" s="46"/>
      <c r="AL543" s="46"/>
    </row>
    <row r="544">
      <c r="A544" s="46"/>
      <c r="B544" s="46"/>
      <c r="C544" s="47"/>
      <c r="D544" s="47"/>
      <c r="E544" s="47"/>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c r="AE544" s="46"/>
      <c r="AF544" s="46"/>
      <c r="AG544" s="46"/>
      <c r="AH544" s="46"/>
      <c r="AI544" s="46"/>
      <c r="AJ544" s="46"/>
      <c r="AK544" s="46"/>
      <c r="AL544" s="46"/>
    </row>
    <row r="545">
      <c r="A545" s="46"/>
      <c r="B545" s="46"/>
      <c r="C545" s="47"/>
      <c r="D545" s="47"/>
      <c r="E545" s="47"/>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c r="AE545" s="46"/>
      <c r="AF545" s="46"/>
      <c r="AG545" s="46"/>
      <c r="AH545" s="46"/>
      <c r="AI545" s="46"/>
      <c r="AJ545" s="46"/>
      <c r="AK545" s="46"/>
      <c r="AL545" s="46"/>
    </row>
    <row r="546">
      <c r="A546" s="46"/>
      <c r="B546" s="46"/>
      <c r="C546" s="47"/>
      <c r="D546" s="47"/>
      <c r="E546" s="47"/>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c r="AE546" s="46"/>
      <c r="AF546" s="46"/>
      <c r="AG546" s="46"/>
      <c r="AH546" s="46"/>
      <c r="AI546" s="46"/>
      <c r="AJ546" s="46"/>
      <c r="AK546" s="46"/>
      <c r="AL546" s="46"/>
    </row>
    <row r="547">
      <c r="A547" s="46"/>
      <c r="B547" s="46"/>
      <c r="C547" s="47"/>
      <c r="D547" s="47"/>
      <c r="E547" s="47"/>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c r="AE547" s="46"/>
      <c r="AF547" s="46"/>
      <c r="AG547" s="46"/>
      <c r="AH547" s="46"/>
      <c r="AI547" s="46"/>
      <c r="AJ547" s="46"/>
      <c r="AK547" s="46"/>
      <c r="AL547" s="46"/>
    </row>
    <row r="548">
      <c r="A548" s="46"/>
      <c r="B548" s="46"/>
      <c r="C548" s="47"/>
      <c r="D548" s="47"/>
      <c r="E548" s="47"/>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c r="AE548" s="46"/>
      <c r="AF548" s="46"/>
      <c r="AG548" s="46"/>
      <c r="AH548" s="46"/>
      <c r="AI548" s="46"/>
      <c r="AJ548" s="46"/>
      <c r="AK548" s="46"/>
      <c r="AL548" s="46"/>
    </row>
    <row r="549">
      <c r="A549" s="46"/>
      <c r="B549" s="46"/>
      <c r="C549" s="47"/>
      <c r="D549" s="47"/>
      <c r="E549" s="47"/>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c r="AE549" s="46"/>
      <c r="AF549" s="46"/>
      <c r="AG549" s="46"/>
      <c r="AH549" s="46"/>
      <c r="AI549" s="46"/>
      <c r="AJ549" s="46"/>
      <c r="AK549" s="46"/>
      <c r="AL549" s="46"/>
    </row>
    <row r="550">
      <c r="A550" s="46"/>
      <c r="B550" s="46"/>
      <c r="C550" s="47"/>
      <c r="D550" s="47"/>
      <c r="E550" s="47"/>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c r="AE550" s="46"/>
      <c r="AF550" s="46"/>
      <c r="AG550" s="46"/>
      <c r="AH550" s="46"/>
      <c r="AI550" s="46"/>
      <c r="AJ550" s="46"/>
      <c r="AK550" s="46"/>
      <c r="AL550" s="46"/>
    </row>
    <row r="551">
      <c r="A551" s="46"/>
      <c r="B551" s="46"/>
      <c r="C551" s="47"/>
      <c r="D551" s="47"/>
      <c r="E551" s="47"/>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c r="AD551" s="46"/>
      <c r="AE551" s="46"/>
      <c r="AF551" s="46"/>
      <c r="AG551" s="46"/>
      <c r="AH551" s="46"/>
      <c r="AI551" s="46"/>
      <c r="AJ551" s="46"/>
      <c r="AK551" s="46"/>
      <c r="AL551" s="46"/>
    </row>
    <row r="552">
      <c r="A552" s="46"/>
      <c r="B552" s="46"/>
      <c r="C552" s="47"/>
      <c r="D552" s="47"/>
      <c r="E552" s="47"/>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c r="AE552" s="46"/>
      <c r="AF552" s="46"/>
      <c r="AG552" s="46"/>
      <c r="AH552" s="46"/>
      <c r="AI552" s="46"/>
      <c r="AJ552" s="46"/>
      <c r="AK552" s="46"/>
      <c r="AL552" s="46"/>
    </row>
    <row r="553">
      <c r="A553" s="46"/>
      <c r="B553" s="46"/>
      <c r="C553" s="47"/>
      <c r="D553" s="47"/>
      <c r="E553" s="47"/>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c r="AD553" s="46"/>
      <c r="AE553" s="46"/>
      <c r="AF553" s="46"/>
      <c r="AG553" s="46"/>
      <c r="AH553" s="46"/>
      <c r="AI553" s="46"/>
      <c r="AJ553" s="46"/>
      <c r="AK553" s="46"/>
      <c r="AL553" s="46"/>
    </row>
    <row r="554">
      <c r="A554" s="46"/>
      <c r="B554" s="46"/>
      <c r="C554" s="47"/>
      <c r="D554" s="47"/>
      <c r="E554" s="47"/>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c r="AD554" s="46"/>
      <c r="AE554" s="46"/>
      <c r="AF554" s="46"/>
      <c r="AG554" s="46"/>
      <c r="AH554" s="46"/>
      <c r="AI554" s="46"/>
      <c r="AJ554" s="46"/>
      <c r="AK554" s="46"/>
      <c r="AL554" s="46"/>
    </row>
    <row r="555">
      <c r="A555" s="46"/>
      <c r="B555" s="46"/>
      <c r="C555" s="47"/>
      <c r="D555" s="47"/>
      <c r="E555" s="47"/>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c r="AD555" s="46"/>
      <c r="AE555" s="46"/>
      <c r="AF555" s="46"/>
      <c r="AG555" s="46"/>
      <c r="AH555" s="46"/>
      <c r="AI555" s="46"/>
      <c r="AJ555" s="46"/>
      <c r="AK555" s="46"/>
      <c r="AL555" s="46"/>
    </row>
    <row r="556">
      <c r="A556" s="46"/>
      <c r="B556" s="46"/>
      <c r="C556" s="47"/>
      <c r="D556" s="47"/>
      <c r="E556" s="47"/>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c r="AD556" s="46"/>
      <c r="AE556" s="46"/>
      <c r="AF556" s="46"/>
      <c r="AG556" s="46"/>
      <c r="AH556" s="46"/>
      <c r="AI556" s="46"/>
      <c r="AJ556" s="46"/>
      <c r="AK556" s="46"/>
      <c r="AL556" s="46"/>
    </row>
    <row r="557">
      <c r="A557" s="46"/>
      <c r="B557" s="46"/>
      <c r="C557" s="47"/>
      <c r="D557" s="47"/>
      <c r="E557" s="47"/>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c r="AD557" s="46"/>
      <c r="AE557" s="46"/>
      <c r="AF557" s="46"/>
      <c r="AG557" s="46"/>
      <c r="AH557" s="46"/>
      <c r="AI557" s="46"/>
      <c r="AJ557" s="46"/>
      <c r="AK557" s="46"/>
      <c r="AL557" s="46"/>
    </row>
    <row r="558">
      <c r="A558" s="46"/>
      <c r="B558" s="46"/>
      <c r="C558" s="47"/>
      <c r="D558" s="47"/>
      <c r="E558" s="47"/>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c r="AD558" s="46"/>
      <c r="AE558" s="46"/>
      <c r="AF558" s="46"/>
      <c r="AG558" s="46"/>
      <c r="AH558" s="46"/>
      <c r="AI558" s="46"/>
      <c r="AJ558" s="46"/>
      <c r="AK558" s="46"/>
      <c r="AL558" s="46"/>
    </row>
    <row r="559">
      <c r="A559" s="46"/>
      <c r="B559" s="46"/>
      <c r="C559" s="47"/>
      <c r="D559" s="47"/>
      <c r="E559" s="47"/>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c r="AD559" s="46"/>
      <c r="AE559" s="46"/>
      <c r="AF559" s="46"/>
      <c r="AG559" s="46"/>
      <c r="AH559" s="46"/>
      <c r="AI559" s="46"/>
      <c r="AJ559" s="46"/>
      <c r="AK559" s="46"/>
      <c r="AL559" s="46"/>
    </row>
    <row r="560">
      <c r="A560" s="46"/>
      <c r="B560" s="46"/>
      <c r="C560" s="47"/>
      <c r="D560" s="47"/>
      <c r="E560" s="47"/>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c r="AD560" s="46"/>
      <c r="AE560" s="46"/>
      <c r="AF560" s="46"/>
      <c r="AG560" s="46"/>
      <c r="AH560" s="46"/>
      <c r="AI560" s="46"/>
      <c r="AJ560" s="46"/>
      <c r="AK560" s="46"/>
      <c r="AL560" s="46"/>
    </row>
    <row r="561">
      <c r="A561" s="46"/>
      <c r="B561" s="46"/>
      <c r="C561" s="47"/>
      <c r="D561" s="47"/>
      <c r="E561" s="47"/>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c r="AD561" s="46"/>
      <c r="AE561" s="46"/>
      <c r="AF561" s="46"/>
      <c r="AG561" s="46"/>
      <c r="AH561" s="46"/>
      <c r="AI561" s="46"/>
      <c r="AJ561" s="46"/>
      <c r="AK561" s="46"/>
      <c r="AL561" s="46"/>
    </row>
    <row r="562">
      <c r="A562" s="46"/>
      <c r="B562" s="46"/>
      <c r="C562" s="47"/>
      <c r="D562" s="47"/>
      <c r="E562" s="47"/>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c r="AD562" s="46"/>
      <c r="AE562" s="46"/>
      <c r="AF562" s="46"/>
      <c r="AG562" s="46"/>
      <c r="AH562" s="46"/>
      <c r="AI562" s="46"/>
      <c r="AJ562" s="46"/>
      <c r="AK562" s="46"/>
      <c r="AL562" s="46"/>
    </row>
    <row r="563">
      <c r="A563" s="46"/>
      <c r="B563" s="46"/>
      <c r="C563" s="47"/>
      <c r="D563" s="47"/>
      <c r="E563" s="47"/>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c r="AD563" s="46"/>
      <c r="AE563" s="46"/>
      <c r="AF563" s="46"/>
      <c r="AG563" s="46"/>
      <c r="AH563" s="46"/>
      <c r="AI563" s="46"/>
      <c r="AJ563" s="46"/>
      <c r="AK563" s="46"/>
      <c r="AL563" s="46"/>
    </row>
    <row r="564">
      <c r="A564" s="46"/>
      <c r="B564" s="46"/>
      <c r="C564" s="47"/>
      <c r="D564" s="47"/>
      <c r="E564" s="47"/>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c r="AD564" s="46"/>
      <c r="AE564" s="46"/>
      <c r="AF564" s="46"/>
      <c r="AG564" s="46"/>
      <c r="AH564" s="46"/>
      <c r="AI564" s="46"/>
      <c r="AJ564" s="46"/>
      <c r="AK564" s="46"/>
      <c r="AL564" s="46"/>
    </row>
    <row r="565">
      <c r="A565" s="46"/>
      <c r="B565" s="46"/>
      <c r="C565" s="47"/>
      <c r="D565" s="47"/>
      <c r="E565" s="47"/>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c r="AE565" s="46"/>
      <c r="AF565" s="46"/>
      <c r="AG565" s="46"/>
      <c r="AH565" s="46"/>
      <c r="AI565" s="46"/>
      <c r="AJ565" s="46"/>
      <c r="AK565" s="46"/>
      <c r="AL565" s="46"/>
    </row>
    <row r="566">
      <c r="A566" s="46"/>
      <c r="B566" s="46"/>
      <c r="C566" s="47"/>
      <c r="D566" s="47"/>
      <c r="E566" s="47"/>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c r="AD566" s="46"/>
      <c r="AE566" s="46"/>
      <c r="AF566" s="46"/>
      <c r="AG566" s="46"/>
      <c r="AH566" s="46"/>
      <c r="AI566" s="46"/>
      <c r="AJ566" s="46"/>
      <c r="AK566" s="46"/>
      <c r="AL566" s="46"/>
    </row>
    <row r="567">
      <c r="A567" s="46"/>
      <c r="B567" s="46"/>
      <c r="C567" s="47"/>
      <c r="D567" s="47"/>
      <c r="E567" s="47"/>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c r="AE567" s="46"/>
      <c r="AF567" s="46"/>
      <c r="AG567" s="46"/>
      <c r="AH567" s="46"/>
      <c r="AI567" s="46"/>
      <c r="AJ567" s="46"/>
      <c r="AK567" s="46"/>
      <c r="AL567" s="46"/>
    </row>
    <row r="568">
      <c r="A568" s="46"/>
      <c r="B568" s="46"/>
      <c r="C568" s="47"/>
      <c r="D568" s="47"/>
      <c r="E568" s="47"/>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c r="AD568" s="46"/>
      <c r="AE568" s="46"/>
      <c r="AF568" s="46"/>
      <c r="AG568" s="46"/>
      <c r="AH568" s="46"/>
      <c r="AI568" s="46"/>
      <c r="AJ568" s="46"/>
      <c r="AK568" s="46"/>
      <c r="AL568" s="46"/>
    </row>
    <row r="569">
      <c r="A569" s="46"/>
      <c r="B569" s="46"/>
      <c r="C569" s="47"/>
      <c r="D569" s="47"/>
      <c r="E569" s="47"/>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c r="AE569" s="46"/>
      <c r="AF569" s="46"/>
      <c r="AG569" s="46"/>
      <c r="AH569" s="46"/>
      <c r="AI569" s="46"/>
      <c r="AJ569" s="46"/>
      <c r="AK569" s="46"/>
      <c r="AL569" s="46"/>
    </row>
    <row r="570">
      <c r="A570" s="46"/>
      <c r="B570" s="46"/>
      <c r="C570" s="47"/>
      <c r="D570" s="47"/>
      <c r="E570" s="47"/>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c r="AD570" s="46"/>
      <c r="AE570" s="46"/>
      <c r="AF570" s="46"/>
      <c r="AG570" s="46"/>
      <c r="AH570" s="46"/>
      <c r="AI570" s="46"/>
      <c r="AJ570" s="46"/>
      <c r="AK570" s="46"/>
      <c r="AL570" s="46"/>
    </row>
    <row r="571">
      <c r="A571" s="46"/>
      <c r="B571" s="46"/>
      <c r="C571" s="47"/>
      <c r="D571" s="47"/>
      <c r="E571" s="47"/>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c r="AE571" s="46"/>
      <c r="AF571" s="46"/>
      <c r="AG571" s="46"/>
      <c r="AH571" s="46"/>
      <c r="AI571" s="46"/>
      <c r="AJ571" s="46"/>
      <c r="AK571" s="46"/>
      <c r="AL571" s="46"/>
    </row>
    <row r="572">
      <c r="A572" s="46"/>
      <c r="B572" s="46"/>
      <c r="C572" s="47"/>
      <c r="D572" s="47"/>
      <c r="E572" s="47"/>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c r="AD572" s="46"/>
      <c r="AE572" s="46"/>
      <c r="AF572" s="46"/>
      <c r="AG572" s="46"/>
      <c r="AH572" s="46"/>
      <c r="AI572" s="46"/>
      <c r="AJ572" s="46"/>
      <c r="AK572" s="46"/>
      <c r="AL572" s="46"/>
    </row>
    <row r="573">
      <c r="A573" s="46"/>
      <c r="B573" s="46"/>
      <c r="C573" s="47"/>
      <c r="D573" s="47"/>
      <c r="E573" s="47"/>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c r="AE573" s="46"/>
      <c r="AF573" s="46"/>
      <c r="AG573" s="46"/>
      <c r="AH573" s="46"/>
      <c r="AI573" s="46"/>
      <c r="AJ573" s="46"/>
      <c r="AK573" s="46"/>
      <c r="AL573" s="46"/>
    </row>
    <row r="574">
      <c r="A574" s="46"/>
      <c r="B574" s="46"/>
      <c r="C574" s="47"/>
      <c r="D574" s="47"/>
      <c r="E574" s="47"/>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c r="AD574" s="46"/>
      <c r="AE574" s="46"/>
      <c r="AF574" s="46"/>
      <c r="AG574" s="46"/>
      <c r="AH574" s="46"/>
      <c r="AI574" s="46"/>
      <c r="AJ574" s="46"/>
      <c r="AK574" s="46"/>
      <c r="AL574" s="46"/>
    </row>
    <row r="575">
      <c r="A575" s="46"/>
      <c r="B575" s="46"/>
      <c r="C575" s="47"/>
      <c r="D575" s="47"/>
      <c r="E575" s="47"/>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c r="AD575" s="46"/>
      <c r="AE575" s="46"/>
      <c r="AF575" s="46"/>
      <c r="AG575" s="46"/>
      <c r="AH575" s="46"/>
      <c r="AI575" s="46"/>
      <c r="AJ575" s="46"/>
      <c r="AK575" s="46"/>
      <c r="AL575" s="46"/>
    </row>
    <row r="576">
      <c r="A576" s="46"/>
      <c r="B576" s="46"/>
      <c r="C576" s="47"/>
      <c r="D576" s="47"/>
      <c r="E576" s="47"/>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c r="AD576" s="46"/>
      <c r="AE576" s="46"/>
      <c r="AF576" s="46"/>
      <c r="AG576" s="46"/>
      <c r="AH576" s="46"/>
      <c r="AI576" s="46"/>
      <c r="AJ576" s="46"/>
      <c r="AK576" s="46"/>
      <c r="AL576" s="46"/>
    </row>
    <row r="577">
      <c r="A577" s="46"/>
      <c r="B577" s="46"/>
      <c r="C577" s="47"/>
      <c r="D577" s="47"/>
      <c r="E577" s="47"/>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c r="AD577" s="46"/>
      <c r="AE577" s="46"/>
      <c r="AF577" s="46"/>
      <c r="AG577" s="46"/>
      <c r="AH577" s="46"/>
      <c r="AI577" s="46"/>
      <c r="AJ577" s="46"/>
      <c r="AK577" s="46"/>
      <c r="AL577" s="46"/>
    </row>
    <row r="578">
      <c r="A578" s="46"/>
      <c r="B578" s="46"/>
      <c r="C578" s="47"/>
      <c r="D578" s="47"/>
      <c r="E578" s="47"/>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c r="AD578" s="46"/>
      <c r="AE578" s="46"/>
      <c r="AF578" s="46"/>
      <c r="AG578" s="46"/>
      <c r="AH578" s="46"/>
      <c r="AI578" s="46"/>
      <c r="AJ578" s="46"/>
      <c r="AK578" s="46"/>
      <c r="AL578" s="46"/>
    </row>
    <row r="579">
      <c r="A579" s="46"/>
      <c r="B579" s="46"/>
      <c r="C579" s="47"/>
      <c r="D579" s="47"/>
      <c r="E579" s="47"/>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c r="AD579" s="46"/>
      <c r="AE579" s="46"/>
      <c r="AF579" s="46"/>
      <c r="AG579" s="46"/>
      <c r="AH579" s="46"/>
      <c r="AI579" s="46"/>
      <c r="AJ579" s="46"/>
      <c r="AK579" s="46"/>
      <c r="AL579" s="46"/>
    </row>
    <row r="580">
      <c r="A580" s="46"/>
      <c r="B580" s="46"/>
      <c r="C580" s="47"/>
      <c r="D580" s="47"/>
      <c r="E580" s="47"/>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c r="AD580" s="46"/>
      <c r="AE580" s="46"/>
      <c r="AF580" s="46"/>
      <c r="AG580" s="46"/>
      <c r="AH580" s="46"/>
      <c r="AI580" s="46"/>
      <c r="AJ580" s="46"/>
      <c r="AK580" s="46"/>
      <c r="AL580" s="46"/>
    </row>
    <row r="581">
      <c r="A581" s="46"/>
      <c r="B581" s="46"/>
      <c r="C581" s="47"/>
      <c r="D581" s="47"/>
      <c r="E581" s="47"/>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c r="AD581" s="46"/>
      <c r="AE581" s="46"/>
      <c r="AF581" s="46"/>
      <c r="AG581" s="46"/>
      <c r="AH581" s="46"/>
      <c r="AI581" s="46"/>
      <c r="AJ581" s="46"/>
      <c r="AK581" s="46"/>
      <c r="AL581" s="46"/>
    </row>
    <row r="582">
      <c r="A582" s="46"/>
      <c r="B582" s="46"/>
      <c r="C582" s="47"/>
      <c r="D582" s="47"/>
      <c r="E582" s="47"/>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c r="AD582" s="46"/>
      <c r="AE582" s="46"/>
      <c r="AF582" s="46"/>
      <c r="AG582" s="46"/>
      <c r="AH582" s="46"/>
      <c r="AI582" s="46"/>
      <c r="AJ582" s="46"/>
      <c r="AK582" s="46"/>
      <c r="AL582" s="46"/>
    </row>
    <row r="583">
      <c r="A583" s="46"/>
      <c r="B583" s="46"/>
      <c r="C583" s="47"/>
      <c r="D583" s="47"/>
      <c r="E583" s="47"/>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c r="AD583" s="46"/>
      <c r="AE583" s="46"/>
      <c r="AF583" s="46"/>
      <c r="AG583" s="46"/>
      <c r="AH583" s="46"/>
      <c r="AI583" s="46"/>
      <c r="AJ583" s="46"/>
      <c r="AK583" s="46"/>
      <c r="AL583" s="46"/>
    </row>
    <row r="584">
      <c r="A584" s="46"/>
      <c r="B584" s="46"/>
      <c r="C584" s="47"/>
      <c r="D584" s="47"/>
      <c r="E584" s="47"/>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c r="AD584" s="46"/>
      <c r="AE584" s="46"/>
      <c r="AF584" s="46"/>
      <c r="AG584" s="46"/>
      <c r="AH584" s="46"/>
      <c r="AI584" s="46"/>
      <c r="AJ584" s="46"/>
      <c r="AK584" s="46"/>
      <c r="AL584" s="46"/>
    </row>
    <row r="585">
      <c r="A585" s="46"/>
      <c r="B585" s="46"/>
      <c r="C585" s="47"/>
      <c r="D585" s="47"/>
      <c r="E585" s="47"/>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c r="AD585" s="46"/>
      <c r="AE585" s="46"/>
      <c r="AF585" s="46"/>
      <c r="AG585" s="46"/>
      <c r="AH585" s="46"/>
      <c r="AI585" s="46"/>
      <c r="AJ585" s="46"/>
      <c r="AK585" s="46"/>
      <c r="AL585" s="46"/>
    </row>
    <row r="586">
      <c r="A586" s="46"/>
      <c r="B586" s="46"/>
      <c r="C586" s="47"/>
      <c r="D586" s="47"/>
      <c r="E586" s="47"/>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c r="AD586" s="46"/>
      <c r="AE586" s="46"/>
      <c r="AF586" s="46"/>
      <c r="AG586" s="46"/>
      <c r="AH586" s="46"/>
      <c r="AI586" s="46"/>
      <c r="AJ586" s="46"/>
      <c r="AK586" s="46"/>
      <c r="AL586" s="46"/>
    </row>
    <row r="587">
      <c r="A587" s="46"/>
      <c r="B587" s="46"/>
      <c r="C587" s="47"/>
      <c r="D587" s="47"/>
      <c r="E587" s="47"/>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c r="AD587" s="46"/>
      <c r="AE587" s="46"/>
      <c r="AF587" s="46"/>
      <c r="AG587" s="46"/>
      <c r="AH587" s="46"/>
      <c r="AI587" s="46"/>
      <c r="AJ587" s="46"/>
      <c r="AK587" s="46"/>
      <c r="AL587" s="46"/>
    </row>
    <row r="588">
      <c r="A588" s="46"/>
      <c r="B588" s="46"/>
      <c r="C588" s="47"/>
      <c r="D588" s="47"/>
      <c r="E588" s="47"/>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c r="AD588" s="46"/>
      <c r="AE588" s="46"/>
      <c r="AF588" s="46"/>
      <c r="AG588" s="46"/>
      <c r="AH588" s="46"/>
      <c r="AI588" s="46"/>
      <c r="AJ588" s="46"/>
      <c r="AK588" s="46"/>
      <c r="AL588" s="46"/>
    </row>
    <row r="589">
      <c r="A589" s="46"/>
      <c r="B589" s="46"/>
      <c r="C589" s="47"/>
      <c r="D589" s="47"/>
      <c r="E589" s="47"/>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c r="AD589" s="46"/>
      <c r="AE589" s="46"/>
      <c r="AF589" s="46"/>
      <c r="AG589" s="46"/>
      <c r="AH589" s="46"/>
      <c r="AI589" s="46"/>
      <c r="AJ589" s="46"/>
      <c r="AK589" s="46"/>
      <c r="AL589" s="46"/>
    </row>
    <row r="590">
      <c r="A590" s="46"/>
      <c r="B590" s="46"/>
      <c r="C590" s="47"/>
      <c r="D590" s="47"/>
      <c r="E590" s="47"/>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c r="AD590" s="46"/>
      <c r="AE590" s="46"/>
      <c r="AF590" s="46"/>
      <c r="AG590" s="46"/>
      <c r="AH590" s="46"/>
      <c r="AI590" s="46"/>
      <c r="AJ590" s="46"/>
      <c r="AK590" s="46"/>
      <c r="AL590" s="46"/>
    </row>
    <row r="591">
      <c r="A591" s="46"/>
      <c r="B591" s="46"/>
      <c r="C591" s="47"/>
      <c r="D591" s="47"/>
      <c r="E591" s="47"/>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c r="AD591" s="46"/>
      <c r="AE591" s="46"/>
      <c r="AF591" s="46"/>
      <c r="AG591" s="46"/>
      <c r="AH591" s="46"/>
      <c r="AI591" s="46"/>
      <c r="AJ591" s="46"/>
      <c r="AK591" s="46"/>
      <c r="AL591" s="46"/>
    </row>
    <row r="592">
      <c r="A592" s="46"/>
      <c r="B592" s="46"/>
      <c r="C592" s="47"/>
      <c r="D592" s="47"/>
      <c r="E592" s="47"/>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c r="AD592" s="46"/>
      <c r="AE592" s="46"/>
      <c r="AF592" s="46"/>
      <c r="AG592" s="46"/>
      <c r="AH592" s="46"/>
      <c r="AI592" s="46"/>
      <c r="AJ592" s="46"/>
      <c r="AK592" s="46"/>
      <c r="AL592" s="46"/>
    </row>
    <row r="593">
      <c r="A593" s="46"/>
      <c r="B593" s="46"/>
      <c r="C593" s="47"/>
      <c r="D593" s="47"/>
      <c r="E593" s="47"/>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c r="AD593" s="46"/>
      <c r="AE593" s="46"/>
      <c r="AF593" s="46"/>
      <c r="AG593" s="46"/>
      <c r="AH593" s="46"/>
      <c r="AI593" s="46"/>
      <c r="AJ593" s="46"/>
      <c r="AK593" s="46"/>
      <c r="AL593" s="46"/>
    </row>
    <row r="594">
      <c r="A594" s="46"/>
      <c r="B594" s="46"/>
      <c r="C594" s="47"/>
      <c r="D594" s="47"/>
      <c r="E594" s="47"/>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c r="AD594" s="46"/>
      <c r="AE594" s="46"/>
      <c r="AF594" s="46"/>
      <c r="AG594" s="46"/>
      <c r="AH594" s="46"/>
      <c r="AI594" s="46"/>
      <c r="AJ594" s="46"/>
      <c r="AK594" s="46"/>
      <c r="AL594" s="46"/>
    </row>
    <row r="595">
      <c r="A595" s="46"/>
      <c r="B595" s="46"/>
      <c r="C595" s="47"/>
      <c r="D595" s="47"/>
      <c r="E595" s="47"/>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c r="AD595" s="46"/>
      <c r="AE595" s="46"/>
      <c r="AF595" s="46"/>
      <c r="AG595" s="46"/>
      <c r="AH595" s="46"/>
      <c r="AI595" s="46"/>
      <c r="AJ595" s="46"/>
      <c r="AK595" s="46"/>
      <c r="AL595" s="46"/>
    </row>
    <row r="596">
      <c r="A596" s="46"/>
      <c r="B596" s="46"/>
      <c r="C596" s="47"/>
      <c r="D596" s="47"/>
      <c r="E596" s="47"/>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c r="AD596" s="46"/>
      <c r="AE596" s="46"/>
      <c r="AF596" s="46"/>
      <c r="AG596" s="46"/>
      <c r="AH596" s="46"/>
      <c r="AI596" s="46"/>
      <c r="AJ596" s="46"/>
      <c r="AK596" s="46"/>
      <c r="AL596" s="46"/>
    </row>
    <row r="597">
      <c r="A597" s="46"/>
      <c r="B597" s="46"/>
      <c r="C597" s="47"/>
      <c r="D597" s="47"/>
      <c r="E597" s="47"/>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c r="AD597" s="46"/>
      <c r="AE597" s="46"/>
      <c r="AF597" s="46"/>
      <c r="AG597" s="46"/>
      <c r="AH597" s="46"/>
      <c r="AI597" s="46"/>
      <c r="AJ597" s="46"/>
      <c r="AK597" s="46"/>
      <c r="AL597" s="46"/>
    </row>
    <row r="598">
      <c r="A598" s="46"/>
      <c r="B598" s="46"/>
      <c r="C598" s="47"/>
      <c r="D598" s="47"/>
      <c r="E598" s="47"/>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c r="AD598" s="46"/>
      <c r="AE598" s="46"/>
      <c r="AF598" s="46"/>
      <c r="AG598" s="46"/>
      <c r="AH598" s="46"/>
      <c r="AI598" s="46"/>
      <c r="AJ598" s="46"/>
      <c r="AK598" s="46"/>
      <c r="AL598" s="46"/>
    </row>
    <row r="599">
      <c r="A599" s="46"/>
      <c r="B599" s="46"/>
      <c r="C599" s="47"/>
      <c r="D599" s="47"/>
      <c r="E599" s="47"/>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c r="AD599" s="46"/>
      <c r="AE599" s="46"/>
      <c r="AF599" s="46"/>
      <c r="AG599" s="46"/>
      <c r="AH599" s="46"/>
      <c r="AI599" s="46"/>
      <c r="AJ599" s="46"/>
      <c r="AK599" s="46"/>
      <c r="AL599" s="46"/>
    </row>
    <row r="600">
      <c r="A600" s="46"/>
      <c r="B600" s="46"/>
      <c r="C600" s="47"/>
      <c r="D600" s="47"/>
      <c r="E600" s="47"/>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c r="AD600" s="46"/>
      <c r="AE600" s="46"/>
      <c r="AF600" s="46"/>
      <c r="AG600" s="46"/>
      <c r="AH600" s="46"/>
      <c r="AI600" s="46"/>
      <c r="AJ600" s="46"/>
      <c r="AK600" s="46"/>
      <c r="AL600" s="46"/>
    </row>
    <row r="601">
      <c r="A601" s="46"/>
      <c r="B601" s="46"/>
      <c r="C601" s="47"/>
      <c r="D601" s="47"/>
      <c r="E601" s="47"/>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c r="AD601" s="46"/>
      <c r="AE601" s="46"/>
      <c r="AF601" s="46"/>
      <c r="AG601" s="46"/>
      <c r="AH601" s="46"/>
      <c r="AI601" s="46"/>
      <c r="AJ601" s="46"/>
      <c r="AK601" s="46"/>
      <c r="AL601" s="46"/>
    </row>
    <row r="602">
      <c r="A602" s="46"/>
      <c r="B602" s="46"/>
      <c r="C602" s="47"/>
      <c r="D602" s="47"/>
      <c r="E602" s="47"/>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c r="AD602" s="46"/>
      <c r="AE602" s="46"/>
      <c r="AF602" s="46"/>
      <c r="AG602" s="46"/>
      <c r="AH602" s="46"/>
      <c r="AI602" s="46"/>
      <c r="AJ602" s="46"/>
      <c r="AK602" s="46"/>
      <c r="AL602" s="46"/>
    </row>
    <row r="603">
      <c r="A603" s="46"/>
      <c r="B603" s="46"/>
      <c r="C603" s="47"/>
      <c r="D603" s="47"/>
      <c r="E603" s="47"/>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c r="AD603" s="46"/>
      <c r="AE603" s="46"/>
      <c r="AF603" s="46"/>
      <c r="AG603" s="46"/>
      <c r="AH603" s="46"/>
      <c r="AI603" s="46"/>
      <c r="AJ603" s="46"/>
      <c r="AK603" s="46"/>
      <c r="AL603" s="46"/>
    </row>
    <row r="604">
      <c r="A604" s="46"/>
      <c r="B604" s="46"/>
      <c r="C604" s="47"/>
      <c r="D604" s="47"/>
      <c r="E604" s="47"/>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c r="AD604" s="46"/>
      <c r="AE604" s="46"/>
      <c r="AF604" s="46"/>
      <c r="AG604" s="46"/>
      <c r="AH604" s="46"/>
      <c r="AI604" s="46"/>
      <c r="AJ604" s="46"/>
      <c r="AK604" s="46"/>
      <c r="AL604" s="46"/>
    </row>
    <row r="605">
      <c r="A605" s="46"/>
      <c r="B605" s="46"/>
      <c r="C605" s="47"/>
      <c r="D605" s="47"/>
      <c r="E605" s="47"/>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c r="AD605" s="46"/>
      <c r="AE605" s="46"/>
      <c r="AF605" s="46"/>
      <c r="AG605" s="46"/>
      <c r="AH605" s="46"/>
      <c r="AI605" s="46"/>
      <c r="AJ605" s="46"/>
      <c r="AK605" s="46"/>
      <c r="AL605" s="46"/>
    </row>
    <row r="606">
      <c r="A606" s="46"/>
      <c r="B606" s="46"/>
      <c r="C606" s="47"/>
      <c r="D606" s="47"/>
      <c r="E606" s="47"/>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c r="AD606" s="46"/>
      <c r="AE606" s="46"/>
      <c r="AF606" s="46"/>
      <c r="AG606" s="46"/>
      <c r="AH606" s="46"/>
      <c r="AI606" s="46"/>
      <c r="AJ606" s="46"/>
      <c r="AK606" s="46"/>
      <c r="AL606" s="46"/>
    </row>
    <row r="607">
      <c r="A607" s="46"/>
      <c r="B607" s="46"/>
      <c r="C607" s="47"/>
      <c r="D607" s="47"/>
      <c r="E607" s="47"/>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c r="AD607" s="46"/>
      <c r="AE607" s="46"/>
      <c r="AF607" s="46"/>
      <c r="AG607" s="46"/>
      <c r="AH607" s="46"/>
      <c r="AI607" s="46"/>
      <c r="AJ607" s="46"/>
      <c r="AK607" s="46"/>
      <c r="AL607" s="46"/>
    </row>
    <row r="608">
      <c r="A608" s="46"/>
      <c r="B608" s="46"/>
      <c r="C608" s="47"/>
      <c r="D608" s="47"/>
      <c r="E608" s="47"/>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c r="AD608" s="46"/>
      <c r="AE608" s="46"/>
      <c r="AF608" s="46"/>
      <c r="AG608" s="46"/>
      <c r="AH608" s="46"/>
      <c r="AI608" s="46"/>
      <c r="AJ608" s="46"/>
      <c r="AK608" s="46"/>
      <c r="AL608" s="46"/>
    </row>
    <row r="609">
      <c r="A609" s="46"/>
      <c r="B609" s="46"/>
      <c r="C609" s="47"/>
      <c r="D609" s="47"/>
      <c r="E609" s="47"/>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c r="AD609" s="46"/>
      <c r="AE609" s="46"/>
      <c r="AF609" s="46"/>
      <c r="AG609" s="46"/>
      <c r="AH609" s="46"/>
      <c r="AI609" s="46"/>
      <c r="AJ609" s="46"/>
      <c r="AK609" s="46"/>
      <c r="AL609" s="46"/>
    </row>
    <row r="610">
      <c r="A610" s="46"/>
      <c r="B610" s="46"/>
      <c r="C610" s="47"/>
      <c r="D610" s="47"/>
      <c r="E610" s="47"/>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c r="AD610" s="46"/>
      <c r="AE610" s="46"/>
      <c r="AF610" s="46"/>
      <c r="AG610" s="46"/>
      <c r="AH610" s="46"/>
      <c r="AI610" s="46"/>
      <c r="AJ610" s="46"/>
      <c r="AK610" s="46"/>
      <c r="AL610" s="46"/>
    </row>
    <row r="611">
      <c r="A611" s="46"/>
      <c r="B611" s="46"/>
      <c r="C611" s="47"/>
      <c r="D611" s="47"/>
      <c r="E611" s="47"/>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c r="AD611" s="46"/>
      <c r="AE611" s="46"/>
      <c r="AF611" s="46"/>
      <c r="AG611" s="46"/>
      <c r="AH611" s="46"/>
      <c r="AI611" s="46"/>
      <c r="AJ611" s="46"/>
      <c r="AK611" s="46"/>
      <c r="AL611" s="46"/>
    </row>
    <row r="612">
      <c r="A612" s="46"/>
      <c r="B612" s="46"/>
      <c r="C612" s="47"/>
      <c r="D612" s="47"/>
      <c r="E612" s="47"/>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c r="AD612" s="46"/>
      <c r="AE612" s="46"/>
      <c r="AF612" s="46"/>
      <c r="AG612" s="46"/>
      <c r="AH612" s="46"/>
      <c r="AI612" s="46"/>
      <c r="AJ612" s="46"/>
      <c r="AK612" s="46"/>
      <c r="AL612" s="46"/>
    </row>
    <row r="613">
      <c r="A613" s="46"/>
      <c r="B613" s="46"/>
      <c r="C613" s="47"/>
      <c r="D613" s="47"/>
      <c r="E613" s="47"/>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c r="AD613" s="46"/>
      <c r="AE613" s="46"/>
      <c r="AF613" s="46"/>
      <c r="AG613" s="46"/>
      <c r="AH613" s="46"/>
      <c r="AI613" s="46"/>
      <c r="AJ613" s="46"/>
      <c r="AK613" s="46"/>
      <c r="AL613" s="46"/>
    </row>
    <row r="614">
      <c r="A614" s="46"/>
      <c r="B614" s="46"/>
      <c r="C614" s="47"/>
      <c r="D614" s="47"/>
      <c r="E614" s="47"/>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c r="AD614" s="46"/>
      <c r="AE614" s="46"/>
      <c r="AF614" s="46"/>
      <c r="AG614" s="46"/>
      <c r="AH614" s="46"/>
      <c r="AI614" s="46"/>
      <c r="AJ614" s="46"/>
      <c r="AK614" s="46"/>
      <c r="AL614" s="46"/>
    </row>
    <row r="615">
      <c r="A615" s="46"/>
      <c r="B615" s="46"/>
      <c r="C615" s="47"/>
      <c r="D615" s="47"/>
      <c r="E615" s="47"/>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c r="AD615" s="46"/>
      <c r="AE615" s="46"/>
      <c r="AF615" s="46"/>
      <c r="AG615" s="46"/>
      <c r="AH615" s="46"/>
      <c r="AI615" s="46"/>
      <c r="AJ615" s="46"/>
      <c r="AK615" s="46"/>
      <c r="AL615" s="46"/>
    </row>
    <row r="616">
      <c r="A616" s="46"/>
      <c r="B616" s="46"/>
      <c r="C616" s="47"/>
      <c r="D616" s="47"/>
      <c r="E616" s="47"/>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c r="AD616" s="46"/>
      <c r="AE616" s="46"/>
      <c r="AF616" s="46"/>
      <c r="AG616" s="46"/>
      <c r="AH616" s="46"/>
      <c r="AI616" s="46"/>
      <c r="AJ616" s="46"/>
      <c r="AK616" s="46"/>
      <c r="AL616" s="46"/>
    </row>
    <row r="617">
      <c r="A617" s="46"/>
      <c r="B617" s="46"/>
      <c r="C617" s="47"/>
      <c r="D617" s="47"/>
      <c r="E617" s="47"/>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c r="AD617" s="46"/>
      <c r="AE617" s="46"/>
      <c r="AF617" s="46"/>
      <c r="AG617" s="46"/>
      <c r="AH617" s="46"/>
      <c r="AI617" s="46"/>
      <c r="AJ617" s="46"/>
      <c r="AK617" s="46"/>
      <c r="AL617" s="46"/>
    </row>
    <row r="618">
      <c r="A618" s="46"/>
      <c r="B618" s="46"/>
      <c r="C618" s="47"/>
      <c r="D618" s="47"/>
      <c r="E618" s="47"/>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c r="AD618" s="46"/>
      <c r="AE618" s="46"/>
      <c r="AF618" s="46"/>
      <c r="AG618" s="46"/>
      <c r="AH618" s="46"/>
      <c r="AI618" s="46"/>
      <c r="AJ618" s="46"/>
      <c r="AK618" s="46"/>
      <c r="AL618" s="46"/>
    </row>
    <row r="619">
      <c r="A619" s="46"/>
      <c r="B619" s="46"/>
      <c r="C619" s="47"/>
      <c r="D619" s="47"/>
      <c r="E619" s="47"/>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c r="AD619" s="46"/>
      <c r="AE619" s="46"/>
      <c r="AF619" s="46"/>
      <c r="AG619" s="46"/>
      <c r="AH619" s="46"/>
      <c r="AI619" s="46"/>
      <c r="AJ619" s="46"/>
      <c r="AK619" s="46"/>
      <c r="AL619" s="46"/>
    </row>
    <row r="620">
      <c r="A620" s="46"/>
      <c r="B620" s="46"/>
      <c r="C620" s="47"/>
      <c r="D620" s="47"/>
      <c r="E620" s="47"/>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c r="AD620" s="46"/>
      <c r="AE620" s="46"/>
      <c r="AF620" s="46"/>
      <c r="AG620" s="46"/>
      <c r="AH620" s="46"/>
      <c r="AI620" s="46"/>
      <c r="AJ620" s="46"/>
      <c r="AK620" s="46"/>
      <c r="AL620" s="46"/>
    </row>
    <row r="621">
      <c r="A621" s="46"/>
      <c r="B621" s="46"/>
      <c r="C621" s="47"/>
      <c r="D621" s="47"/>
      <c r="E621" s="47"/>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c r="AD621" s="46"/>
      <c r="AE621" s="46"/>
      <c r="AF621" s="46"/>
      <c r="AG621" s="46"/>
      <c r="AH621" s="46"/>
      <c r="AI621" s="46"/>
      <c r="AJ621" s="46"/>
      <c r="AK621" s="46"/>
      <c r="AL621" s="46"/>
    </row>
    <row r="622">
      <c r="A622" s="46"/>
      <c r="B622" s="46"/>
      <c r="C622" s="47"/>
      <c r="D622" s="47"/>
      <c r="E622" s="47"/>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c r="AD622" s="46"/>
      <c r="AE622" s="46"/>
      <c r="AF622" s="46"/>
      <c r="AG622" s="46"/>
      <c r="AH622" s="46"/>
      <c r="AI622" s="46"/>
      <c r="AJ622" s="46"/>
      <c r="AK622" s="46"/>
      <c r="AL622" s="46"/>
    </row>
    <row r="623">
      <c r="A623" s="46"/>
      <c r="B623" s="46"/>
      <c r="C623" s="47"/>
      <c r="D623" s="47"/>
      <c r="E623" s="47"/>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c r="AD623" s="46"/>
      <c r="AE623" s="46"/>
      <c r="AF623" s="46"/>
      <c r="AG623" s="46"/>
      <c r="AH623" s="46"/>
      <c r="AI623" s="46"/>
      <c r="AJ623" s="46"/>
      <c r="AK623" s="46"/>
      <c r="AL623" s="46"/>
    </row>
    <row r="624">
      <c r="A624" s="46"/>
      <c r="B624" s="46"/>
      <c r="C624" s="47"/>
      <c r="D624" s="47"/>
      <c r="E624" s="47"/>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c r="AD624" s="46"/>
      <c r="AE624" s="46"/>
      <c r="AF624" s="46"/>
      <c r="AG624" s="46"/>
      <c r="AH624" s="46"/>
      <c r="AI624" s="46"/>
      <c r="AJ624" s="46"/>
      <c r="AK624" s="46"/>
      <c r="AL624" s="46"/>
    </row>
    <row r="625">
      <c r="A625" s="46"/>
      <c r="B625" s="46"/>
      <c r="C625" s="47"/>
      <c r="D625" s="47"/>
      <c r="E625" s="47"/>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c r="AD625" s="46"/>
      <c r="AE625" s="46"/>
      <c r="AF625" s="46"/>
      <c r="AG625" s="46"/>
      <c r="AH625" s="46"/>
      <c r="AI625" s="46"/>
      <c r="AJ625" s="46"/>
      <c r="AK625" s="46"/>
      <c r="AL625" s="46"/>
    </row>
    <row r="626">
      <c r="A626" s="46"/>
      <c r="B626" s="46"/>
      <c r="C626" s="47"/>
      <c r="D626" s="47"/>
      <c r="E626" s="47"/>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c r="AD626" s="46"/>
      <c r="AE626" s="46"/>
      <c r="AF626" s="46"/>
      <c r="AG626" s="46"/>
      <c r="AH626" s="46"/>
      <c r="AI626" s="46"/>
      <c r="AJ626" s="46"/>
      <c r="AK626" s="46"/>
      <c r="AL626" s="46"/>
    </row>
    <row r="627">
      <c r="A627" s="46"/>
      <c r="B627" s="46"/>
      <c r="C627" s="47"/>
      <c r="D627" s="47"/>
      <c r="E627" s="47"/>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c r="AD627" s="46"/>
      <c r="AE627" s="46"/>
      <c r="AF627" s="46"/>
      <c r="AG627" s="46"/>
      <c r="AH627" s="46"/>
      <c r="AI627" s="46"/>
      <c r="AJ627" s="46"/>
      <c r="AK627" s="46"/>
      <c r="AL627" s="46"/>
    </row>
    <row r="628">
      <c r="A628" s="46"/>
      <c r="B628" s="46"/>
      <c r="C628" s="47"/>
      <c r="D628" s="47"/>
      <c r="E628" s="47"/>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c r="AD628" s="46"/>
      <c r="AE628" s="46"/>
      <c r="AF628" s="46"/>
      <c r="AG628" s="46"/>
      <c r="AH628" s="46"/>
      <c r="AI628" s="46"/>
      <c r="AJ628" s="46"/>
      <c r="AK628" s="46"/>
      <c r="AL628" s="46"/>
    </row>
    <row r="629">
      <c r="A629" s="46"/>
      <c r="B629" s="46"/>
      <c r="C629" s="47"/>
      <c r="D629" s="47"/>
      <c r="E629" s="47"/>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c r="AE629" s="46"/>
      <c r="AF629" s="46"/>
      <c r="AG629" s="46"/>
      <c r="AH629" s="46"/>
      <c r="AI629" s="46"/>
      <c r="AJ629" s="46"/>
      <c r="AK629" s="46"/>
      <c r="AL629" s="46"/>
    </row>
    <row r="630">
      <c r="A630" s="46"/>
      <c r="B630" s="46"/>
      <c r="C630" s="47"/>
      <c r="D630" s="47"/>
      <c r="E630" s="47"/>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c r="AD630" s="46"/>
      <c r="AE630" s="46"/>
      <c r="AF630" s="46"/>
      <c r="AG630" s="46"/>
      <c r="AH630" s="46"/>
      <c r="AI630" s="46"/>
      <c r="AJ630" s="46"/>
      <c r="AK630" s="46"/>
      <c r="AL630" s="46"/>
    </row>
    <row r="631">
      <c r="A631" s="46"/>
      <c r="B631" s="46"/>
      <c r="C631" s="47"/>
      <c r="D631" s="47"/>
      <c r="E631" s="47"/>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c r="AD631" s="46"/>
      <c r="AE631" s="46"/>
      <c r="AF631" s="46"/>
      <c r="AG631" s="46"/>
      <c r="AH631" s="46"/>
      <c r="AI631" s="46"/>
      <c r="AJ631" s="46"/>
      <c r="AK631" s="46"/>
      <c r="AL631" s="46"/>
    </row>
    <row r="632">
      <c r="A632" s="46"/>
      <c r="B632" s="46"/>
      <c r="C632" s="47"/>
      <c r="D632" s="47"/>
      <c r="E632" s="47"/>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c r="AD632" s="46"/>
      <c r="AE632" s="46"/>
      <c r="AF632" s="46"/>
      <c r="AG632" s="46"/>
      <c r="AH632" s="46"/>
      <c r="AI632" s="46"/>
      <c r="AJ632" s="46"/>
      <c r="AK632" s="46"/>
      <c r="AL632" s="46"/>
    </row>
    <row r="633">
      <c r="A633" s="46"/>
      <c r="B633" s="46"/>
      <c r="C633" s="47"/>
      <c r="D633" s="47"/>
      <c r="E633" s="47"/>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c r="AD633" s="46"/>
      <c r="AE633" s="46"/>
      <c r="AF633" s="46"/>
      <c r="AG633" s="46"/>
      <c r="AH633" s="46"/>
      <c r="AI633" s="46"/>
      <c r="AJ633" s="46"/>
      <c r="AK633" s="46"/>
      <c r="AL633" s="46"/>
    </row>
    <row r="634">
      <c r="A634" s="46"/>
      <c r="B634" s="46"/>
      <c r="C634" s="47"/>
      <c r="D634" s="47"/>
      <c r="E634" s="47"/>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c r="AD634" s="46"/>
      <c r="AE634" s="46"/>
      <c r="AF634" s="46"/>
      <c r="AG634" s="46"/>
      <c r="AH634" s="46"/>
      <c r="AI634" s="46"/>
      <c r="AJ634" s="46"/>
      <c r="AK634" s="46"/>
      <c r="AL634" s="46"/>
    </row>
    <row r="635">
      <c r="A635" s="46"/>
      <c r="B635" s="46"/>
      <c r="C635" s="47"/>
      <c r="D635" s="47"/>
      <c r="E635" s="47"/>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c r="AD635" s="46"/>
      <c r="AE635" s="46"/>
      <c r="AF635" s="46"/>
      <c r="AG635" s="46"/>
      <c r="AH635" s="46"/>
      <c r="AI635" s="46"/>
      <c r="AJ635" s="46"/>
      <c r="AK635" s="46"/>
      <c r="AL635" s="46"/>
    </row>
    <row r="636">
      <c r="A636" s="46"/>
      <c r="B636" s="46"/>
      <c r="C636" s="47"/>
      <c r="D636" s="47"/>
      <c r="E636" s="47"/>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c r="AD636" s="46"/>
      <c r="AE636" s="46"/>
      <c r="AF636" s="46"/>
      <c r="AG636" s="46"/>
      <c r="AH636" s="46"/>
      <c r="AI636" s="46"/>
      <c r="AJ636" s="46"/>
      <c r="AK636" s="46"/>
      <c r="AL636" s="46"/>
    </row>
    <row r="637">
      <c r="A637" s="46"/>
      <c r="B637" s="46"/>
      <c r="C637" s="47"/>
      <c r="D637" s="47"/>
      <c r="E637" s="47"/>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c r="AD637" s="46"/>
      <c r="AE637" s="46"/>
      <c r="AF637" s="46"/>
      <c r="AG637" s="46"/>
      <c r="AH637" s="46"/>
      <c r="AI637" s="46"/>
      <c r="AJ637" s="46"/>
      <c r="AK637" s="46"/>
      <c r="AL637" s="46"/>
    </row>
    <row r="638">
      <c r="A638" s="46"/>
      <c r="B638" s="46"/>
      <c r="C638" s="47"/>
      <c r="D638" s="47"/>
      <c r="E638" s="47"/>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c r="AD638" s="46"/>
      <c r="AE638" s="46"/>
      <c r="AF638" s="46"/>
      <c r="AG638" s="46"/>
      <c r="AH638" s="46"/>
      <c r="AI638" s="46"/>
      <c r="AJ638" s="46"/>
      <c r="AK638" s="46"/>
      <c r="AL638" s="46"/>
    </row>
    <row r="639">
      <c r="A639" s="46"/>
      <c r="B639" s="46"/>
      <c r="C639" s="47"/>
      <c r="D639" s="47"/>
      <c r="E639" s="47"/>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c r="AD639" s="46"/>
      <c r="AE639" s="46"/>
      <c r="AF639" s="46"/>
      <c r="AG639" s="46"/>
      <c r="AH639" s="46"/>
      <c r="AI639" s="46"/>
      <c r="AJ639" s="46"/>
      <c r="AK639" s="46"/>
      <c r="AL639" s="46"/>
    </row>
    <row r="640">
      <c r="A640" s="46"/>
      <c r="B640" s="46"/>
      <c r="C640" s="47"/>
      <c r="D640" s="47"/>
      <c r="E640" s="47"/>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c r="AD640" s="46"/>
      <c r="AE640" s="46"/>
      <c r="AF640" s="46"/>
      <c r="AG640" s="46"/>
      <c r="AH640" s="46"/>
      <c r="AI640" s="46"/>
      <c r="AJ640" s="46"/>
      <c r="AK640" s="46"/>
      <c r="AL640" s="46"/>
    </row>
    <row r="641">
      <c r="A641" s="46"/>
      <c r="B641" s="46"/>
      <c r="C641" s="47"/>
      <c r="D641" s="47"/>
      <c r="E641" s="47"/>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c r="AD641" s="46"/>
      <c r="AE641" s="46"/>
      <c r="AF641" s="46"/>
      <c r="AG641" s="46"/>
      <c r="AH641" s="46"/>
      <c r="AI641" s="46"/>
      <c r="AJ641" s="46"/>
      <c r="AK641" s="46"/>
      <c r="AL641" s="46"/>
    </row>
    <row r="642">
      <c r="A642" s="46"/>
      <c r="B642" s="46"/>
      <c r="C642" s="47"/>
      <c r="D642" s="47"/>
      <c r="E642" s="47"/>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c r="AD642" s="46"/>
      <c r="AE642" s="46"/>
      <c r="AF642" s="46"/>
      <c r="AG642" s="46"/>
      <c r="AH642" s="46"/>
      <c r="AI642" s="46"/>
      <c r="AJ642" s="46"/>
      <c r="AK642" s="46"/>
      <c r="AL642" s="46"/>
    </row>
    <row r="643">
      <c r="A643" s="46"/>
      <c r="B643" s="46"/>
      <c r="C643" s="47"/>
      <c r="D643" s="47"/>
      <c r="E643" s="47"/>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c r="AD643" s="46"/>
      <c r="AE643" s="46"/>
      <c r="AF643" s="46"/>
      <c r="AG643" s="46"/>
      <c r="AH643" s="46"/>
      <c r="AI643" s="46"/>
      <c r="AJ643" s="46"/>
      <c r="AK643" s="46"/>
      <c r="AL643" s="46"/>
    </row>
    <row r="644">
      <c r="A644" s="46"/>
      <c r="B644" s="46"/>
      <c r="C644" s="47"/>
      <c r="D644" s="47"/>
      <c r="E644" s="47"/>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c r="AD644" s="46"/>
      <c r="AE644" s="46"/>
      <c r="AF644" s="46"/>
      <c r="AG644" s="46"/>
      <c r="AH644" s="46"/>
      <c r="AI644" s="46"/>
      <c r="AJ644" s="46"/>
      <c r="AK644" s="46"/>
      <c r="AL644" s="46"/>
    </row>
    <row r="645">
      <c r="A645" s="46"/>
      <c r="B645" s="46"/>
      <c r="C645" s="47"/>
      <c r="D645" s="47"/>
      <c r="E645" s="47"/>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c r="AD645" s="46"/>
      <c r="AE645" s="46"/>
      <c r="AF645" s="46"/>
      <c r="AG645" s="46"/>
      <c r="AH645" s="46"/>
      <c r="AI645" s="46"/>
      <c r="AJ645" s="46"/>
      <c r="AK645" s="46"/>
      <c r="AL645" s="46"/>
    </row>
    <row r="646">
      <c r="A646" s="46"/>
      <c r="B646" s="46"/>
      <c r="C646" s="47"/>
      <c r="D646" s="47"/>
      <c r="E646" s="47"/>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c r="AD646" s="46"/>
      <c r="AE646" s="46"/>
      <c r="AF646" s="46"/>
      <c r="AG646" s="46"/>
      <c r="AH646" s="46"/>
      <c r="AI646" s="46"/>
      <c r="AJ646" s="46"/>
      <c r="AK646" s="46"/>
      <c r="AL646" s="46"/>
    </row>
    <row r="647">
      <c r="A647" s="46"/>
      <c r="B647" s="46"/>
      <c r="C647" s="47"/>
      <c r="D647" s="47"/>
      <c r="E647" s="47"/>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c r="AD647" s="46"/>
      <c r="AE647" s="46"/>
      <c r="AF647" s="46"/>
      <c r="AG647" s="46"/>
      <c r="AH647" s="46"/>
      <c r="AI647" s="46"/>
      <c r="AJ647" s="46"/>
      <c r="AK647" s="46"/>
      <c r="AL647" s="46"/>
    </row>
    <row r="648">
      <c r="A648" s="46"/>
      <c r="B648" s="46"/>
      <c r="C648" s="47"/>
      <c r="D648" s="47"/>
      <c r="E648" s="47"/>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c r="AD648" s="46"/>
      <c r="AE648" s="46"/>
      <c r="AF648" s="46"/>
      <c r="AG648" s="46"/>
      <c r="AH648" s="46"/>
      <c r="AI648" s="46"/>
      <c r="AJ648" s="46"/>
      <c r="AK648" s="46"/>
      <c r="AL648" s="46"/>
    </row>
    <row r="649">
      <c r="A649" s="46"/>
      <c r="B649" s="46"/>
      <c r="C649" s="47"/>
      <c r="D649" s="47"/>
      <c r="E649" s="47"/>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c r="AD649" s="46"/>
      <c r="AE649" s="46"/>
      <c r="AF649" s="46"/>
      <c r="AG649" s="46"/>
      <c r="AH649" s="46"/>
      <c r="AI649" s="46"/>
      <c r="AJ649" s="46"/>
      <c r="AK649" s="46"/>
      <c r="AL649" s="46"/>
    </row>
    <row r="650">
      <c r="A650" s="46"/>
      <c r="B650" s="46"/>
      <c r="C650" s="47"/>
      <c r="D650" s="47"/>
      <c r="E650" s="47"/>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c r="AD650" s="46"/>
      <c r="AE650" s="46"/>
      <c r="AF650" s="46"/>
      <c r="AG650" s="46"/>
      <c r="AH650" s="46"/>
      <c r="AI650" s="46"/>
      <c r="AJ650" s="46"/>
      <c r="AK650" s="46"/>
      <c r="AL650" s="46"/>
    </row>
    <row r="651">
      <c r="A651" s="46"/>
      <c r="B651" s="46"/>
      <c r="C651" s="47"/>
      <c r="D651" s="47"/>
      <c r="E651" s="47"/>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c r="AD651" s="46"/>
      <c r="AE651" s="46"/>
      <c r="AF651" s="46"/>
      <c r="AG651" s="46"/>
      <c r="AH651" s="46"/>
      <c r="AI651" s="46"/>
      <c r="AJ651" s="46"/>
      <c r="AK651" s="46"/>
      <c r="AL651" s="46"/>
    </row>
    <row r="652">
      <c r="A652" s="46"/>
      <c r="B652" s="46"/>
      <c r="C652" s="47"/>
      <c r="D652" s="47"/>
      <c r="E652" s="47"/>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c r="AD652" s="46"/>
      <c r="AE652" s="46"/>
      <c r="AF652" s="46"/>
      <c r="AG652" s="46"/>
      <c r="AH652" s="46"/>
      <c r="AI652" s="46"/>
      <c r="AJ652" s="46"/>
      <c r="AK652" s="46"/>
      <c r="AL652" s="46"/>
    </row>
    <row r="653">
      <c r="A653" s="46"/>
      <c r="B653" s="46"/>
      <c r="C653" s="47"/>
      <c r="D653" s="47"/>
      <c r="E653" s="47"/>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c r="AD653" s="46"/>
      <c r="AE653" s="46"/>
      <c r="AF653" s="46"/>
      <c r="AG653" s="46"/>
      <c r="AH653" s="46"/>
      <c r="AI653" s="46"/>
      <c r="AJ653" s="46"/>
      <c r="AK653" s="46"/>
      <c r="AL653" s="46"/>
    </row>
    <row r="654">
      <c r="A654" s="46"/>
      <c r="B654" s="46"/>
      <c r="C654" s="47"/>
      <c r="D654" s="47"/>
      <c r="E654" s="47"/>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c r="AD654" s="46"/>
      <c r="AE654" s="46"/>
      <c r="AF654" s="46"/>
      <c r="AG654" s="46"/>
      <c r="AH654" s="46"/>
      <c r="AI654" s="46"/>
      <c r="AJ654" s="46"/>
      <c r="AK654" s="46"/>
      <c r="AL654" s="46"/>
    </row>
    <row r="655">
      <c r="A655" s="46"/>
      <c r="B655" s="46"/>
      <c r="C655" s="47"/>
      <c r="D655" s="47"/>
      <c r="E655" s="47"/>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c r="AD655" s="46"/>
      <c r="AE655" s="46"/>
      <c r="AF655" s="46"/>
      <c r="AG655" s="46"/>
      <c r="AH655" s="46"/>
      <c r="AI655" s="46"/>
      <c r="AJ655" s="46"/>
      <c r="AK655" s="46"/>
      <c r="AL655" s="46"/>
    </row>
    <row r="656">
      <c r="A656" s="46"/>
      <c r="B656" s="46"/>
      <c r="C656" s="47"/>
      <c r="D656" s="47"/>
      <c r="E656" s="47"/>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c r="AD656" s="46"/>
      <c r="AE656" s="46"/>
      <c r="AF656" s="46"/>
      <c r="AG656" s="46"/>
      <c r="AH656" s="46"/>
      <c r="AI656" s="46"/>
      <c r="AJ656" s="46"/>
      <c r="AK656" s="46"/>
      <c r="AL656" s="46"/>
    </row>
    <row r="657">
      <c r="A657" s="46"/>
      <c r="B657" s="46"/>
      <c r="C657" s="47"/>
      <c r="D657" s="47"/>
      <c r="E657" s="47"/>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c r="AD657" s="46"/>
      <c r="AE657" s="46"/>
      <c r="AF657" s="46"/>
      <c r="AG657" s="46"/>
      <c r="AH657" s="46"/>
      <c r="AI657" s="46"/>
      <c r="AJ657" s="46"/>
      <c r="AK657" s="46"/>
      <c r="AL657" s="46"/>
    </row>
    <row r="658">
      <c r="A658" s="46"/>
      <c r="B658" s="46"/>
      <c r="C658" s="47"/>
      <c r="D658" s="47"/>
      <c r="E658" s="47"/>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c r="AD658" s="46"/>
      <c r="AE658" s="46"/>
      <c r="AF658" s="46"/>
      <c r="AG658" s="46"/>
      <c r="AH658" s="46"/>
      <c r="AI658" s="46"/>
      <c r="AJ658" s="46"/>
      <c r="AK658" s="46"/>
      <c r="AL658" s="46"/>
    </row>
    <row r="659">
      <c r="A659" s="46"/>
      <c r="B659" s="46"/>
      <c r="C659" s="47"/>
      <c r="D659" s="47"/>
      <c r="E659" s="47"/>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c r="AD659" s="46"/>
      <c r="AE659" s="46"/>
      <c r="AF659" s="46"/>
      <c r="AG659" s="46"/>
      <c r="AH659" s="46"/>
      <c r="AI659" s="46"/>
      <c r="AJ659" s="46"/>
      <c r="AK659" s="46"/>
      <c r="AL659" s="46"/>
    </row>
    <row r="660">
      <c r="A660" s="46"/>
      <c r="B660" s="46"/>
      <c r="C660" s="47"/>
      <c r="D660" s="47"/>
      <c r="E660" s="47"/>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c r="AD660" s="46"/>
      <c r="AE660" s="46"/>
      <c r="AF660" s="46"/>
      <c r="AG660" s="46"/>
      <c r="AH660" s="46"/>
      <c r="AI660" s="46"/>
      <c r="AJ660" s="46"/>
      <c r="AK660" s="46"/>
      <c r="AL660" s="46"/>
    </row>
    <row r="661">
      <c r="A661" s="46"/>
      <c r="B661" s="46"/>
      <c r="C661" s="47"/>
      <c r="D661" s="47"/>
      <c r="E661" s="47"/>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c r="AD661" s="46"/>
      <c r="AE661" s="46"/>
      <c r="AF661" s="46"/>
      <c r="AG661" s="46"/>
      <c r="AH661" s="46"/>
      <c r="AI661" s="46"/>
      <c r="AJ661" s="46"/>
      <c r="AK661" s="46"/>
      <c r="AL661" s="46"/>
    </row>
    <row r="662">
      <c r="A662" s="46"/>
      <c r="B662" s="46"/>
      <c r="C662" s="47"/>
      <c r="D662" s="47"/>
      <c r="E662" s="47"/>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c r="AD662" s="46"/>
      <c r="AE662" s="46"/>
      <c r="AF662" s="46"/>
      <c r="AG662" s="46"/>
      <c r="AH662" s="46"/>
      <c r="AI662" s="46"/>
      <c r="AJ662" s="46"/>
      <c r="AK662" s="46"/>
      <c r="AL662" s="46"/>
    </row>
    <row r="663">
      <c r="A663" s="46"/>
      <c r="B663" s="46"/>
      <c r="C663" s="47"/>
      <c r="D663" s="47"/>
      <c r="E663" s="47"/>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c r="AD663" s="46"/>
      <c r="AE663" s="46"/>
      <c r="AF663" s="46"/>
      <c r="AG663" s="46"/>
      <c r="AH663" s="46"/>
      <c r="AI663" s="46"/>
      <c r="AJ663" s="46"/>
      <c r="AK663" s="46"/>
      <c r="AL663" s="46"/>
    </row>
    <row r="664">
      <c r="A664" s="46"/>
      <c r="B664" s="46"/>
      <c r="C664" s="47"/>
      <c r="D664" s="47"/>
      <c r="E664" s="47"/>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c r="AD664" s="46"/>
      <c r="AE664" s="46"/>
      <c r="AF664" s="46"/>
      <c r="AG664" s="46"/>
      <c r="AH664" s="46"/>
      <c r="AI664" s="46"/>
      <c r="AJ664" s="46"/>
      <c r="AK664" s="46"/>
      <c r="AL664" s="46"/>
    </row>
    <row r="665">
      <c r="A665" s="46"/>
      <c r="B665" s="46"/>
      <c r="C665" s="47"/>
      <c r="D665" s="47"/>
      <c r="E665" s="47"/>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c r="AD665" s="46"/>
      <c r="AE665" s="46"/>
      <c r="AF665" s="46"/>
      <c r="AG665" s="46"/>
      <c r="AH665" s="46"/>
      <c r="AI665" s="46"/>
      <c r="AJ665" s="46"/>
      <c r="AK665" s="46"/>
      <c r="AL665" s="46"/>
    </row>
    <row r="666">
      <c r="A666" s="46"/>
      <c r="B666" s="46"/>
      <c r="C666" s="47"/>
      <c r="D666" s="47"/>
      <c r="E666" s="47"/>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c r="AE666" s="46"/>
      <c r="AF666" s="46"/>
      <c r="AG666" s="46"/>
      <c r="AH666" s="46"/>
      <c r="AI666" s="46"/>
      <c r="AJ666" s="46"/>
      <c r="AK666" s="46"/>
      <c r="AL666" s="46"/>
    </row>
    <row r="667">
      <c r="A667" s="46"/>
      <c r="B667" s="46"/>
      <c r="C667" s="47"/>
      <c r="D667" s="47"/>
      <c r="E667" s="47"/>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c r="AE667" s="46"/>
      <c r="AF667" s="46"/>
      <c r="AG667" s="46"/>
      <c r="AH667" s="46"/>
      <c r="AI667" s="46"/>
      <c r="AJ667" s="46"/>
      <c r="AK667" s="46"/>
      <c r="AL667" s="46"/>
    </row>
    <row r="668">
      <c r="A668" s="46"/>
      <c r="B668" s="46"/>
      <c r="C668" s="47"/>
      <c r="D668" s="47"/>
      <c r="E668" s="47"/>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c r="AE668" s="46"/>
      <c r="AF668" s="46"/>
      <c r="AG668" s="46"/>
      <c r="AH668" s="46"/>
      <c r="AI668" s="46"/>
      <c r="AJ668" s="46"/>
      <c r="AK668" s="46"/>
      <c r="AL668" s="46"/>
    </row>
    <row r="669">
      <c r="A669" s="46"/>
      <c r="B669" s="46"/>
      <c r="C669" s="47"/>
      <c r="D669" s="47"/>
      <c r="E669" s="47"/>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c r="AE669" s="46"/>
      <c r="AF669" s="46"/>
      <c r="AG669" s="46"/>
      <c r="AH669" s="46"/>
      <c r="AI669" s="46"/>
      <c r="AJ669" s="46"/>
      <c r="AK669" s="46"/>
      <c r="AL669" s="46"/>
    </row>
    <row r="670">
      <c r="A670" s="46"/>
      <c r="B670" s="46"/>
      <c r="C670" s="47"/>
      <c r="D670" s="47"/>
      <c r="E670" s="47"/>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c r="AE670" s="46"/>
      <c r="AF670" s="46"/>
      <c r="AG670" s="46"/>
      <c r="AH670" s="46"/>
      <c r="AI670" s="46"/>
      <c r="AJ670" s="46"/>
      <c r="AK670" s="46"/>
      <c r="AL670" s="46"/>
    </row>
    <row r="671">
      <c r="A671" s="46"/>
      <c r="B671" s="46"/>
      <c r="C671" s="47"/>
      <c r="D671" s="47"/>
      <c r="E671" s="47"/>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c r="AE671" s="46"/>
      <c r="AF671" s="46"/>
      <c r="AG671" s="46"/>
      <c r="AH671" s="46"/>
      <c r="AI671" s="46"/>
      <c r="AJ671" s="46"/>
      <c r="AK671" s="46"/>
      <c r="AL671" s="46"/>
    </row>
    <row r="672">
      <c r="A672" s="46"/>
      <c r="B672" s="46"/>
      <c r="C672" s="47"/>
      <c r="D672" s="47"/>
      <c r="E672" s="47"/>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c r="AE672" s="46"/>
      <c r="AF672" s="46"/>
      <c r="AG672" s="46"/>
      <c r="AH672" s="46"/>
      <c r="AI672" s="46"/>
      <c r="AJ672" s="46"/>
      <c r="AK672" s="46"/>
      <c r="AL672" s="46"/>
    </row>
    <row r="673">
      <c r="A673" s="46"/>
      <c r="B673" s="46"/>
      <c r="C673" s="47"/>
      <c r="D673" s="47"/>
      <c r="E673" s="47"/>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c r="AE673" s="46"/>
      <c r="AF673" s="46"/>
      <c r="AG673" s="46"/>
      <c r="AH673" s="46"/>
      <c r="AI673" s="46"/>
      <c r="AJ673" s="46"/>
      <c r="AK673" s="46"/>
      <c r="AL673" s="46"/>
    </row>
    <row r="674">
      <c r="A674" s="46"/>
      <c r="B674" s="46"/>
      <c r="C674" s="47"/>
      <c r="D674" s="47"/>
      <c r="E674" s="47"/>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c r="AE674" s="46"/>
      <c r="AF674" s="46"/>
      <c r="AG674" s="46"/>
      <c r="AH674" s="46"/>
      <c r="AI674" s="46"/>
      <c r="AJ674" s="46"/>
      <c r="AK674" s="46"/>
      <c r="AL674" s="46"/>
    </row>
    <row r="675">
      <c r="A675" s="46"/>
      <c r="B675" s="46"/>
      <c r="C675" s="47"/>
      <c r="D675" s="47"/>
      <c r="E675" s="47"/>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c r="AE675" s="46"/>
      <c r="AF675" s="46"/>
      <c r="AG675" s="46"/>
      <c r="AH675" s="46"/>
      <c r="AI675" s="46"/>
      <c r="AJ675" s="46"/>
      <c r="AK675" s="46"/>
      <c r="AL675" s="46"/>
    </row>
    <row r="676">
      <c r="A676" s="46"/>
      <c r="B676" s="46"/>
      <c r="C676" s="47"/>
      <c r="D676" s="47"/>
      <c r="E676" s="47"/>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c r="AE676" s="46"/>
      <c r="AF676" s="46"/>
      <c r="AG676" s="46"/>
      <c r="AH676" s="46"/>
      <c r="AI676" s="46"/>
      <c r="AJ676" s="46"/>
      <c r="AK676" s="46"/>
      <c r="AL676" s="46"/>
    </row>
    <row r="677">
      <c r="A677" s="46"/>
      <c r="B677" s="46"/>
      <c r="C677" s="47"/>
      <c r="D677" s="47"/>
      <c r="E677" s="47"/>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c r="AE677" s="46"/>
      <c r="AF677" s="46"/>
      <c r="AG677" s="46"/>
      <c r="AH677" s="46"/>
      <c r="AI677" s="46"/>
      <c r="AJ677" s="46"/>
      <c r="AK677" s="46"/>
      <c r="AL677" s="46"/>
    </row>
    <row r="678">
      <c r="A678" s="46"/>
      <c r="B678" s="46"/>
      <c r="C678" s="47"/>
      <c r="D678" s="47"/>
      <c r="E678" s="47"/>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c r="AE678" s="46"/>
      <c r="AF678" s="46"/>
      <c r="AG678" s="46"/>
      <c r="AH678" s="46"/>
      <c r="AI678" s="46"/>
      <c r="AJ678" s="46"/>
      <c r="AK678" s="46"/>
      <c r="AL678" s="46"/>
    </row>
    <row r="679">
      <c r="A679" s="46"/>
      <c r="B679" s="46"/>
      <c r="C679" s="47"/>
      <c r="D679" s="47"/>
      <c r="E679" s="47"/>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c r="AE679" s="46"/>
      <c r="AF679" s="46"/>
      <c r="AG679" s="46"/>
      <c r="AH679" s="46"/>
      <c r="AI679" s="46"/>
      <c r="AJ679" s="46"/>
      <c r="AK679" s="46"/>
      <c r="AL679" s="46"/>
    </row>
    <row r="680">
      <c r="A680" s="46"/>
      <c r="B680" s="46"/>
      <c r="C680" s="47"/>
      <c r="D680" s="47"/>
      <c r="E680" s="47"/>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c r="AE680" s="46"/>
      <c r="AF680" s="46"/>
      <c r="AG680" s="46"/>
      <c r="AH680" s="46"/>
      <c r="AI680" s="46"/>
      <c r="AJ680" s="46"/>
      <c r="AK680" s="46"/>
      <c r="AL680" s="46"/>
    </row>
    <row r="681">
      <c r="A681" s="46"/>
      <c r="B681" s="46"/>
      <c r="C681" s="47"/>
      <c r="D681" s="47"/>
      <c r="E681" s="47"/>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c r="AE681" s="46"/>
      <c r="AF681" s="46"/>
      <c r="AG681" s="46"/>
      <c r="AH681" s="46"/>
      <c r="AI681" s="46"/>
      <c r="AJ681" s="46"/>
      <c r="AK681" s="46"/>
      <c r="AL681" s="46"/>
    </row>
    <row r="682">
      <c r="A682" s="46"/>
      <c r="B682" s="46"/>
      <c r="C682" s="47"/>
      <c r="D682" s="47"/>
      <c r="E682" s="47"/>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c r="AE682" s="46"/>
      <c r="AF682" s="46"/>
      <c r="AG682" s="46"/>
      <c r="AH682" s="46"/>
      <c r="AI682" s="46"/>
      <c r="AJ682" s="46"/>
      <c r="AK682" s="46"/>
      <c r="AL682" s="46"/>
    </row>
    <row r="683">
      <c r="A683" s="46"/>
      <c r="B683" s="46"/>
      <c r="C683" s="47"/>
      <c r="D683" s="47"/>
      <c r="E683" s="47"/>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c r="AE683" s="46"/>
      <c r="AF683" s="46"/>
      <c r="AG683" s="46"/>
      <c r="AH683" s="46"/>
      <c r="AI683" s="46"/>
      <c r="AJ683" s="46"/>
      <c r="AK683" s="46"/>
      <c r="AL683" s="46"/>
    </row>
    <row r="684">
      <c r="A684" s="46"/>
      <c r="B684" s="46"/>
      <c r="C684" s="47"/>
      <c r="D684" s="47"/>
      <c r="E684" s="47"/>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c r="AE684" s="46"/>
      <c r="AF684" s="46"/>
      <c r="AG684" s="46"/>
      <c r="AH684" s="46"/>
      <c r="AI684" s="46"/>
      <c r="AJ684" s="46"/>
      <c r="AK684" s="46"/>
      <c r="AL684" s="46"/>
    </row>
    <row r="685">
      <c r="A685" s="46"/>
      <c r="B685" s="46"/>
      <c r="C685" s="47"/>
      <c r="D685" s="47"/>
      <c r="E685" s="47"/>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c r="AE685" s="46"/>
      <c r="AF685" s="46"/>
      <c r="AG685" s="46"/>
      <c r="AH685" s="46"/>
      <c r="AI685" s="46"/>
      <c r="AJ685" s="46"/>
      <c r="AK685" s="46"/>
      <c r="AL685" s="46"/>
    </row>
    <row r="686">
      <c r="A686" s="46"/>
      <c r="B686" s="46"/>
      <c r="C686" s="47"/>
      <c r="D686" s="47"/>
      <c r="E686" s="47"/>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c r="AE686" s="46"/>
      <c r="AF686" s="46"/>
      <c r="AG686" s="46"/>
      <c r="AH686" s="46"/>
      <c r="AI686" s="46"/>
      <c r="AJ686" s="46"/>
      <c r="AK686" s="46"/>
      <c r="AL686" s="46"/>
    </row>
    <row r="687">
      <c r="A687" s="46"/>
      <c r="B687" s="46"/>
      <c r="C687" s="47"/>
      <c r="D687" s="47"/>
      <c r="E687" s="47"/>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c r="AE687" s="46"/>
      <c r="AF687" s="46"/>
      <c r="AG687" s="46"/>
      <c r="AH687" s="46"/>
      <c r="AI687" s="46"/>
      <c r="AJ687" s="46"/>
      <c r="AK687" s="46"/>
      <c r="AL687" s="46"/>
    </row>
    <row r="688">
      <c r="A688" s="46"/>
      <c r="B688" s="46"/>
      <c r="C688" s="47"/>
      <c r="D688" s="47"/>
      <c r="E688" s="47"/>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c r="AE688" s="46"/>
      <c r="AF688" s="46"/>
      <c r="AG688" s="46"/>
      <c r="AH688" s="46"/>
      <c r="AI688" s="46"/>
      <c r="AJ688" s="46"/>
      <c r="AK688" s="46"/>
      <c r="AL688" s="46"/>
    </row>
    <row r="689">
      <c r="A689" s="46"/>
      <c r="B689" s="46"/>
      <c r="C689" s="47"/>
      <c r="D689" s="47"/>
      <c r="E689" s="47"/>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c r="AE689" s="46"/>
      <c r="AF689" s="46"/>
      <c r="AG689" s="46"/>
      <c r="AH689" s="46"/>
      <c r="AI689" s="46"/>
      <c r="AJ689" s="46"/>
      <c r="AK689" s="46"/>
      <c r="AL689" s="46"/>
    </row>
    <row r="690">
      <c r="A690" s="46"/>
      <c r="B690" s="46"/>
      <c r="C690" s="47"/>
      <c r="D690" s="47"/>
      <c r="E690" s="47"/>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c r="AD690" s="46"/>
      <c r="AE690" s="46"/>
      <c r="AF690" s="46"/>
      <c r="AG690" s="46"/>
      <c r="AH690" s="46"/>
      <c r="AI690" s="46"/>
      <c r="AJ690" s="46"/>
      <c r="AK690" s="46"/>
      <c r="AL690" s="46"/>
    </row>
    <row r="691">
      <c r="A691" s="46"/>
      <c r="B691" s="46"/>
      <c r="C691" s="47"/>
      <c r="D691" s="47"/>
      <c r="E691" s="47"/>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c r="AD691" s="46"/>
      <c r="AE691" s="46"/>
      <c r="AF691" s="46"/>
      <c r="AG691" s="46"/>
      <c r="AH691" s="46"/>
      <c r="AI691" s="46"/>
      <c r="AJ691" s="46"/>
      <c r="AK691" s="46"/>
      <c r="AL691" s="46"/>
    </row>
    <row r="692">
      <c r="A692" s="46"/>
      <c r="B692" s="46"/>
      <c r="C692" s="47"/>
      <c r="D692" s="47"/>
      <c r="E692" s="47"/>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c r="AD692" s="46"/>
      <c r="AE692" s="46"/>
      <c r="AF692" s="46"/>
      <c r="AG692" s="46"/>
      <c r="AH692" s="46"/>
      <c r="AI692" s="46"/>
      <c r="AJ692" s="46"/>
      <c r="AK692" s="46"/>
      <c r="AL692" s="46"/>
    </row>
    <row r="693">
      <c r="A693" s="46"/>
      <c r="B693" s="46"/>
      <c r="C693" s="47"/>
      <c r="D693" s="47"/>
      <c r="E693" s="47"/>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c r="AD693" s="46"/>
      <c r="AE693" s="46"/>
      <c r="AF693" s="46"/>
      <c r="AG693" s="46"/>
      <c r="AH693" s="46"/>
      <c r="AI693" s="46"/>
      <c r="AJ693" s="46"/>
      <c r="AK693" s="46"/>
      <c r="AL693" s="46"/>
    </row>
    <row r="694">
      <c r="A694" s="46"/>
      <c r="B694" s="46"/>
      <c r="C694" s="47"/>
      <c r="D694" s="47"/>
      <c r="E694" s="47"/>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c r="AD694" s="46"/>
      <c r="AE694" s="46"/>
      <c r="AF694" s="46"/>
      <c r="AG694" s="46"/>
      <c r="AH694" s="46"/>
      <c r="AI694" s="46"/>
      <c r="AJ694" s="46"/>
      <c r="AK694" s="46"/>
      <c r="AL694" s="46"/>
    </row>
    <row r="695">
      <c r="A695" s="46"/>
      <c r="B695" s="46"/>
      <c r="C695" s="47"/>
      <c r="D695" s="47"/>
      <c r="E695" s="47"/>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c r="AD695" s="46"/>
      <c r="AE695" s="46"/>
      <c r="AF695" s="46"/>
      <c r="AG695" s="46"/>
      <c r="AH695" s="46"/>
      <c r="AI695" s="46"/>
      <c r="AJ695" s="46"/>
      <c r="AK695" s="46"/>
      <c r="AL695" s="46"/>
    </row>
    <row r="696">
      <c r="A696" s="46"/>
      <c r="B696" s="46"/>
      <c r="C696" s="47"/>
      <c r="D696" s="47"/>
      <c r="E696" s="47"/>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c r="AD696" s="46"/>
      <c r="AE696" s="46"/>
      <c r="AF696" s="46"/>
      <c r="AG696" s="46"/>
      <c r="AH696" s="46"/>
      <c r="AI696" s="46"/>
      <c r="AJ696" s="46"/>
      <c r="AK696" s="46"/>
      <c r="AL696" s="46"/>
    </row>
    <row r="697">
      <c r="A697" s="46"/>
      <c r="B697" s="46"/>
      <c r="C697" s="47"/>
      <c r="D697" s="47"/>
      <c r="E697" s="47"/>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c r="AD697" s="46"/>
      <c r="AE697" s="46"/>
      <c r="AF697" s="46"/>
      <c r="AG697" s="46"/>
      <c r="AH697" s="46"/>
      <c r="AI697" s="46"/>
      <c r="AJ697" s="46"/>
      <c r="AK697" s="46"/>
      <c r="AL697" s="46"/>
    </row>
    <row r="698">
      <c r="A698" s="46"/>
      <c r="B698" s="46"/>
      <c r="C698" s="47"/>
      <c r="D698" s="47"/>
      <c r="E698" s="47"/>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c r="AD698" s="46"/>
      <c r="AE698" s="46"/>
      <c r="AF698" s="46"/>
      <c r="AG698" s="46"/>
      <c r="AH698" s="46"/>
      <c r="AI698" s="46"/>
      <c r="AJ698" s="46"/>
      <c r="AK698" s="46"/>
      <c r="AL698" s="46"/>
    </row>
    <row r="699">
      <c r="A699" s="46"/>
      <c r="B699" s="46"/>
      <c r="C699" s="47"/>
      <c r="D699" s="47"/>
      <c r="E699" s="47"/>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c r="AD699" s="46"/>
      <c r="AE699" s="46"/>
      <c r="AF699" s="46"/>
      <c r="AG699" s="46"/>
      <c r="AH699" s="46"/>
      <c r="AI699" s="46"/>
      <c r="AJ699" s="46"/>
      <c r="AK699" s="46"/>
      <c r="AL699" s="46"/>
    </row>
    <row r="700">
      <c r="A700" s="46"/>
      <c r="B700" s="46"/>
      <c r="C700" s="47"/>
      <c r="D700" s="47"/>
      <c r="E700" s="47"/>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c r="AD700" s="46"/>
      <c r="AE700" s="46"/>
      <c r="AF700" s="46"/>
      <c r="AG700" s="46"/>
      <c r="AH700" s="46"/>
      <c r="AI700" s="46"/>
      <c r="AJ700" s="46"/>
      <c r="AK700" s="46"/>
      <c r="AL700" s="46"/>
    </row>
    <row r="701">
      <c r="A701" s="46"/>
      <c r="B701" s="46"/>
      <c r="C701" s="47"/>
      <c r="D701" s="47"/>
      <c r="E701" s="47"/>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c r="AD701" s="46"/>
      <c r="AE701" s="46"/>
      <c r="AF701" s="46"/>
      <c r="AG701" s="46"/>
      <c r="AH701" s="46"/>
      <c r="AI701" s="46"/>
      <c r="AJ701" s="46"/>
      <c r="AK701" s="46"/>
      <c r="AL701" s="46"/>
    </row>
    <row r="702">
      <c r="A702" s="46"/>
      <c r="B702" s="46"/>
      <c r="C702" s="47"/>
      <c r="D702" s="47"/>
      <c r="E702" s="47"/>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c r="AD702" s="46"/>
      <c r="AE702" s="46"/>
      <c r="AF702" s="46"/>
      <c r="AG702" s="46"/>
      <c r="AH702" s="46"/>
      <c r="AI702" s="46"/>
      <c r="AJ702" s="46"/>
      <c r="AK702" s="46"/>
      <c r="AL702" s="46"/>
    </row>
    <row r="703">
      <c r="A703" s="46"/>
      <c r="B703" s="46"/>
      <c r="C703" s="47"/>
      <c r="D703" s="47"/>
      <c r="E703" s="47"/>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c r="AD703" s="46"/>
      <c r="AE703" s="46"/>
      <c r="AF703" s="46"/>
      <c r="AG703" s="46"/>
      <c r="AH703" s="46"/>
      <c r="AI703" s="46"/>
      <c r="AJ703" s="46"/>
      <c r="AK703" s="46"/>
      <c r="AL703" s="46"/>
    </row>
    <row r="704">
      <c r="A704" s="46"/>
      <c r="B704" s="46"/>
      <c r="C704" s="47"/>
      <c r="D704" s="47"/>
      <c r="E704" s="47"/>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c r="AD704" s="46"/>
      <c r="AE704" s="46"/>
      <c r="AF704" s="46"/>
      <c r="AG704" s="46"/>
      <c r="AH704" s="46"/>
      <c r="AI704" s="46"/>
      <c r="AJ704" s="46"/>
      <c r="AK704" s="46"/>
      <c r="AL704" s="46"/>
    </row>
    <row r="705">
      <c r="A705" s="46"/>
      <c r="B705" s="46"/>
      <c r="C705" s="47"/>
      <c r="D705" s="47"/>
      <c r="E705" s="47"/>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c r="AD705" s="46"/>
      <c r="AE705" s="46"/>
      <c r="AF705" s="46"/>
      <c r="AG705" s="46"/>
      <c r="AH705" s="46"/>
      <c r="AI705" s="46"/>
      <c r="AJ705" s="46"/>
      <c r="AK705" s="46"/>
      <c r="AL705" s="46"/>
    </row>
    <row r="706">
      <c r="A706" s="46"/>
      <c r="B706" s="46"/>
      <c r="C706" s="47"/>
      <c r="D706" s="47"/>
      <c r="E706" s="47"/>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c r="AD706" s="46"/>
      <c r="AE706" s="46"/>
      <c r="AF706" s="46"/>
      <c r="AG706" s="46"/>
      <c r="AH706" s="46"/>
      <c r="AI706" s="46"/>
      <c r="AJ706" s="46"/>
      <c r="AK706" s="46"/>
      <c r="AL706" s="46"/>
    </row>
    <row r="707">
      <c r="A707" s="46"/>
      <c r="B707" s="46"/>
      <c r="C707" s="47"/>
      <c r="D707" s="47"/>
      <c r="E707" s="47"/>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c r="AD707" s="46"/>
      <c r="AE707" s="46"/>
      <c r="AF707" s="46"/>
      <c r="AG707" s="46"/>
      <c r="AH707" s="46"/>
      <c r="AI707" s="46"/>
      <c r="AJ707" s="46"/>
      <c r="AK707" s="46"/>
      <c r="AL707" s="46"/>
    </row>
    <row r="708">
      <c r="A708" s="46"/>
      <c r="B708" s="46"/>
      <c r="C708" s="47"/>
      <c r="D708" s="47"/>
      <c r="E708" s="47"/>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c r="AD708" s="46"/>
      <c r="AE708" s="46"/>
      <c r="AF708" s="46"/>
      <c r="AG708" s="46"/>
      <c r="AH708" s="46"/>
      <c r="AI708" s="46"/>
      <c r="AJ708" s="46"/>
      <c r="AK708" s="46"/>
      <c r="AL708" s="46"/>
    </row>
    <row r="709">
      <c r="A709" s="46"/>
      <c r="B709" s="46"/>
      <c r="C709" s="47"/>
      <c r="D709" s="47"/>
      <c r="E709" s="47"/>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c r="AD709" s="46"/>
      <c r="AE709" s="46"/>
      <c r="AF709" s="46"/>
      <c r="AG709" s="46"/>
      <c r="AH709" s="46"/>
      <c r="AI709" s="46"/>
      <c r="AJ709" s="46"/>
      <c r="AK709" s="46"/>
      <c r="AL709" s="46"/>
    </row>
    <row r="710">
      <c r="A710" s="46"/>
      <c r="B710" s="46"/>
      <c r="C710" s="47"/>
      <c r="D710" s="47"/>
      <c r="E710" s="47"/>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c r="AE710" s="46"/>
      <c r="AF710" s="46"/>
      <c r="AG710" s="46"/>
      <c r="AH710" s="46"/>
      <c r="AI710" s="46"/>
      <c r="AJ710" s="46"/>
      <c r="AK710" s="46"/>
      <c r="AL710" s="46"/>
    </row>
    <row r="711">
      <c r="A711" s="46"/>
      <c r="B711" s="46"/>
      <c r="C711" s="47"/>
      <c r="D711" s="47"/>
      <c r="E711" s="47"/>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c r="AD711" s="46"/>
      <c r="AE711" s="46"/>
      <c r="AF711" s="46"/>
      <c r="AG711" s="46"/>
      <c r="AH711" s="46"/>
      <c r="AI711" s="46"/>
      <c r="AJ711" s="46"/>
      <c r="AK711" s="46"/>
      <c r="AL711" s="46"/>
    </row>
    <row r="712">
      <c r="A712" s="46"/>
      <c r="B712" s="46"/>
      <c r="C712" s="47"/>
      <c r="D712" s="47"/>
      <c r="E712" s="47"/>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c r="AE712" s="46"/>
      <c r="AF712" s="46"/>
      <c r="AG712" s="46"/>
      <c r="AH712" s="46"/>
      <c r="AI712" s="46"/>
      <c r="AJ712" s="46"/>
      <c r="AK712" s="46"/>
      <c r="AL712" s="46"/>
    </row>
    <row r="713">
      <c r="A713" s="46"/>
      <c r="B713" s="46"/>
      <c r="C713" s="47"/>
      <c r="D713" s="47"/>
      <c r="E713" s="47"/>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c r="AD713" s="46"/>
      <c r="AE713" s="46"/>
      <c r="AF713" s="46"/>
      <c r="AG713" s="46"/>
      <c r="AH713" s="46"/>
      <c r="AI713" s="46"/>
      <c r="AJ713" s="46"/>
      <c r="AK713" s="46"/>
      <c r="AL713" s="46"/>
    </row>
    <row r="714">
      <c r="A714" s="46"/>
      <c r="B714" s="46"/>
      <c r="C714" s="47"/>
      <c r="D714" s="47"/>
      <c r="E714" s="47"/>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c r="AD714" s="46"/>
      <c r="AE714" s="46"/>
      <c r="AF714" s="46"/>
      <c r="AG714" s="46"/>
      <c r="AH714" s="46"/>
      <c r="AI714" s="46"/>
      <c r="AJ714" s="46"/>
      <c r="AK714" s="46"/>
      <c r="AL714" s="46"/>
    </row>
    <row r="715">
      <c r="A715" s="46"/>
      <c r="B715" s="46"/>
      <c r="C715" s="47"/>
      <c r="D715" s="47"/>
      <c r="E715" s="47"/>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c r="AD715" s="46"/>
      <c r="AE715" s="46"/>
      <c r="AF715" s="46"/>
      <c r="AG715" s="46"/>
      <c r="AH715" s="46"/>
      <c r="AI715" s="46"/>
      <c r="AJ715" s="46"/>
      <c r="AK715" s="46"/>
      <c r="AL715" s="46"/>
    </row>
    <row r="716">
      <c r="A716" s="46"/>
      <c r="B716" s="46"/>
      <c r="C716" s="47"/>
      <c r="D716" s="47"/>
      <c r="E716" s="47"/>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c r="AD716" s="46"/>
      <c r="AE716" s="46"/>
      <c r="AF716" s="46"/>
      <c r="AG716" s="46"/>
      <c r="AH716" s="46"/>
      <c r="AI716" s="46"/>
      <c r="AJ716" s="46"/>
      <c r="AK716" s="46"/>
      <c r="AL716" s="46"/>
    </row>
    <row r="717">
      <c r="A717" s="46"/>
      <c r="B717" s="46"/>
      <c r="C717" s="47"/>
      <c r="D717" s="47"/>
      <c r="E717" s="47"/>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c r="AD717" s="46"/>
      <c r="AE717" s="46"/>
      <c r="AF717" s="46"/>
      <c r="AG717" s="46"/>
      <c r="AH717" s="46"/>
      <c r="AI717" s="46"/>
      <c r="AJ717" s="46"/>
      <c r="AK717" s="46"/>
      <c r="AL717" s="46"/>
    </row>
    <row r="718">
      <c r="A718" s="46"/>
      <c r="B718" s="46"/>
      <c r="C718" s="47"/>
      <c r="D718" s="47"/>
      <c r="E718" s="47"/>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c r="AD718" s="46"/>
      <c r="AE718" s="46"/>
      <c r="AF718" s="46"/>
      <c r="AG718" s="46"/>
      <c r="AH718" s="46"/>
      <c r="AI718" s="46"/>
      <c r="AJ718" s="46"/>
      <c r="AK718" s="46"/>
      <c r="AL718" s="46"/>
    </row>
    <row r="719">
      <c r="A719" s="46"/>
      <c r="B719" s="46"/>
      <c r="C719" s="47"/>
      <c r="D719" s="47"/>
      <c r="E719" s="47"/>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c r="AD719" s="46"/>
      <c r="AE719" s="46"/>
      <c r="AF719" s="46"/>
      <c r="AG719" s="46"/>
      <c r="AH719" s="46"/>
      <c r="AI719" s="46"/>
      <c r="AJ719" s="46"/>
      <c r="AK719" s="46"/>
      <c r="AL719" s="46"/>
    </row>
    <row r="720">
      <c r="A720" s="46"/>
      <c r="B720" s="46"/>
      <c r="C720" s="47"/>
      <c r="D720" s="47"/>
      <c r="E720" s="47"/>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c r="AD720" s="46"/>
      <c r="AE720" s="46"/>
      <c r="AF720" s="46"/>
      <c r="AG720" s="46"/>
      <c r="AH720" s="46"/>
      <c r="AI720" s="46"/>
      <c r="AJ720" s="46"/>
      <c r="AK720" s="46"/>
      <c r="AL720" s="46"/>
    </row>
    <row r="721">
      <c r="A721" s="46"/>
      <c r="B721" s="46"/>
      <c r="C721" s="47"/>
      <c r="D721" s="47"/>
      <c r="E721" s="47"/>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c r="AD721" s="46"/>
      <c r="AE721" s="46"/>
      <c r="AF721" s="46"/>
      <c r="AG721" s="46"/>
      <c r="AH721" s="46"/>
      <c r="AI721" s="46"/>
      <c r="AJ721" s="46"/>
      <c r="AK721" s="46"/>
      <c r="AL721" s="46"/>
    </row>
    <row r="722">
      <c r="A722" s="46"/>
      <c r="B722" s="46"/>
      <c r="C722" s="47"/>
      <c r="D722" s="47"/>
      <c r="E722" s="47"/>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c r="AD722" s="46"/>
      <c r="AE722" s="46"/>
      <c r="AF722" s="46"/>
      <c r="AG722" s="46"/>
      <c r="AH722" s="46"/>
      <c r="AI722" s="46"/>
      <c r="AJ722" s="46"/>
      <c r="AK722" s="46"/>
      <c r="AL722" s="46"/>
    </row>
    <row r="723">
      <c r="A723" s="46"/>
      <c r="B723" s="46"/>
      <c r="C723" s="47"/>
      <c r="D723" s="47"/>
      <c r="E723" s="47"/>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c r="AD723" s="46"/>
      <c r="AE723" s="46"/>
      <c r="AF723" s="46"/>
      <c r="AG723" s="46"/>
      <c r="AH723" s="46"/>
      <c r="AI723" s="46"/>
      <c r="AJ723" s="46"/>
      <c r="AK723" s="46"/>
      <c r="AL723" s="46"/>
    </row>
    <row r="724">
      <c r="A724" s="46"/>
      <c r="B724" s="46"/>
      <c r="C724" s="47"/>
      <c r="D724" s="47"/>
      <c r="E724" s="47"/>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c r="AD724" s="46"/>
      <c r="AE724" s="46"/>
      <c r="AF724" s="46"/>
      <c r="AG724" s="46"/>
      <c r="AH724" s="46"/>
      <c r="AI724" s="46"/>
      <c r="AJ724" s="46"/>
      <c r="AK724" s="46"/>
      <c r="AL724" s="46"/>
    </row>
    <row r="725">
      <c r="A725" s="46"/>
      <c r="B725" s="46"/>
      <c r="C725" s="47"/>
      <c r="D725" s="47"/>
      <c r="E725" s="47"/>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c r="AD725" s="46"/>
      <c r="AE725" s="46"/>
      <c r="AF725" s="46"/>
      <c r="AG725" s="46"/>
      <c r="AH725" s="46"/>
      <c r="AI725" s="46"/>
      <c r="AJ725" s="46"/>
      <c r="AK725" s="46"/>
      <c r="AL725" s="46"/>
    </row>
    <row r="726">
      <c r="A726" s="46"/>
      <c r="B726" s="46"/>
      <c r="C726" s="47"/>
      <c r="D726" s="47"/>
      <c r="E726" s="47"/>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c r="AD726" s="46"/>
      <c r="AE726" s="46"/>
      <c r="AF726" s="46"/>
      <c r="AG726" s="46"/>
      <c r="AH726" s="46"/>
      <c r="AI726" s="46"/>
      <c r="AJ726" s="46"/>
      <c r="AK726" s="46"/>
      <c r="AL726" s="46"/>
    </row>
    <row r="727">
      <c r="A727" s="46"/>
      <c r="B727" s="46"/>
      <c r="C727" s="47"/>
      <c r="D727" s="47"/>
      <c r="E727" s="47"/>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c r="AD727" s="46"/>
      <c r="AE727" s="46"/>
      <c r="AF727" s="46"/>
      <c r="AG727" s="46"/>
      <c r="AH727" s="46"/>
      <c r="AI727" s="46"/>
      <c r="AJ727" s="46"/>
      <c r="AK727" s="46"/>
      <c r="AL727" s="46"/>
    </row>
    <row r="728">
      <c r="A728" s="46"/>
      <c r="B728" s="46"/>
      <c r="C728" s="47"/>
      <c r="D728" s="47"/>
      <c r="E728" s="47"/>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c r="AD728" s="46"/>
      <c r="AE728" s="46"/>
      <c r="AF728" s="46"/>
      <c r="AG728" s="46"/>
      <c r="AH728" s="46"/>
      <c r="AI728" s="46"/>
      <c r="AJ728" s="46"/>
      <c r="AK728" s="46"/>
      <c r="AL728" s="46"/>
    </row>
    <row r="729">
      <c r="A729" s="46"/>
      <c r="B729" s="46"/>
      <c r="C729" s="47"/>
      <c r="D729" s="47"/>
      <c r="E729" s="47"/>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c r="AD729" s="46"/>
      <c r="AE729" s="46"/>
      <c r="AF729" s="46"/>
      <c r="AG729" s="46"/>
      <c r="AH729" s="46"/>
      <c r="AI729" s="46"/>
      <c r="AJ729" s="46"/>
      <c r="AK729" s="46"/>
      <c r="AL729" s="46"/>
    </row>
    <row r="730">
      <c r="A730" s="46"/>
      <c r="B730" s="46"/>
      <c r="C730" s="47"/>
      <c r="D730" s="47"/>
      <c r="E730" s="47"/>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c r="AD730" s="46"/>
      <c r="AE730" s="46"/>
      <c r="AF730" s="46"/>
      <c r="AG730" s="46"/>
      <c r="AH730" s="46"/>
      <c r="AI730" s="46"/>
      <c r="AJ730" s="46"/>
      <c r="AK730" s="46"/>
      <c r="AL730" s="46"/>
    </row>
    <row r="731">
      <c r="A731" s="46"/>
      <c r="B731" s="46"/>
      <c r="C731" s="47"/>
      <c r="D731" s="47"/>
      <c r="E731" s="47"/>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c r="AD731" s="46"/>
      <c r="AE731" s="46"/>
      <c r="AF731" s="46"/>
      <c r="AG731" s="46"/>
      <c r="AH731" s="46"/>
      <c r="AI731" s="46"/>
      <c r="AJ731" s="46"/>
      <c r="AK731" s="46"/>
      <c r="AL731" s="46"/>
    </row>
    <row r="732">
      <c r="A732" s="46"/>
      <c r="B732" s="46"/>
      <c r="C732" s="47"/>
      <c r="D732" s="47"/>
      <c r="E732" s="47"/>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c r="AD732" s="46"/>
      <c r="AE732" s="46"/>
      <c r="AF732" s="46"/>
      <c r="AG732" s="46"/>
      <c r="AH732" s="46"/>
      <c r="AI732" s="46"/>
      <c r="AJ732" s="46"/>
      <c r="AK732" s="46"/>
      <c r="AL732" s="46"/>
    </row>
    <row r="733">
      <c r="A733" s="46"/>
      <c r="B733" s="46"/>
      <c r="C733" s="47"/>
      <c r="D733" s="47"/>
      <c r="E733" s="47"/>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c r="AD733" s="46"/>
      <c r="AE733" s="46"/>
      <c r="AF733" s="46"/>
      <c r="AG733" s="46"/>
      <c r="AH733" s="46"/>
      <c r="AI733" s="46"/>
      <c r="AJ733" s="46"/>
      <c r="AK733" s="46"/>
      <c r="AL733" s="46"/>
    </row>
    <row r="734">
      <c r="A734" s="46"/>
      <c r="B734" s="46"/>
      <c r="C734" s="47"/>
      <c r="D734" s="47"/>
      <c r="E734" s="47"/>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c r="AD734" s="46"/>
      <c r="AE734" s="46"/>
      <c r="AF734" s="46"/>
      <c r="AG734" s="46"/>
      <c r="AH734" s="46"/>
      <c r="AI734" s="46"/>
      <c r="AJ734" s="46"/>
      <c r="AK734" s="46"/>
      <c r="AL734" s="46"/>
    </row>
    <row r="735">
      <c r="A735" s="46"/>
      <c r="B735" s="46"/>
      <c r="C735" s="47"/>
      <c r="D735" s="47"/>
      <c r="E735" s="47"/>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c r="AD735" s="46"/>
      <c r="AE735" s="46"/>
      <c r="AF735" s="46"/>
      <c r="AG735" s="46"/>
      <c r="AH735" s="46"/>
      <c r="AI735" s="46"/>
      <c r="AJ735" s="46"/>
      <c r="AK735" s="46"/>
      <c r="AL735" s="46"/>
    </row>
    <row r="736">
      <c r="A736" s="46"/>
      <c r="B736" s="46"/>
      <c r="C736" s="47"/>
      <c r="D736" s="47"/>
      <c r="E736" s="47"/>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c r="AD736" s="46"/>
      <c r="AE736" s="46"/>
      <c r="AF736" s="46"/>
      <c r="AG736" s="46"/>
      <c r="AH736" s="46"/>
      <c r="AI736" s="46"/>
      <c r="AJ736" s="46"/>
      <c r="AK736" s="46"/>
      <c r="AL736" s="46"/>
    </row>
    <row r="737">
      <c r="A737" s="46"/>
      <c r="B737" s="46"/>
      <c r="C737" s="47"/>
      <c r="D737" s="47"/>
      <c r="E737" s="47"/>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c r="AD737" s="46"/>
      <c r="AE737" s="46"/>
      <c r="AF737" s="46"/>
      <c r="AG737" s="46"/>
      <c r="AH737" s="46"/>
      <c r="AI737" s="46"/>
      <c r="AJ737" s="46"/>
      <c r="AK737" s="46"/>
      <c r="AL737" s="46"/>
    </row>
    <row r="738">
      <c r="A738" s="46"/>
      <c r="B738" s="46"/>
      <c r="C738" s="47"/>
      <c r="D738" s="47"/>
      <c r="E738" s="47"/>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c r="AD738" s="46"/>
      <c r="AE738" s="46"/>
      <c r="AF738" s="46"/>
      <c r="AG738" s="46"/>
      <c r="AH738" s="46"/>
      <c r="AI738" s="46"/>
      <c r="AJ738" s="46"/>
      <c r="AK738" s="46"/>
      <c r="AL738" s="46"/>
    </row>
    <row r="739">
      <c r="A739" s="46"/>
      <c r="B739" s="46"/>
      <c r="C739" s="47"/>
      <c r="D739" s="47"/>
      <c r="E739" s="47"/>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c r="AD739" s="46"/>
      <c r="AE739" s="46"/>
      <c r="AF739" s="46"/>
      <c r="AG739" s="46"/>
      <c r="AH739" s="46"/>
      <c r="AI739" s="46"/>
      <c r="AJ739" s="46"/>
      <c r="AK739" s="46"/>
      <c r="AL739" s="46"/>
    </row>
    <row r="740">
      <c r="A740" s="46"/>
      <c r="B740" s="46"/>
      <c r="C740" s="47"/>
      <c r="D740" s="47"/>
      <c r="E740" s="47"/>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c r="AD740" s="46"/>
      <c r="AE740" s="46"/>
      <c r="AF740" s="46"/>
      <c r="AG740" s="46"/>
      <c r="AH740" s="46"/>
      <c r="AI740" s="46"/>
      <c r="AJ740" s="46"/>
      <c r="AK740" s="46"/>
      <c r="AL740" s="46"/>
    </row>
    <row r="741">
      <c r="A741" s="46"/>
      <c r="B741" s="46"/>
      <c r="C741" s="47"/>
      <c r="D741" s="47"/>
      <c r="E741" s="47"/>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c r="AD741" s="46"/>
      <c r="AE741" s="46"/>
      <c r="AF741" s="46"/>
      <c r="AG741" s="46"/>
      <c r="AH741" s="46"/>
      <c r="AI741" s="46"/>
      <c r="AJ741" s="46"/>
      <c r="AK741" s="46"/>
      <c r="AL741" s="46"/>
    </row>
    <row r="742">
      <c r="A742" s="46"/>
      <c r="B742" s="46"/>
      <c r="C742" s="47"/>
      <c r="D742" s="47"/>
      <c r="E742" s="47"/>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c r="AD742" s="46"/>
      <c r="AE742" s="46"/>
      <c r="AF742" s="46"/>
      <c r="AG742" s="46"/>
      <c r="AH742" s="46"/>
      <c r="AI742" s="46"/>
      <c r="AJ742" s="46"/>
      <c r="AK742" s="46"/>
      <c r="AL742" s="46"/>
    </row>
    <row r="743">
      <c r="A743" s="46"/>
      <c r="B743" s="46"/>
      <c r="C743" s="47"/>
      <c r="D743" s="47"/>
      <c r="E743" s="47"/>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c r="AD743" s="46"/>
      <c r="AE743" s="46"/>
      <c r="AF743" s="46"/>
      <c r="AG743" s="46"/>
      <c r="AH743" s="46"/>
      <c r="AI743" s="46"/>
      <c r="AJ743" s="46"/>
      <c r="AK743" s="46"/>
      <c r="AL743" s="46"/>
    </row>
    <row r="744">
      <c r="A744" s="46"/>
      <c r="B744" s="46"/>
      <c r="C744" s="47"/>
      <c r="D744" s="47"/>
      <c r="E744" s="47"/>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c r="AD744" s="46"/>
      <c r="AE744" s="46"/>
      <c r="AF744" s="46"/>
      <c r="AG744" s="46"/>
      <c r="AH744" s="46"/>
      <c r="AI744" s="46"/>
      <c r="AJ744" s="46"/>
      <c r="AK744" s="46"/>
      <c r="AL744" s="46"/>
    </row>
    <row r="745">
      <c r="A745" s="46"/>
      <c r="B745" s="46"/>
      <c r="C745" s="47"/>
      <c r="D745" s="47"/>
      <c r="E745" s="47"/>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c r="AD745" s="46"/>
      <c r="AE745" s="46"/>
      <c r="AF745" s="46"/>
      <c r="AG745" s="46"/>
      <c r="AH745" s="46"/>
      <c r="AI745" s="46"/>
      <c r="AJ745" s="46"/>
      <c r="AK745" s="46"/>
      <c r="AL745" s="46"/>
    </row>
    <row r="746">
      <c r="A746" s="46"/>
      <c r="B746" s="46"/>
      <c r="C746" s="47"/>
      <c r="D746" s="47"/>
      <c r="E746" s="47"/>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c r="AD746" s="46"/>
      <c r="AE746" s="46"/>
      <c r="AF746" s="46"/>
      <c r="AG746" s="46"/>
      <c r="AH746" s="46"/>
      <c r="AI746" s="46"/>
      <c r="AJ746" s="46"/>
      <c r="AK746" s="46"/>
      <c r="AL746" s="46"/>
    </row>
    <row r="747">
      <c r="A747" s="46"/>
      <c r="B747" s="46"/>
      <c r="C747" s="47"/>
      <c r="D747" s="47"/>
      <c r="E747" s="47"/>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c r="AD747" s="46"/>
      <c r="AE747" s="46"/>
      <c r="AF747" s="46"/>
      <c r="AG747" s="46"/>
      <c r="AH747" s="46"/>
      <c r="AI747" s="46"/>
      <c r="AJ747" s="46"/>
      <c r="AK747" s="46"/>
      <c r="AL747" s="46"/>
    </row>
    <row r="748">
      <c r="A748" s="46"/>
      <c r="B748" s="46"/>
      <c r="C748" s="47"/>
      <c r="D748" s="47"/>
      <c r="E748" s="47"/>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c r="AD748" s="46"/>
      <c r="AE748" s="46"/>
      <c r="AF748" s="46"/>
      <c r="AG748" s="46"/>
      <c r="AH748" s="46"/>
      <c r="AI748" s="46"/>
      <c r="AJ748" s="46"/>
      <c r="AK748" s="46"/>
      <c r="AL748" s="46"/>
    </row>
    <row r="749">
      <c r="A749" s="46"/>
      <c r="B749" s="46"/>
      <c r="C749" s="47"/>
      <c r="D749" s="47"/>
      <c r="E749" s="47"/>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c r="AD749" s="46"/>
      <c r="AE749" s="46"/>
      <c r="AF749" s="46"/>
      <c r="AG749" s="46"/>
      <c r="AH749" s="46"/>
      <c r="AI749" s="46"/>
      <c r="AJ749" s="46"/>
      <c r="AK749" s="46"/>
      <c r="AL749" s="46"/>
    </row>
    <row r="750">
      <c r="A750" s="46"/>
      <c r="B750" s="46"/>
      <c r="C750" s="47"/>
      <c r="D750" s="47"/>
      <c r="E750" s="47"/>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c r="AD750" s="46"/>
      <c r="AE750" s="46"/>
      <c r="AF750" s="46"/>
      <c r="AG750" s="46"/>
      <c r="AH750" s="46"/>
      <c r="AI750" s="46"/>
      <c r="AJ750" s="46"/>
      <c r="AK750" s="46"/>
      <c r="AL750" s="46"/>
    </row>
    <row r="751">
      <c r="A751" s="46"/>
      <c r="B751" s="46"/>
      <c r="C751" s="47"/>
      <c r="D751" s="47"/>
      <c r="E751" s="47"/>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c r="AD751" s="46"/>
      <c r="AE751" s="46"/>
      <c r="AF751" s="46"/>
      <c r="AG751" s="46"/>
      <c r="AH751" s="46"/>
      <c r="AI751" s="46"/>
      <c r="AJ751" s="46"/>
      <c r="AK751" s="46"/>
      <c r="AL751" s="46"/>
    </row>
    <row r="752">
      <c r="A752" s="46"/>
      <c r="B752" s="46"/>
      <c r="C752" s="47"/>
      <c r="D752" s="47"/>
      <c r="E752" s="47"/>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c r="AD752" s="46"/>
      <c r="AE752" s="46"/>
      <c r="AF752" s="46"/>
      <c r="AG752" s="46"/>
      <c r="AH752" s="46"/>
      <c r="AI752" s="46"/>
      <c r="AJ752" s="46"/>
      <c r="AK752" s="46"/>
      <c r="AL752" s="46"/>
    </row>
    <row r="753">
      <c r="A753" s="46"/>
      <c r="B753" s="46"/>
      <c r="C753" s="47"/>
      <c r="D753" s="47"/>
      <c r="E753" s="47"/>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c r="AD753" s="46"/>
      <c r="AE753" s="46"/>
      <c r="AF753" s="46"/>
      <c r="AG753" s="46"/>
      <c r="AH753" s="46"/>
      <c r="AI753" s="46"/>
      <c r="AJ753" s="46"/>
      <c r="AK753" s="46"/>
      <c r="AL753" s="46"/>
    </row>
    <row r="754">
      <c r="A754" s="46"/>
      <c r="B754" s="46"/>
      <c r="C754" s="47"/>
      <c r="D754" s="47"/>
      <c r="E754" s="47"/>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c r="AD754" s="46"/>
      <c r="AE754" s="46"/>
      <c r="AF754" s="46"/>
      <c r="AG754" s="46"/>
      <c r="AH754" s="46"/>
      <c r="AI754" s="46"/>
      <c r="AJ754" s="46"/>
      <c r="AK754" s="46"/>
      <c r="AL754" s="46"/>
    </row>
    <row r="755">
      <c r="A755" s="46"/>
      <c r="B755" s="46"/>
      <c r="C755" s="47"/>
      <c r="D755" s="47"/>
      <c r="E755" s="47"/>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c r="AD755" s="46"/>
      <c r="AE755" s="46"/>
      <c r="AF755" s="46"/>
      <c r="AG755" s="46"/>
      <c r="AH755" s="46"/>
      <c r="AI755" s="46"/>
      <c r="AJ755" s="46"/>
      <c r="AK755" s="46"/>
      <c r="AL755" s="46"/>
    </row>
    <row r="756">
      <c r="A756" s="46"/>
      <c r="B756" s="46"/>
      <c r="C756" s="47"/>
      <c r="D756" s="47"/>
      <c r="E756" s="47"/>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c r="AD756" s="46"/>
      <c r="AE756" s="46"/>
      <c r="AF756" s="46"/>
      <c r="AG756" s="46"/>
      <c r="AH756" s="46"/>
      <c r="AI756" s="46"/>
      <c r="AJ756" s="46"/>
      <c r="AK756" s="46"/>
      <c r="AL756" s="46"/>
    </row>
    <row r="757">
      <c r="A757" s="46"/>
      <c r="B757" s="46"/>
      <c r="C757" s="47"/>
      <c r="D757" s="47"/>
      <c r="E757" s="47"/>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c r="AD757" s="46"/>
      <c r="AE757" s="46"/>
      <c r="AF757" s="46"/>
      <c r="AG757" s="46"/>
      <c r="AH757" s="46"/>
      <c r="AI757" s="46"/>
      <c r="AJ757" s="46"/>
      <c r="AK757" s="46"/>
      <c r="AL757" s="46"/>
    </row>
    <row r="758">
      <c r="A758" s="46"/>
      <c r="B758" s="46"/>
      <c r="C758" s="47"/>
      <c r="D758" s="47"/>
      <c r="E758" s="47"/>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c r="AD758" s="46"/>
      <c r="AE758" s="46"/>
      <c r="AF758" s="46"/>
      <c r="AG758" s="46"/>
      <c r="AH758" s="46"/>
      <c r="AI758" s="46"/>
      <c r="AJ758" s="46"/>
      <c r="AK758" s="46"/>
      <c r="AL758" s="46"/>
    </row>
    <row r="759">
      <c r="A759" s="46"/>
      <c r="B759" s="46"/>
      <c r="C759" s="47"/>
      <c r="D759" s="47"/>
      <c r="E759" s="47"/>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c r="AD759" s="46"/>
      <c r="AE759" s="46"/>
      <c r="AF759" s="46"/>
      <c r="AG759" s="46"/>
      <c r="AH759" s="46"/>
      <c r="AI759" s="46"/>
      <c r="AJ759" s="46"/>
      <c r="AK759" s="46"/>
      <c r="AL759" s="46"/>
    </row>
    <row r="760">
      <c r="A760" s="46"/>
      <c r="B760" s="46"/>
      <c r="C760" s="47"/>
      <c r="D760" s="47"/>
      <c r="E760" s="47"/>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c r="AD760" s="46"/>
      <c r="AE760" s="46"/>
      <c r="AF760" s="46"/>
      <c r="AG760" s="46"/>
      <c r="AH760" s="46"/>
      <c r="AI760" s="46"/>
      <c r="AJ760" s="46"/>
      <c r="AK760" s="46"/>
      <c r="AL760" s="46"/>
    </row>
    <row r="761">
      <c r="A761" s="46"/>
      <c r="B761" s="46"/>
      <c r="C761" s="47"/>
      <c r="D761" s="47"/>
      <c r="E761" s="47"/>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c r="AD761" s="46"/>
      <c r="AE761" s="46"/>
      <c r="AF761" s="46"/>
      <c r="AG761" s="46"/>
      <c r="AH761" s="46"/>
      <c r="AI761" s="46"/>
      <c r="AJ761" s="46"/>
      <c r="AK761" s="46"/>
      <c r="AL761" s="46"/>
    </row>
    <row r="762">
      <c r="A762" s="46"/>
      <c r="B762" s="46"/>
      <c r="C762" s="47"/>
      <c r="D762" s="47"/>
      <c r="E762" s="47"/>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c r="AD762" s="46"/>
      <c r="AE762" s="46"/>
      <c r="AF762" s="46"/>
      <c r="AG762" s="46"/>
      <c r="AH762" s="46"/>
      <c r="AI762" s="46"/>
      <c r="AJ762" s="46"/>
      <c r="AK762" s="46"/>
      <c r="AL762" s="46"/>
    </row>
    <row r="763">
      <c r="A763" s="46"/>
      <c r="B763" s="46"/>
      <c r="C763" s="47"/>
      <c r="D763" s="47"/>
      <c r="E763" s="47"/>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c r="AD763" s="46"/>
      <c r="AE763" s="46"/>
      <c r="AF763" s="46"/>
      <c r="AG763" s="46"/>
      <c r="AH763" s="46"/>
      <c r="AI763" s="46"/>
      <c r="AJ763" s="46"/>
      <c r="AK763" s="46"/>
      <c r="AL763" s="46"/>
    </row>
    <row r="764">
      <c r="A764" s="46"/>
      <c r="B764" s="46"/>
      <c r="C764" s="47"/>
      <c r="D764" s="47"/>
      <c r="E764" s="47"/>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c r="AD764" s="46"/>
      <c r="AE764" s="46"/>
      <c r="AF764" s="46"/>
      <c r="AG764" s="46"/>
      <c r="AH764" s="46"/>
      <c r="AI764" s="46"/>
      <c r="AJ764" s="46"/>
      <c r="AK764" s="46"/>
      <c r="AL764" s="46"/>
    </row>
    <row r="765">
      <c r="A765" s="46"/>
      <c r="B765" s="46"/>
      <c r="C765" s="47"/>
      <c r="D765" s="47"/>
      <c r="E765" s="47"/>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c r="AD765" s="46"/>
      <c r="AE765" s="46"/>
      <c r="AF765" s="46"/>
      <c r="AG765" s="46"/>
      <c r="AH765" s="46"/>
      <c r="AI765" s="46"/>
      <c r="AJ765" s="46"/>
      <c r="AK765" s="46"/>
      <c r="AL765" s="46"/>
    </row>
    <row r="766">
      <c r="A766" s="46"/>
      <c r="B766" s="46"/>
      <c r="C766" s="47"/>
      <c r="D766" s="47"/>
      <c r="E766" s="47"/>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c r="AD766" s="46"/>
      <c r="AE766" s="46"/>
      <c r="AF766" s="46"/>
      <c r="AG766" s="46"/>
      <c r="AH766" s="46"/>
      <c r="AI766" s="46"/>
      <c r="AJ766" s="46"/>
      <c r="AK766" s="46"/>
      <c r="AL766" s="46"/>
    </row>
    <row r="767">
      <c r="A767" s="46"/>
      <c r="B767" s="46"/>
      <c r="C767" s="47"/>
      <c r="D767" s="47"/>
      <c r="E767" s="47"/>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c r="AD767" s="46"/>
      <c r="AE767" s="46"/>
      <c r="AF767" s="46"/>
      <c r="AG767" s="46"/>
      <c r="AH767" s="46"/>
      <c r="AI767" s="46"/>
      <c r="AJ767" s="46"/>
      <c r="AK767" s="46"/>
      <c r="AL767" s="46"/>
    </row>
    <row r="768">
      <c r="A768" s="46"/>
      <c r="B768" s="46"/>
      <c r="C768" s="47"/>
      <c r="D768" s="47"/>
      <c r="E768" s="47"/>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c r="AD768" s="46"/>
      <c r="AE768" s="46"/>
      <c r="AF768" s="46"/>
      <c r="AG768" s="46"/>
      <c r="AH768" s="46"/>
      <c r="AI768" s="46"/>
      <c r="AJ768" s="46"/>
      <c r="AK768" s="46"/>
      <c r="AL768" s="46"/>
    </row>
    <row r="769">
      <c r="A769" s="46"/>
      <c r="B769" s="46"/>
      <c r="C769" s="47"/>
      <c r="D769" s="47"/>
      <c r="E769" s="47"/>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c r="AD769" s="46"/>
      <c r="AE769" s="46"/>
      <c r="AF769" s="46"/>
      <c r="AG769" s="46"/>
      <c r="AH769" s="46"/>
      <c r="AI769" s="46"/>
      <c r="AJ769" s="46"/>
      <c r="AK769" s="46"/>
      <c r="AL769" s="46"/>
    </row>
    <row r="770">
      <c r="A770" s="46"/>
      <c r="B770" s="46"/>
      <c r="C770" s="47"/>
      <c r="D770" s="47"/>
      <c r="E770" s="47"/>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c r="AD770" s="46"/>
      <c r="AE770" s="46"/>
      <c r="AF770" s="46"/>
      <c r="AG770" s="46"/>
      <c r="AH770" s="46"/>
      <c r="AI770" s="46"/>
      <c r="AJ770" s="46"/>
      <c r="AK770" s="46"/>
      <c r="AL770" s="46"/>
    </row>
    <row r="771">
      <c r="A771" s="46"/>
      <c r="B771" s="46"/>
      <c r="C771" s="47"/>
      <c r="D771" s="47"/>
      <c r="E771" s="47"/>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c r="AD771" s="46"/>
      <c r="AE771" s="46"/>
      <c r="AF771" s="46"/>
      <c r="AG771" s="46"/>
      <c r="AH771" s="46"/>
      <c r="AI771" s="46"/>
      <c r="AJ771" s="46"/>
      <c r="AK771" s="46"/>
      <c r="AL771" s="46"/>
    </row>
    <row r="772">
      <c r="A772" s="46"/>
      <c r="B772" s="46"/>
      <c r="C772" s="47"/>
      <c r="D772" s="47"/>
      <c r="E772" s="47"/>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c r="AD772" s="46"/>
      <c r="AE772" s="46"/>
      <c r="AF772" s="46"/>
      <c r="AG772" s="46"/>
      <c r="AH772" s="46"/>
      <c r="AI772" s="46"/>
      <c r="AJ772" s="46"/>
      <c r="AK772" s="46"/>
      <c r="AL772" s="46"/>
    </row>
    <row r="773">
      <c r="A773" s="46"/>
      <c r="B773" s="46"/>
      <c r="C773" s="47"/>
      <c r="D773" s="47"/>
      <c r="E773" s="47"/>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c r="AD773" s="46"/>
      <c r="AE773" s="46"/>
      <c r="AF773" s="46"/>
      <c r="AG773" s="46"/>
      <c r="AH773" s="46"/>
      <c r="AI773" s="46"/>
      <c r="AJ773" s="46"/>
      <c r="AK773" s="46"/>
      <c r="AL773" s="46"/>
    </row>
    <row r="774">
      <c r="A774" s="46"/>
      <c r="B774" s="46"/>
      <c r="C774" s="47"/>
      <c r="D774" s="47"/>
      <c r="E774" s="47"/>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c r="AD774" s="46"/>
      <c r="AE774" s="46"/>
      <c r="AF774" s="46"/>
      <c r="AG774" s="46"/>
      <c r="AH774" s="46"/>
      <c r="AI774" s="46"/>
      <c r="AJ774" s="46"/>
      <c r="AK774" s="46"/>
      <c r="AL774" s="46"/>
    </row>
    <row r="775">
      <c r="A775" s="46"/>
      <c r="B775" s="46"/>
      <c r="C775" s="47"/>
      <c r="D775" s="47"/>
      <c r="E775" s="47"/>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c r="AD775" s="46"/>
      <c r="AE775" s="46"/>
      <c r="AF775" s="46"/>
      <c r="AG775" s="46"/>
      <c r="AH775" s="46"/>
      <c r="AI775" s="46"/>
      <c r="AJ775" s="46"/>
      <c r="AK775" s="46"/>
      <c r="AL775" s="46"/>
    </row>
    <row r="776">
      <c r="A776" s="46"/>
      <c r="B776" s="46"/>
      <c r="C776" s="47"/>
      <c r="D776" s="47"/>
      <c r="E776" s="47"/>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c r="AD776" s="46"/>
      <c r="AE776" s="46"/>
      <c r="AF776" s="46"/>
      <c r="AG776" s="46"/>
      <c r="AH776" s="46"/>
      <c r="AI776" s="46"/>
      <c r="AJ776" s="46"/>
      <c r="AK776" s="46"/>
      <c r="AL776" s="46"/>
    </row>
    <row r="777">
      <c r="A777" s="46"/>
      <c r="B777" s="46"/>
      <c r="C777" s="47"/>
      <c r="D777" s="47"/>
      <c r="E777" s="47"/>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c r="AD777" s="46"/>
      <c r="AE777" s="46"/>
      <c r="AF777" s="46"/>
      <c r="AG777" s="46"/>
      <c r="AH777" s="46"/>
      <c r="AI777" s="46"/>
      <c r="AJ777" s="46"/>
      <c r="AK777" s="46"/>
      <c r="AL777" s="46"/>
    </row>
    <row r="778">
      <c r="A778" s="46"/>
      <c r="B778" s="46"/>
      <c r="C778" s="47"/>
      <c r="D778" s="47"/>
      <c r="E778" s="47"/>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c r="AD778" s="46"/>
      <c r="AE778" s="46"/>
      <c r="AF778" s="46"/>
      <c r="AG778" s="46"/>
      <c r="AH778" s="46"/>
      <c r="AI778" s="46"/>
      <c r="AJ778" s="46"/>
      <c r="AK778" s="46"/>
      <c r="AL778" s="46"/>
    </row>
    <row r="779">
      <c r="A779" s="46"/>
      <c r="B779" s="46"/>
      <c r="C779" s="47"/>
      <c r="D779" s="47"/>
      <c r="E779" s="47"/>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c r="AD779" s="46"/>
      <c r="AE779" s="46"/>
      <c r="AF779" s="46"/>
      <c r="AG779" s="46"/>
      <c r="AH779" s="46"/>
      <c r="AI779" s="46"/>
      <c r="AJ779" s="46"/>
      <c r="AK779" s="46"/>
      <c r="AL779" s="46"/>
    </row>
    <row r="780">
      <c r="A780" s="46"/>
      <c r="B780" s="46"/>
      <c r="C780" s="47"/>
      <c r="D780" s="47"/>
      <c r="E780" s="47"/>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c r="AD780" s="46"/>
      <c r="AE780" s="46"/>
      <c r="AF780" s="46"/>
      <c r="AG780" s="46"/>
      <c r="AH780" s="46"/>
      <c r="AI780" s="46"/>
      <c r="AJ780" s="46"/>
      <c r="AK780" s="46"/>
      <c r="AL780" s="46"/>
    </row>
    <row r="781">
      <c r="A781" s="46"/>
      <c r="B781" s="46"/>
      <c r="C781" s="47"/>
      <c r="D781" s="47"/>
      <c r="E781" s="47"/>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c r="AD781" s="46"/>
      <c r="AE781" s="46"/>
      <c r="AF781" s="46"/>
      <c r="AG781" s="46"/>
      <c r="AH781" s="46"/>
      <c r="AI781" s="46"/>
      <c r="AJ781" s="46"/>
      <c r="AK781" s="46"/>
      <c r="AL781" s="46"/>
    </row>
    <row r="782">
      <c r="A782" s="46"/>
      <c r="B782" s="46"/>
      <c r="C782" s="47"/>
      <c r="D782" s="47"/>
      <c r="E782" s="47"/>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c r="AD782" s="46"/>
      <c r="AE782" s="46"/>
      <c r="AF782" s="46"/>
      <c r="AG782" s="46"/>
      <c r="AH782" s="46"/>
      <c r="AI782" s="46"/>
      <c r="AJ782" s="46"/>
      <c r="AK782" s="46"/>
      <c r="AL782" s="46"/>
    </row>
    <row r="783">
      <c r="A783" s="46"/>
      <c r="B783" s="46"/>
      <c r="C783" s="47"/>
      <c r="D783" s="47"/>
      <c r="E783" s="47"/>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c r="AD783" s="46"/>
      <c r="AE783" s="46"/>
      <c r="AF783" s="46"/>
      <c r="AG783" s="46"/>
      <c r="AH783" s="46"/>
      <c r="AI783" s="46"/>
      <c r="AJ783" s="46"/>
      <c r="AK783" s="46"/>
      <c r="AL783" s="46"/>
    </row>
    <row r="784">
      <c r="A784" s="46"/>
      <c r="B784" s="46"/>
      <c r="C784" s="47"/>
      <c r="D784" s="47"/>
      <c r="E784" s="47"/>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c r="AD784" s="46"/>
      <c r="AE784" s="46"/>
      <c r="AF784" s="46"/>
      <c r="AG784" s="46"/>
      <c r="AH784" s="46"/>
      <c r="AI784" s="46"/>
      <c r="AJ784" s="46"/>
      <c r="AK784" s="46"/>
      <c r="AL784" s="46"/>
    </row>
    <row r="785">
      <c r="A785" s="46"/>
      <c r="B785" s="46"/>
      <c r="C785" s="47"/>
      <c r="D785" s="47"/>
      <c r="E785" s="47"/>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c r="AD785" s="46"/>
      <c r="AE785" s="46"/>
      <c r="AF785" s="46"/>
      <c r="AG785" s="46"/>
      <c r="AH785" s="46"/>
      <c r="AI785" s="46"/>
      <c r="AJ785" s="46"/>
      <c r="AK785" s="46"/>
      <c r="AL785" s="46"/>
    </row>
    <row r="786">
      <c r="A786" s="46"/>
      <c r="B786" s="46"/>
      <c r="C786" s="47"/>
      <c r="D786" s="47"/>
      <c r="E786" s="47"/>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c r="AD786" s="46"/>
      <c r="AE786" s="46"/>
      <c r="AF786" s="46"/>
      <c r="AG786" s="46"/>
      <c r="AH786" s="46"/>
      <c r="AI786" s="46"/>
      <c r="AJ786" s="46"/>
      <c r="AK786" s="46"/>
      <c r="AL786" s="46"/>
    </row>
    <row r="787">
      <c r="A787" s="46"/>
      <c r="B787" s="46"/>
      <c r="C787" s="47"/>
      <c r="D787" s="47"/>
      <c r="E787" s="47"/>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c r="AD787" s="46"/>
      <c r="AE787" s="46"/>
      <c r="AF787" s="46"/>
      <c r="AG787" s="46"/>
      <c r="AH787" s="46"/>
      <c r="AI787" s="46"/>
      <c r="AJ787" s="46"/>
      <c r="AK787" s="46"/>
      <c r="AL787" s="46"/>
    </row>
    <row r="788">
      <c r="A788" s="46"/>
      <c r="B788" s="46"/>
      <c r="C788" s="47"/>
      <c r="D788" s="47"/>
      <c r="E788" s="47"/>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c r="AD788" s="46"/>
      <c r="AE788" s="46"/>
      <c r="AF788" s="46"/>
      <c r="AG788" s="46"/>
      <c r="AH788" s="46"/>
      <c r="AI788" s="46"/>
      <c r="AJ788" s="46"/>
      <c r="AK788" s="46"/>
      <c r="AL788" s="46"/>
    </row>
    <row r="789">
      <c r="A789" s="46"/>
      <c r="B789" s="46"/>
      <c r="C789" s="47"/>
      <c r="D789" s="47"/>
      <c r="E789" s="47"/>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c r="AD789" s="46"/>
      <c r="AE789" s="46"/>
      <c r="AF789" s="46"/>
      <c r="AG789" s="46"/>
      <c r="AH789" s="46"/>
      <c r="AI789" s="46"/>
      <c r="AJ789" s="46"/>
      <c r="AK789" s="46"/>
      <c r="AL789" s="46"/>
    </row>
    <row r="790">
      <c r="A790" s="46"/>
      <c r="B790" s="46"/>
      <c r="C790" s="47"/>
      <c r="D790" s="47"/>
      <c r="E790" s="47"/>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c r="AD790" s="46"/>
      <c r="AE790" s="46"/>
      <c r="AF790" s="46"/>
      <c r="AG790" s="46"/>
      <c r="AH790" s="46"/>
      <c r="AI790" s="46"/>
      <c r="AJ790" s="46"/>
      <c r="AK790" s="46"/>
      <c r="AL790" s="46"/>
    </row>
    <row r="791">
      <c r="A791" s="46"/>
      <c r="B791" s="46"/>
      <c r="C791" s="47"/>
      <c r="D791" s="47"/>
      <c r="E791" s="47"/>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c r="AD791" s="46"/>
      <c r="AE791" s="46"/>
      <c r="AF791" s="46"/>
      <c r="AG791" s="46"/>
      <c r="AH791" s="46"/>
      <c r="AI791" s="46"/>
      <c r="AJ791" s="46"/>
      <c r="AK791" s="46"/>
      <c r="AL791" s="46"/>
    </row>
    <row r="792">
      <c r="A792" s="46"/>
      <c r="B792" s="46"/>
      <c r="C792" s="47"/>
      <c r="D792" s="47"/>
      <c r="E792" s="47"/>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c r="AD792" s="46"/>
      <c r="AE792" s="46"/>
      <c r="AF792" s="46"/>
      <c r="AG792" s="46"/>
      <c r="AH792" s="46"/>
      <c r="AI792" s="46"/>
      <c r="AJ792" s="46"/>
      <c r="AK792" s="46"/>
      <c r="AL792" s="46"/>
    </row>
    <row r="793">
      <c r="A793" s="46"/>
      <c r="B793" s="46"/>
      <c r="C793" s="47"/>
      <c r="D793" s="47"/>
      <c r="E793" s="47"/>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c r="AD793" s="46"/>
      <c r="AE793" s="46"/>
      <c r="AF793" s="46"/>
      <c r="AG793" s="46"/>
      <c r="AH793" s="46"/>
      <c r="AI793" s="46"/>
      <c r="AJ793" s="46"/>
      <c r="AK793" s="46"/>
      <c r="AL793" s="46"/>
    </row>
    <row r="794">
      <c r="A794" s="46"/>
      <c r="B794" s="46"/>
      <c r="C794" s="47"/>
      <c r="D794" s="47"/>
      <c r="E794" s="47"/>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c r="AD794" s="46"/>
      <c r="AE794" s="46"/>
      <c r="AF794" s="46"/>
      <c r="AG794" s="46"/>
      <c r="AH794" s="46"/>
      <c r="AI794" s="46"/>
      <c r="AJ794" s="46"/>
      <c r="AK794" s="46"/>
      <c r="AL794" s="46"/>
    </row>
    <row r="795">
      <c r="A795" s="46"/>
      <c r="B795" s="46"/>
      <c r="C795" s="47"/>
      <c r="D795" s="47"/>
      <c r="E795" s="47"/>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c r="AD795" s="46"/>
      <c r="AE795" s="46"/>
      <c r="AF795" s="46"/>
      <c r="AG795" s="46"/>
      <c r="AH795" s="46"/>
      <c r="AI795" s="46"/>
      <c r="AJ795" s="46"/>
      <c r="AK795" s="46"/>
      <c r="AL795" s="46"/>
    </row>
    <row r="796">
      <c r="A796" s="46"/>
      <c r="B796" s="46"/>
      <c r="C796" s="47"/>
      <c r="D796" s="47"/>
      <c r="E796" s="47"/>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c r="AD796" s="46"/>
      <c r="AE796" s="46"/>
      <c r="AF796" s="46"/>
      <c r="AG796" s="46"/>
      <c r="AH796" s="46"/>
      <c r="AI796" s="46"/>
      <c r="AJ796" s="46"/>
      <c r="AK796" s="46"/>
      <c r="AL796" s="46"/>
    </row>
    <row r="797">
      <c r="A797" s="46"/>
      <c r="B797" s="46"/>
      <c r="C797" s="47"/>
      <c r="D797" s="47"/>
      <c r="E797" s="47"/>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c r="AD797" s="46"/>
      <c r="AE797" s="46"/>
      <c r="AF797" s="46"/>
      <c r="AG797" s="46"/>
      <c r="AH797" s="46"/>
      <c r="AI797" s="46"/>
      <c r="AJ797" s="46"/>
      <c r="AK797" s="46"/>
      <c r="AL797" s="46"/>
    </row>
    <row r="798">
      <c r="A798" s="46"/>
      <c r="B798" s="46"/>
      <c r="C798" s="47"/>
      <c r="D798" s="47"/>
      <c r="E798" s="47"/>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c r="AD798" s="46"/>
      <c r="AE798" s="46"/>
      <c r="AF798" s="46"/>
      <c r="AG798" s="46"/>
      <c r="AH798" s="46"/>
      <c r="AI798" s="46"/>
      <c r="AJ798" s="46"/>
      <c r="AK798" s="46"/>
      <c r="AL798" s="46"/>
    </row>
    <row r="799">
      <c r="A799" s="46"/>
      <c r="B799" s="46"/>
      <c r="C799" s="47"/>
      <c r="D799" s="47"/>
      <c r="E799" s="47"/>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c r="AD799" s="46"/>
      <c r="AE799" s="46"/>
      <c r="AF799" s="46"/>
      <c r="AG799" s="46"/>
      <c r="AH799" s="46"/>
      <c r="AI799" s="46"/>
      <c r="AJ799" s="46"/>
      <c r="AK799" s="46"/>
      <c r="AL799" s="46"/>
    </row>
    <row r="800">
      <c r="A800" s="46"/>
      <c r="B800" s="46"/>
      <c r="C800" s="47"/>
      <c r="D800" s="47"/>
      <c r="E800" s="47"/>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c r="AD800" s="46"/>
      <c r="AE800" s="46"/>
      <c r="AF800" s="46"/>
      <c r="AG800" s="46"/>
      <c r="AH800" s="46"/>
      <c r="AI800" s="46"/>
      <c r="AJ800" s="46"/>
      <c r="AK800" s="46"/>
      <c r="AL800" s="46"/>
    </row>
    <row r="801">
      <c r="A801" s="46"/>
      <c r="B801" s="46"/>
      <c r="C801" s="47"/>
      <c r="D801" s="47"/>
      <c r="E801" s="47"/>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c r="AD801" s="46"/>
      <c r="AE801" s="46"/>
      <c r="AF801" s="46"/>
      <c r="AG801" s="46"/>
      <c r="AH801" s="46"/>
      <c r="AI801" s="46"/>
      <c r="AJ801" s="46"/>
      <c r="AK801" s="46"/>
      <c r="AL801" s="46"/>
    </row>
    <row r="802">
      <c r="A802" s="46"/>
      <c r="B802" s="46"/>
      <c r="C802" s="47"/>
      <c r="D802" s="47"/>
      <c r="E802" s="47"/>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c r="AD802" s="46"/>
      <c r="AE802" s="46"/>
      <c r="AF802" s="46"/>
      <c r="AG802" s="46"/>
      <c r="AH802" s="46"/>
      <c r="AI802" s="46"/>
      <c r="AJ802" s="46"/>
      <c r="AK802" s="46"/>
      <c r="AL802" s="46"/>
    </row>
    <row r="803">
      <c r="A803" s="46"/>
      <c r="B803" s="46"/>
      <c r="C803" s="47"/>
      <c r="D803" s="47"/>
      <c r="E803" s="47"/>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c r="AD803" s="46"/>
      <c r="AE803" s="46"/>
      <c r="AF803" s="46"/>
      <c r="AG803" s="46"/>
      <c r="AH803" s="46"/>
      <c r="AI803" s="46"/>
      <c r="AJ803" s="46"/>
      <c r="AK803" s="46"/>
      <c r="AL803" s="46"/>
    </row>
    <row r="804">
      <c r="A804" s="46"/>
      <c r="B804" s="46"/>
      <c r="C804" s="47"/>
      <c r="D804" s="47"/>
      <c r="E804" s="47"/>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c r="AD804" s="46"/>
      <c r="AE804" s="46"/>
      <c r="AF804" s="46"/>
      <c r="AG804" s="46"/>
      <c r="AH804" s="46"/>
      <c r="AI804" s="46"/>
      <c r="AJ804" s="46"/>
      <c r="AK804" s="46"/>
      <c r="AL804" s="46"/>
    </row>
    <row r="805">
      <c r="A805" s="46"/>
      <c r="B805" s="46"/>
      <c r="C805" s="47"/>
      <c r="D805" s="47"/>
      <c r="E805" s="47"/>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c r="AD805" s="46"/>
      <c r="AE805" s="46"/>
      <c r="AF805" s="46"/>
      <c r="AG805" s="46"/>
      <c r="AH805" s="46"/>
      <c r="AI805" s="46"/>
      <c r="AJ805" s="46"/>
      <c r="AK805" s="46"/>
      <c r="AL805" s="46"/>
    </row>
    <row r="806">
      <c r="A806" s="46"/>
      <c r="B806" s="46"/>
      <c r="C806" s="47"/>
      <c r="D806" s="47"/>
      <c r="E806" s="47"/>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c r="AD806" s="46"/>
      <c r="AE806" s="46"/>
      <c r="AF806" s="46"/>
      <c r="AG806" s="46"/>
      <c r="AH806" s="46"/>
      <c r="AI806" s="46"/>
      <c r="AJ806" s="46"/>
      <c r="AK806" s="46"/>
      <c r="AL806" s="46"/>
    </row>
    <row r="807">
      <c r="A807" s="46"/>
      <c r="B807" s="46"/>
      <c r="C807" s="47"/>
      <c r="D807" s="47"/>
      <c r="E807" s="47"/>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c r="AD807" s="46"/>
      <c r="AE807" s="46"/>
      <c r="AF807" s="46"/>
      <c r="AG807" s="46"/>
      <c r="AH807" s="46"/>
      <c r="AI807" s="46"/>
      <c r="AJ807" s="46"/>
      <c r="AK807" s="46"/>
      <c r="AL807" s="46"/>
    </row>
    <row r="808">
      <c r="A808" s="46"/>
      <c r="B808" s="46"/>
      <c r="C808" s="47"/>
      <c r="D808" s="47"/>
      <c r="E808" s="47"/>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c r="AD808" s="46"/>
      <c r="AE808" s="46"/>
      <c r="AF808" s="46"/>
      <c r="AG808" s="46"/>
      <c r="AH808" s="46"/>
      <c r="AI808" s="46"/>
      <c r="AJ808" s="46"/>
      <c r="AK808" s="46"/>
      <c r="AL808" s="46"/>
    </row>
    <row r="809">
      <c r="A809" s="46"/>
      <c r="B809" s="46"/>
      <c r="C809" s="47"/>
      <c r="D809" s="47"/>
      <c r="E809" s="47"/>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c r="AE809" s="46"/>
      <c r="AF809" s="46"/>
      <c r="AG809" s="46"/>
      <c r="AH809" s="46"/>
      <c r="AI809" s="46"/>
      <c r="AJ809" s="46"/>
      <c r="AK809" s="46"/>
      <c r="AL809" s="46"/>
    </row>
    <row r="810">
      <c r="A810" s="46"/>
      <c r="B810" s="46"/>
      <c r="C810" s="47"/>
      <c r="D810" s="47"/>
      <c r="E810" s="47"/>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c r="AD810" s="46"/>
      <c r="AE810" s="46"/>
      <c r="AF810" s="46"/>
      <c r="AG810" s="46"/>
      <c r="AH810" s="46"/>
      <c r="AI810" s="46"/>
      <c r="AJ810" s="46"/>
      <c r="AK810" s="46"/>
      <c r="AL810" s="46"/>
    </row>
    <row r="811">
      <c r="A811" s="46"/>
      <c r="B811" s="46"/>
      <c r="C811" s="47"/>
      <c r="D811" s="47"/>
      <c r="E811" s="47"/>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c r="AD811" s="46"/>
      <c r="AE811" s="46"/>
      <c r="AF811" s="46"/>
      <c r="AG811" s="46"/>
      <c r="AH811" s="46"/>
      <c r="AI811" s="46"/>
      <c r="AJ811" s="46"/>
      <c r="AK811" s="46"/>
      <c r="AL811" s="46"/>
    </row>
    <row r="812">
      <c r="A812" s="46"/>
      <c r="B812" s="46"/>
      <c r="C812" s="47"/>
      <c r="D812" s="47"/>
      <c r="E812" s="47"/>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c r="AD812" s="46"/>
      <c r="AE812" s="46"/>
      <c r="AF812" s="46"/>
      <c r="AG812" s="46"/>
      <c r="AH812" s="46"/>
      <c r="AI812" s="46"/>
      <c r="AJ812" s="46"/>
      <c r="AK812" s="46"/>
      <c r="AL812" s="46"/>
    </row>
    <row r="813">
      <c r="A813" s="46"/>
      <c r="B813" s="46"/>
      <c r="C813" s="47"/>
      <c r="D813" s="47"/>
      <c r="E813" s="47"/>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c r="AD813" s="46"/>
      <c r="AE813" s="46"/>
      <c r="AF813" s="46"/>
      <c r="AG813" s="46"/>
      <c r="AH813" s="46"/>
      <c r="AI813" s="46"/>
      <c r="AJ813" s="46"/>
      <c r="AK813" s="46"/>
      <c r="AL813" s="46"/>
    </row>
    <row r="814">
      <c r="A814" s="46"/>
      <c r="B814" s="46"/>
      <c r="C814" s="47"/>
      <c r="D814" s="47"/>
      <c r="E814" s="47"/>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c r="AD814" s="46"/>
      <c r="AE814" s="46"/>
      <c r="AF814" s="46"/>
      <c r="AG814" s="46"/>
      <c r="AH814" s="46"/>
      <c r="AI814" s="46"/>
      <c r="AJ814" s="46"/>
      <c r="AK814" s="46"/>
      <c r="AL814" s="46"/>
    </row>
    <row r="815">
      <c r="A815" s="46"/>
      <c r="B815" s="46"/>
      <c r="C815" s="47"/>
      <c r="D815" s="47"/>
      <c r="E815" s="47"/>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c r="AD815" s="46"/>
      <c r="AE815" s="46"/>
      <c r="AF815" s="46"/>
      <c r="AG815" s="46"/>
      <c r="AH815" s="46"/>
      <c r="AI815" s="46"/>
      <c r="AJ815" s="46"/>
      <c r="AK815" s="46"/>
      <c r="AL815" s="46"/>
    </row>
    <row r="816">
      <c r="A816" s="46"/>
      <c r="B816" s="46"/>
      <c r="C816" s="47"/>
      <c r="D816" s="47"/>
      <c r="E816" s="47"/>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c r="AD816" s="46"/>
      <c r="AE816" s="46"/>
      <c r="AF816" s="46"/>
      <c r="AG816" s="46"/>
      <c r="AH816" s="46"/>
      <c r="AI816" s="46"/>
      <c r="AJ816" s="46"/>
      <c r="AK816" s="46"/>
      <c r="AL816" s="46"/>
    </row>
    <row r="817">
      <c r="A817" s="46"/>
      <c r="B817" s="46"/>
      <c r="C817" s="47"/>
      <c r="D817" s="47"/>
      <c r="E817" s="47"/>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c r="AD817" s="46"/>
      <c r="AE817" s="46"/>
      <c r="AF817" s="46"/>
      <c r="AG817" s="46"/>
      <c r="AH817" s="46"/>
      <c r="AI817" s="46"/>
      <c r="AJ817" s="46"/>
      <c r="AK817" s="46"/>
      <c r="AL817" s="46"/>
    </row>
    <row r="818">
      <c r="A818" s="46"/>
      <c r="B818" s="46"/>
      <c r="C818" s="47"/>
      <c r="D818" s="47"/>
      <c r="E818" s="47"/>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c r="AD818" s="46"/>
      <c r="AE818" s="46"/>
      <c r="AF818" s="46"/>
      <c r="AG818" s="46"/>
      <c r="AH818" s="46"/>
      <c r="AI818" s="46"/>
      <c r="AJ818" s="46"/>
      <c r="AK818" s="46"/>
      <c r="AL818" s="46"/>
    </row>
    <row r="819">
      <c r="A819" s="46"/>
      <c r="B819" s="46"/>
      <c r="C819" s="47"/>
      <c r="D819" s="47"/>
      <c r="E819" s="47"/>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c r="AD819" s="46"/>
      <c r="AE819" s="46"/>
      <c r="AF819" s="46"/>
      <c r="AG819" s="46"/>
      <c r="AH819" s="46"/>
      <c r="AI819" s="46"/>
      <c r="AJ819" s="46"/>
      <c r="AK819" s="46"/>
      <c r="AL819" s="46"/>
    </row>
    <row r="820">
      <c r="A820" s="46"/>
      <c r="B820" s="46"/>
      <c r="C820" s="47"/>
      <c r="D820" s="47"/>
      <c r="E820" s="47"/>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c r="AD820" s="46"/>
      <c r="AE820" s="46"/>
      <c r="AF820" s="46"/>
      <c r="AG820" s="46"/>
      <c r="AH820" s="46"/>
      <c r="AI820" s="46"/>
      <c r="AJ820" s="46"/>
      <c r="AK820" s="46"/>
      <c r="AL820" s="46"/>
    </row>
    <row r="821">
      <c r="A821" s="46"/>
      <c r="B821" s="46"/>
      <c r="C821" s="47"/>
      <c r="D821" s="47"/>
      <c r="E821" s="47"/>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c r="AD821" s="46"/>
      <c r="AE821" s="46"/>
      <c r="AF821" s="46"/>
      <c r="AG821" s="46"/>
      <c r="AH821" s="46"/>
      <c r="AI821" s="46"/>
      <c r="AJ821" s="46"/>
      <c r="AK821" s="46"/>
      <c r="AL821" s="46"/>
    </row>
    <row r="822">
      <c r="A822" s="46"/>
      <c r="B822" s="46"/>
      <c r="C822" s="47"/>
      <c r="D822" s="47"/>
      <c r="E822" s="47"/>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c r="AD822" s="46"/>
      <c r="AE822" s="46"/>
      <c r="AF822" s="46"/>
      <c r="AG822" s="46"/>
      <c r="AH822" s="46"/>
      <c r="AI822" s="46"/>
      <c r="AJ822" s="46"/>
      <c r="AK822" s="46"/>
      <c r="AL822" s="46"/>
    </row>
    <row r="823">
      <c r="A823" s="46"/>
      <c r="B823" s="46"/>
      <c r="C823" s="47"/>
      <c r="D823" s="47"/>
      <c r="E823" s="47"/>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c r="AD823" s="46"/>
      <c r="AE823" s="46"/>
      <c r="AF823" s="46"/>
      <c r="AG823" s="46"/>
      <c r="AH823" s="46"/>
      <c r="AI823" s="46"/>
      <c r="AJ823" s="46"/>
      <c r="AK823" s="46"/>
      <c r="AL823" s="46"/>
    </row>
    <row r="824">
      <c r="A824" s="46"/>
      <c r="B824" s="46"/>
      <c r="C824" s="47"/>
      <c r="D824" s="47"/>
      <c r="E824" s="47"/>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c r="AD824" s="46"/>
      <c r="AE824" s="46"/>
      <c r="AF824" s="46"/>
      <c r="AG824" s="46"/>
      <c r="AH824" s="46"/>
      <c r="AI824" s="46"/>
      <c r="AJ824" s="46"/>
      <c r="AK824" s="46"/>
      <c r="AL824" s="46"/>
    </row>
    <row r="825">
      <c r="A825" s="46"/>
      <c r="B825" s="46"/>
      <c r="C825" s="47"/>
      <c r="D825" s="47"/>
      <c r="E825" s="47"/>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c r="AD825" s="46"/>
      <c r="AE825" s="46"/>
      <c r="AF825" s="46"/>
      <c r="AG825" s="46"/>
      <c r="AH825" s="46"/>
      <c r="AI825" s="46"/>
      <c r="AJ825" s="46"/>
      <c r="AK825" s="46"/>
      <c r="AL825" s="46"/>
    </row>
    <row r="826">
      <c r="A826" s="46"/>
      <c r="B826" s="46"/>
      <c r="C826" s="47"/>
      <c r="D826" s="47"/>
      <c r="E826" s="47"/>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c r="AD826" s="46"/>
      <c r="AE826" s="46"/>
      <c r="AF826" s="46"/>
      <c r="AG826" s="46"/>
      <c r="AH826" s="46"/>
      <c r="AI826" s="46"/>
      <c r="AJ826" s="46"/>
      <c r="AK826" s="46"/>
      <c r="AL826" s="46"/>
    </row>
    <row r="827">
      <c r="A827" s="46"/>
      <c r="B827" s="46"/>
      <c r="C827" s="47"/>
      <c r="D827" s="47"/>
      <c r="E827" s="47"/>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c r="AD827" s="46"/>
      <c r="AE827" s="46"/>
      <c r="AF827" s="46"/>
      <c r="AG827" s="46"/>
      <c r="AH827" s="46"/>
      <c r="AI827" s="46"/>
      <c r="AJ827" s="46"/>
      <c r="AK827" s="46"/>
      <c r="AL827" s="46"/>
    </row>
    <row r="828">
      <c r="A828" s="46"/>
      <c r="B828" s="46"/>
      <c r="C828" s="47"/>
      <c r="D828" s="47"/>
      <c r="E828" s="47"/>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c r="AD828" s="46"/>
      <c r="AE828" s="46"/>
      <c r="AF828" s="46"/>
      <c r="AG828" s="46"/>
      <c r="AH828" s="46"/>
      <c r="AI828" s="46"/>
      <c r="AJ828" s="46"/>
      <c r="AK828" s="46"/>
      <c r="AL828" s="46"/>
    </row>
    <row r="829">
      <c r="A829" s="46"/>
      <c r="B829" s="46"/>
      <c r="C829" s="47"/>
      <c r="D829" s="47"/>
      <c r="E829" s="47"/>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c r="AD829" s="46"/>
      <c r="AE829" s="46"/>
      <c r="AF829" s="46"/>
      <c r="AG829" s="46"/>
      <c r="AH829" s="46"/>
      <c r="AI829" s="46"/>
      <c r="AJ829" s="46"/>
      <c r="AK829" s="46"/>
      <c r="AL829" s="46"/>
    </row>
    <row r="830">
      <c r="A830" s="46"/>
      <c r="B830" s="46"/>
      <c r="C830" s="47"/>
      <c r="D830" s="47"/>
      <c r="E830" s="47"/>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c r="AD830" s="46"/>
      <c r="AE830" s="46"/>
      <c r="AF830" s="46"/>
      <c r="AG830" s="46"/>
      <c r="AH830" s="46"/>
      <c r="AI830" s="46"/>
      <c r="AJ830" s="46"/>
      <c r="AK830" s="46"/>
      <c r="AL830" s="46"/>
    </row>
    <row r="831">
      <c r="A831" s="46"/>
      <c r="B831" s="46"/>
      <c r="C831" s="47"/>
      <c r="D831" s="47"/>
      <c r="E831" s="47"/>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c r="AD831" s="46"/>
      <c r="AE831" s="46"/>
      <c r="AF831" s="46"/>
      <c r="AG831" s="46"/>
      <c r="AH831" s="46"/>
      <c r="AI831" s="46"/>
      <c r="AJ831" s="46"/>
      <c r="AK831" s="46"/>
      <c r="AL831" s="46"/>
    </row>
    <row r="832">
      <c r="A832" s="46"/>
      <c r="B832" s="46"/>
      <c r="C832" s="47"/>
      <c r="D832" s="47"/>
      <c r="E832" s="47"/>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c r="AD832" s="46"/>
      <c r="AE832" s="46"/>
      <c r="AF832" s="46"/>
      <c r="AG832" s="46"/>
      <c r="AH832" s="46"/>
      <c r="AI832" s="46"/>
      <c r="AJ832" s="46"/>
      <c r="AK832" s="46"/>
      <c r="AL832" s="46"/>
    </row>
    <row r="833">
      <c r="A833" s="46"/>
      <c r="B833" s="46"/>
      <c r="C833" s="47"/>
      <c r="D833" s="47"/>
      <c r="E833" s="47"/>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c r="AD833" s="46"/>
      <c r="AE833" s="46"/>
      <c r="AF833" s="46"/>
      <c r="AG833" s="46"/>
      <c r="AH833" s="46"/>
      <c r="AI833" s="46"/>
      <c r="AJ833" s="46"/>
      <c r="AK833" s="46"/>
      <c r="AL833" s="46"/>
    </row>
    <row r="834">
      <c r="A834" s="46"/>
      <c r="B834" s="46"/>
      <c r="C834" s="47"/>
      <c r="D834" s="47"/>
      <c r="E834" s="47"/>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c r="AD834" s="46"/>
      <c r="AE834" s="46"/>
      <c r="AF834" s="46"/>
      <c r="AG834" s="46"/>
      <c r="AH834" s="46"/>
      <c r="AI834" s="46"/>
      <c r="AJ834" s="46"/>
      <c r="AK834" s="46"/>
      <c r="AL834" s="46"/>
    </row>
    <row r="835">
      <c r="A835" s="46"/>
      <c r="B835" s="46"/>
      <c r="C835" s="47"/>
      <c r="D835" s="47"/>
      <c r="E835" s="47"/>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c r="AD835" s="46"/>
      <c r="AE835" s="46"/>
      <c r="AF835" s="46"/>
      <c r="AG835" s="46"/>
      <c r="AH835" s="46"/>
      <c r="AI835" s="46"/>
      <c r="AJ835" s="46"/>
      <c r="AK835" s="46"/>
      <c r="AL835" s="46"/>
    </row>
    <row r="836">
      <c r="A836" s="46"/>
      <c r="B836" s="46"/>
      <c r="C836" s="47"/>
      <c r="D836" s="47"/>
      <c r="E836" s="47"/>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c r="AD836" s="46"/>
      <c r="AE836" s="46"/>
      <c r="AF836" s="46"/>
      <c r="AG836" s="46"/>
      <c r="AH836" s="46"/>
      <c r="AI836" s="46"/>
      <c r="AJ836" s="46"/>
      <c r="AK836" s="46"/>
      <c r="AL836" s="46"/>
    </row>
    <row r="837">
      <c r="A837" s="46"/>
      <c r="B837" s="46"/>
      <c r="C837" s="47"/>
      <c r="D837" s="47"/>
      <c r="E837" s="47"/>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c r="AD837" s="46"/>
      <c r="AE837" s="46"/>
      <c r="AF837" s="46"/>
      <c r="AG837" s="46"/>
      <c r="AH837" s="46"/>
      <c r="AI837" s="46"/>
      <c r="AJ837" s="46"/>
      <c r="AK837" s="46"/>
      <c r="AL837" s="46"/>
    </row>
    <row r="838">
      <c r="A838" s="46"/>
      <c r="B838" s="46"/>
      <c r="C838" s="47"/>
      <c r="D838" s="47"/>
      <c r="E838" s="47"/>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c r="AD838" s="46"/>
      <c r="AE838" s="46"/>
      <c r="AF838" s="46"/>
      <c r="AG838" s="46"/>
      <c r="AH838" s="46"/>
      <c r="AI838" s="46"/>
      <c r="AJ838" s="46"/>
      <c r="AK838" s="46"/>
      <c r="AL838" s="46"/>
    </row>
    <row r="839">
      <c r="A839" s="46"/>
      <c r="B839" s="46"/>
      <c r="C839" s="47"/>
      <c r="D839" s="47"/>
      <c r="E839" s="47"/>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c r="AD839" s="46"/>
      <c r="AE839" s="46"/>
      <c r="AF839" s="46"/>
      <c r="AG839" s="46"/>
      <c r="AH839" s="46"/>
      <c r="AI839" s="46"/>
      <c r="AJ839" s="46"/>
      <c r="AK839" s="46"/>
      <c r="AL839" s="46"/>
    </row>
    <row r="840">
      <c r="A840" s="46"/>
      <c r="B840" s="46"/>
      <c r="C840" s="47"/>
      <c r="D840" s="47"/>
      <c r="E840" s="47"/>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c r="AD840" s="46"/>
      <c r="AE840" s="46"/>
      <c r="AF840" s="46"/>
      <c r="AG840" s="46"/>
      <c r="AH840" s="46"/>
      <c r="AI840" s="46"/>
      <c r="AJ840" s="46"/>
      <c r="AK840" s="46"/>
      <c r="AL840" s="46"/>
    </row>
    <row r="841">
      <c r="A841" s="46"/>
      <c r="B841" s="46"/>
      <c r="C841" s="47"/>
      <c r="D841" s="47"/>
      <c r="E841" s="47"/>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c r="AD841" s="46"/>
      <c r="AE841" s="46"/>
      <c r="AF841" s="46"/>
      <c r="AG841" s="46"/>
      <c r="AH841" s="46"/>
      <c r="AI841" s="46"/>
      <c r="AJ841" s="46"/>
      <c r="AK841" s="46"/>
      <c r="AL841" s="46"/>
    </row>
    <row r="842">
      <c r="A842" s="46"/>
      <c r="B842" s="46"/>
      <c r="C842" s="47"/>
      <c r="D842" s="47"/>
      <c r="E842" s="47"/>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c r="AD842" s="46"/>
      <c r="AE842" s="46"/>
      <c r="AF842" s="46"/>
      <c r="AG842" s="46"/>
      <c r="AH842" s="46"/>
      <c r="AI842" s="46"/>
      <c r="AJ842" s="46"/>
      <c r="AK842" s="46"/>
      <c r="AL842" s="46"/>
    </row>
    <row r="843">
      <c r="A843" s="46"/>
      <c r="B843" s="46"/>
      <c r="C843" s="47"/>
      <c r="D843" s="47"/>
      <c r="E843" s="47"/>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c r="AD843" s="46"/>
      <c r="AE843" s="46"/>
      <c r="AF843" s="46"/>
      <c r="AG843" s="46"/>
      <c r="AH843" s="46"/>
      <c r="AI843" s="46"/>
      <c r="AJ843" s="46"/>
      <c r="AK843" s="46"/>
      <c r="AL843" s="46"/>
    </row>
    <row r="844">
      <c r="A844" s="46"/>
      <c r="B844" s="46"/>
      <c r="C844" s="47"/>
      <c r="D844" s="47"/>
      <c r="E844" s="47"/>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c r="AD844" s="46"/>
      <c r="AE844" s="46"/>
      <c r="AF844" s="46"/>
      <c r="AG844" s="46"/>
      <c r="AH844" s="46"/>
      <c r="AI844" s="46"/>
      <c r="AJ844" s="46"/>
      <c r="AK844" s="46"/>
      <c r="AL844" s="46"/>
    </row>
    <row r="845">
      <c r="A845" s="46"/>
      <c r="B845" s="46"/>
      <c r="C845" s="47"/>
      <c r="D845" s="47"/>
      <c r="E845" s="47"/>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c r="AD845" s="46"/>
      <c r="AE845" s="46"/>
      <c r="AF845" s="46"/>
      <c r="AG845" s="46"/>
      <c r="AH845" s="46"/>
      <c r="AI845" s="46"/>
      <c r="AJ845" s="46"/>
      <c r="AK845" s="46"/>
      <c r="AL845" s="46"/>
    </row>
    <row r="846">
      <c r="A846" s="46"/>
      <c r="B846" s="46"/>
      <c r="C846" s="47"/>
      <c r="D846" s="47"/>
      <c r="E846" s="47"/>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c r="AD846" s="46"/>
      <c r="AE846" s="46"/>
      <c r="AF846" s="46"/>
      <c r="AG846" s="46"/>
      <c r="AH846" s="46"/>
      <c r="AI846" s="46"/>
      <c r="AJ846" s="46"/>
      <c r="AK846" s="46"/>
      <c r="AL846" s="46"/>
    </row>
    <row r="847">
      <c r="A847" s="46"/>
      <c r="B847" s="46"/>
      <c r="C847" s="47"/>
      <c r="D847" s="47"/>
      <c r="E847" s="47"/>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c r="AD847" s="46"/>
      <c r="AE847" s="46"/>
      <c r="AF847" s="46"/>
      <c r="AG847" s="46"/>
      <c r="AH847" s="46"/>
      <c r="AI847" s="46"/>
      <c r="AJ847" s="46"/>
      <c r="AK847" s="46"/>
      <c r="AL847" s="46"/>
    </row>
    <row r="848">
      <c r="A848" s="46"/>
      <c r="B848" s="46"/>
      <c r="C848" s="47"/>
      <c r="D848" s="47"/>
      <c r="E848" s="47"/>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c r="AD848" s="46"/>
      <c r="AE848" s="46"/>
      <c r="AF848" s="46"/>
      <c r="AG848" s="46"/>
      <c r="AH848" s="46"/>
      <c r="AI848" s="46"/>
      <c r="AJ848" s="46"/>
      <c r="AK848" s="46"/>
      <c r="AL848" s="46"/>
    </row>
    <row r="849">
      <c r="A849" s="46"/>
      <c r="B849" s="46"/>
      <c r="C849" s="47"/>
      <c r="D849" s="47"/>
      <c r="E849" s="47"/>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c r="AD849" s="46"/>
      <c r="AE849" s="46"/>
      <c r="AF849" s="46"/>
      <c r="AG849" s="46"/>
      <c r="AH849" s="46"/>
      <c r="AI849" s="46"/>
      <c r="AJ849" s="46"/>
      <c r="AK849" s="46"/>
      <c r="AL849" s="46"/>
    </row>
    <row r="850">
      <c r="A850" s="46"/>
      <c r="B850" s="46"/>
      <c r="C850" s="47"/>
      <c r="D850" s="47"/>
      <c r="E850" s="47"/>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c r="AE850" s="46"/>
      <c r="AF850" s="46"/>
      <c r="AG850" s="46"/>
      <c r="AH850" s="46"/>
      <c r="AI850" s="46"/>
      <c r="AJ850" s="46"/>
      <c r="AK850" s="46"/>
      <c r="AL850" s="46"/>
    </row>
    <row r="851">
      <c r="A851" s="46"/>
      <c r="B851" s="46"/>
      <c r="C851" s="47"/>
      <c r="D851" s="47"/>
      <c r="E851" s="47"/>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c r="AD851" s="46"/>
      <c r="AE851" s="46"/>
      <c r="AF851" s="46"/>
      <c r="AG851" s="46"/>
      <c r="AH851" s="46"/>
      <c r="AI851" s="46"/>
      <c r="AJ851" s="46"/>
      <c r="AK851" s="46"/>
      <c r="AL851" s="46"/>
    </row>
    <row r="852">
      <c r="A852" s="46"/>
      <c r="B852" s="46"/>
      <c r="C852" s="47"/>
      <c r="D852" s="47"/>
      <c r="E852" s="47"/>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c r="AE852" s="46"/>
      <c r="AF852" s="46"/>
      <c r="AG852" s="46"/>
      <c r="AH852" s="46"/>
      <c r="AI852" s="46"/>
      <c r="AJ852" s="46"/>
      <c r="AK852" s="46"/>
      <c r="AL852" s="46"/>
    </row>
    <row r="853">
      <c r="A853" s="46"/>
      <c r="B853" s="46"/>
      <c r="C853" s="47"/>
      <c r="D853" s="47"/>
      <c r="E853" s="47"/>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c r="AE853" s="46"/>
      <c r="AF853" s="46"/>
      <c r="AG853" s="46"/>
      <c r="AH853" s="46"/>
      <c r="AI853" s="46"/>
      <c r="AJ853" s="46"/>
      <c r="AK853" s="46"/>
      <c r="AL853" s="46"/>
    </row>
    <row r="854">
      <c r="A854" s="46"/>
      <c r="B854" s="46"/>
      <c r="C854" s="47"/>
      <c r="D854" s="47"/>
      <c r="E854" s="47"/>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c r="AE854" s="46"/>
      <c r="AF854" s="46"/>
      <c r="AG854" s="46"/>
      <c r="AH854" s="46"/>
      <c r="AI854" s="46"/>
      <c r="AJ854" s="46"/>
      <c r="AK854" s="46"/>
      <c r="AL854" s="46"/>
    </row>
    <row r="855">
      <c r="A855" s="46"/>
      <c r="B855" s="46"/>
      <c r="C855" s="47"/>
      <c r="D855" s="47"/>
      <c r="E855" s="47"/>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c r="AD855" s="46"/>
      <c r="AE855" s="46"/>
      <c r="AF855" s="46"/>
      <c r="AG855" s="46"/>
      <c r="AH855" s="46"/>
      <c r="AI855" s="46"/>
      <c r="AJ855" s="46"/>
      <c r="AK855" s="46"/>
      <c r="AL855" s="46"/>
    </row>
    <row r="856">
      <c r="A856" s="46"/>
      <c r="B856" s="46"/>
      <c r="C856" s="47"/>
      <c r="D856" s="47"/>
      <c r="E856" s="47"/>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c r="AE856" s="46"/>
      <c r="AF856" s="46"/>
      <c r="AG856" s="46"/>
      <c r="AH856" s="46"/>
      <c r="AI856" s="46"/>
      <c r="AJ856" s="46"/>
      <c r="AK856" s="46"/>
      <c r="AL856" s="46"/>
    </row>
    <row r="857">
      <c r="A857" s="46"/>
      <c r="B857" s="46"/>
      <c r="C857" s="47"/>
      <c r="D857" s="47"/>
      <c r="E857" s="47"/>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c r="AE857" s="46"/>
      <c r="AF857" s="46"/>
      <c r="AG857" s="46"/>
      <c r="AH857" s="46"/>
      <c r="AI857" s="46"/>
      <c r="AJ857" s="46"/>
      <c r="AK857" s="46"/>
      <c r="AL857" s="46"/>
    </row>
    <row r="858">
      <c r="A858" s="46"/>
      <c r="B858" s="46"/>
      <c r="C858" s="47"/>
      <c r="D858" s="47"/>
      <c r="E858" s="47"/>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row>
    <row r="859">
      <c r="A859" s="46"/>
      <c r="B859" s="46"/>
      <c r="C859" s="47"/>
      <c r="D859" s="47"/>
      <c r="E859" s="47"/>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c r="AE859" s="46"/>
      <c r="AF859" s="46"/>
      <c r="AG859" s="46"/>
      <c r="AH859" s="46"/>
      <c r="AI859" s="46"/>
      <c r="AJ859" s="46"/>
      <c r="AK859" s="46"/>
      <c r="AL859" s="46"/>
    </row>
    <row r="860">
      <c r="A860" s="46"/>
      <c r="B860" s="46"/>
      <c r="C860" s="47"/>
      <c r="D860" s="47"/>
      <c r="E860" s="47"/>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c r="AE860" s="46"/>
      <c r="AF860" s="46"/>
      <c r="AG860" s="46"/>
      <c r="AH860" s="46"/>
      <c r="AI860" s="46"/>
      <c r="AJ860" s="46"/>
      <c r="AK860" s="46"/>
      <c r="AL860" s="46"/>
    </row>
    <row r="861">
      <c r="A861" s="46"/>
      <c r="B861" s="46"/>
      <c r="C861" s="47"/>
      <c r="D861" s="47"/>
      <c r="E861" s="47"/>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c r="AE861" s="46"/>
      <c r="AF861" s="46"/>
      <c r="AG861" s="46"/>
      <c r="AH861" s="46"/>
      <c r="AI861" s="46"/>
      <c r="AJ861" s="46"/>
      <c r="AK861" s="46"/>
      <c r="AL861" s="46"/>
    </row>
    <row r="862">
      <c r="A862" s="46"/>
      <c r="B862" s="46"/>
      <c r="C862" s="47"/>
      <c r="D862" s="47"/>
      <c r="E862" s="47"/>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c r="AE862" s="46"/>
      <c r="AF862" s="46"/>
      <c r="AG862" s="46"/>
      <c r="AH862" s="46"/>
      <c r="AI862" s="46"/>
      <c r="AJ862" s="46"/>
      <c r="AK862" s="46"/>
      <c r="AL862" s="46"/>
    </row>
    <row r="863">
      <c r="A863" s="46"/>
      <c r="B863" s="46"/>
      <c r="C863" s="47"/>
      <c r="D863" s="47"/>
      <c r="E863" s="47"/>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c r="AE863" s="46"/>
      <c r="AF863" s="46"/>
      <c r="AG863" s="46"/>
      <c r="AH863" s="46"/>
      <c r="AI863" s="46"/>
      <c r="AJ863" s="46"/>
      <c r="AK863" s="46"/>
      <c r="AL863" s="46"/>
    </row>
    <row r="864">
      <c r="A864" s="46"/>
      <c r="B864" s="46"/>
      <c r="C864" s="47"/>
      <c r="D864" s="47"/>
      <c r="E864" s="47"/>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c r="AE864" s="46"/>
      <c r="AF864" s="46"/>
      <c r="AG864" s="46"/>
      <c r="AH864" s="46"/>
      <c r="AI864" s="46"/>
      <c r="AJ864" s="46"/>
      <c r="AK864" s="46"/>
      <c r="AL864" s="46"/>
    </row>
    <row r="865">
      <c r="A865" s="46"/>
      <c r="B865" s="46"/>
      <c r="C865" s="47"/>
      <c r="D865" s="47"/>
      <c r="E865" s="47"/>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c r="AE865" s="46"/>
      <c r="AF865" s="46"/>
      <c r="AG865" s="46"/>
      <c r="AH865" s="46"/>
      <c r="AI865" s="46"/>
      <c r="AJ865" s="46"/>
      <c r="AK865" s="46"/>
      <c r="AL865" s="46"/>
    </row>
    <row r="866">
      <c r="A866" s="46"/>
      <c r="B866" s="46"/>
      <c r="C866" s="47"/>
      <c r="D866" s="47"/>
      <c r="E866" s="47"/>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c r="AE866" s="46"/>
      <c r="AF866" s="46"/>
      <c r="AG866" s="46"/>
      <c r="AH866" s="46"/>
      <c r="AI866" s="46"/>
      <c r="AJ866" s="46"/>
      <c r="AK866" s="46"/>
      <c r="AL866" s="46"/>
    </row>
    <row r="867">
      <c r="A867" s="46"/>
      <c r="B867" s="46"/>
      <c r="C867" s="47"/>
      <c r="D867" s="47"/>
      <c r="E867" s="47"/>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c r="AE867" s="46"/>
      <c r="AF867" s="46"/>
      <c r="AG867" s="46"/>
      <c r="AH867" s="46"/>
      <c r="AI867" s="46"/>
      <c r="AJ867" s="46"/>
      <c r="AK867" s="46"/>
      <c r="AL867" s="46"/>
    </row>
    <row r="868">
      <c r="A868" s="46"/>
      <c r="B868" s="46"/>
      <c r="C868" s="47"/>
      <c r="D868" s="47"/>
      <c r="E868" s="47"/>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c r="AE868" s="46"/>
      <c r="AF868" s="46"/>
      <c r="AG868" s="46"/>
      <c r="AH868" s="46"/>
      <c r="AI868" s="46"/>
      <c r="AJ868" s="46"/>
      <c r="AK868" s="46"/>
      <c r="AL868" s="46"/>
    </row>
    <row r="869">
      <c r="A869" s="46"/>
      <c r="B869" s="46"/>
      <c r="C869" s="47"/>
      <c r="D869" s="47"/>
      <c r="E869" s="47"/>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c r="AE869" s="46"/>
      <c r="AF869" s="46"/>
      <c r="AG869" s="46"/>
      <c r="AH869" s="46"/>
      <c r="AI869" s="46"/>
      <c r="AJ869" s="46"/>
      <c r="AK869" s="46"/>
      <c r="AL869" s="46"/>
    </row>
    <row r="870">
      <c r="A870" s="46"/>
      <c r="B870" s="46"/>
      <c r="C870" s="47"/>
      <c r="D870" s="47"/>
      <c r="E870" s="47"/>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c r="AE870" s="46"/>
      <c r="AF870" s="46"/>
      <c r="AG870" s="46"/>
      <c r="AH870" s="46"/>
      <c r="AI870" s="46"/>
      <c r="AJ870" s="46"/>
      <c r="AK870" s="46"/>
      <c r="AL870" s="46"/>
    </row>
    <row r="871">
      <c r="A871" s="46"/>
      <c r="B871" s="46"/>
      <c r="C871" s="47"/>
      <c r="D871" s="47"/>
      <c r="E871" s="47"/>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c r="AE871" s="46"/>
      <c r="AF871" s="46"/>
      <c r="AG871" s="46"/>
      <c r="AH871" s="46"/>
      <c r="AI871" s="46"/>
      <c r="AJ871" s="46"/>
      <c r="AK871" s="46"/>
      <c r="AL871" s="46"/>
    </row>
    <row r="872">
      <c r="A872" s="46"/>
      <c r="B872" s="46"/>
      <c r="C872" s="47"/>
      <c r="D872" s="47"/>
      <c r="E872" s="47"/>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c r="AE872" s="46"/>
      <c r="AF872" s="46"/>
      <c r="AG872" s="46"/>
      <c r="AH872" s="46"/>
      <c r="AI872" s="46"/>
      <c r="AJ872" s="46"/>
      <c r="AK872" s="46"/>
      <c r="AL872" s="46"/>
    </row>
    <row r="873">
      <c r="A873" s="46"/>
      <c r="B873" s="46"/>
      <c r="C873" s="47"/>
      <c r="D873" s="47"/>
      <c r="E873" s="47"/>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c r="AE873" s="46"/>
      <c r="AF873" s="46"/>
      <c r="AG873" s="46"/>
      <c r="AH873" s="46"/>
      <c r="AI873" s="46"/>
      <c r="AJ873" s="46"/>
      <c r="AK873" s="46"/>
      <c r="AL873" s="46"/>
    </row>
    <row r="874">
      <c r="A874" s="46"/>
      <c r="B874" s="46"/>
      <c r="C874" s="47"/>
      <c r="D874" s="47"/>
      <c r="E874" s="47"/>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c r="AE874" s="46"/>
      <c r="AF874" s="46"/>
      <c r="AG874" s="46"/>
      <c r="AH874" s="46"/>
      <c r="AI874" s="46"/>
      <c r="AJ874" s="46"/>
      <c r="AK874" s="46"/>
      <c r="AL874" s="46"/>
    </row>
    <row r="875">
      <c r="A875" s="46"/>
      <c r="B875" s="46"/>
      <c r="C875" s="47"/>
      <c r="D875" s="47"/>
      <c r="E875" s="47"/>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c r="AE875" s="46"/>
      <c r="AF875" s="46"/>
      <c r="AG875" s="46"/>
      <c r="AH875" s="46"/>
      <c r="AI875" s="46"/>
      <c r="AJ875" s="46"/>
      <c r="AK875" s="46"/>
      <c r="AL875" s="46"/>
    </row>
    <row r="876">
      <c r="A876" s="46"/>
      <c r="B876" s="46"/>
      <c r="C876" s="47"/>
      <c r="D876" s="47"/>
      <c r="E876" s="47"/>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c r="AE876" s="46"/>
      <c r="AF876" s="46"/>
      <c r="AG876" s="46"/>
      <c r="AH876" s="46"/>
      <c r="AI876" s="46"/>
      <c r="AJ876" s="46"/>
      <c r="AK876" s="46"/>
      <c r="AL876" s="46"/>
    </row>
    <row r="877">
      <c r="A877" s="46"/>
      <c r="B877" s="46"/>
      <c r="C877" s="47"/>
      <c r="D877" s="47"/>
      <c r="E877" s="47"/>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c r="AE877" s="46"/>
      <c r="AF877" s="46"/>
      <c r="AG877" s="46"/>
      <c r="AH877" s="46"/>
      <c r="AI877" s="46"/>
      <c r="AJ877" s="46"/>
      <c r="AK877" s="46"/>
      <c r="AL877" s="46"/>
    </row>
    <row r="878">
      <c r="A878" s="46"/>
      <c r="B878" s="46"/>
      <c r="C878" s="47"/>
      <c r="D878" s="47"/>
      <c r="E878" s="47"/>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c r="AE878" s="46"/>
      <c r="AF878" s="46"/>
      <c r="AG878" s="46"/>
      <c r="AH878" s="46"/>
      <c r="AI878" s="46"/>
      <c r="AJ878" s="46"/>
      <c r="AK878" s="46"/>
      <c r="AL878" s="46"/>
    </row>
    <row r="879">
      <c r="A879" s="46"/>
      <c r="B879" s="46"/>
      <c r="C879" s="47"/>
      <c r="D879" s="47"/>
      <c r="E879" s="47"/>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c r="AE879" s="46"/>
      <c r="AF879" s="46"/>
      <c r="AG879" s="46"/>
      <c r="AH879" s="46"/>
      <c r="AI879" s="46"/>
      <c r="AJ879" s="46"/>
      <c r="AK879" s="46"/>
      <c r="AL879" s="46"/>
    </row>
    <row r="880">
      <c r="A880" s="46"/>
      <c r="B880" s="46"/>
      <c r="C880" s="47"/>
      <c r="D880" s="47"/>
      <c r="E880" s="47"/>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c r="AE880" s="46"/>
      <c r="AF880" s="46"/>
      <c r="AG880" s="46"/>
      <c r="AH880" s="46"/>
      <c r="AI880" s="46"/>
      <c r="AJ880" s="46"/>
      <c r="AK880" s="46"/>
      <c r="AL880" s="46"/>
    </row>
    <row r="881">
      <c r="A881" s="46"/>
      <c r="B881" s="46"/>
      <c r="C881" s="47"/>
      <c r="D881" s="47"/>
      <c r="E881" s="47"/>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c r="AE881" s="46"/>
      <c r="AF881" s="46"/>
      <c r="AG881" s="46"/>
      <c r="AH881" s="46"/>
      <c r="AI881" s="46"/>
      <c r="AJ881" s="46"/>
      <c r="AK881" s="46"/>
      <c r="AL881" s="46"/>
    </row>
    <row r="882">
      <c r="A882" s="46"/>
      <c r="B882" s="46"/>
      <c r="C882" s="47"/>
      <c r="D882" s="47"/>
      <c r="E882" s="47"/>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c r="AE882" s="46"/>
      <c r="AF882" s="46"/>
      <c r="AG882" s="46"/>
      <c r="AH882" s="46"/>
      <c r="AI882" s="46"/>
      <c r="AJ882" s="46"/>
      <c r="AK882" s="46"/>
      <c r="AL882" s="46"/>
    </row>
    <row r="883">
      <c r="A883" s="46"/>
      <c r="B883" s="46"/>
      <c r="C883" s="47"/>
      <c r="D883" s="47"/>
      <c r="E883" s="47"/>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c r="AE883" s="46"/>
      <c r="AF883" s="46"/>
      <c r="AG883" s="46"/>
      <c r="AH883" s="46"/>
      <c r="AI883" s="46"/>
      <c r="AJ883" s="46"/>
      <c r="AK883" s="46"/>
      <c r="AL883" s="46"/>
    </row>
    <row r="884">
      <c r="A884" s="46"/>
      <c r="B884" s="46"/>
      <c r="C884" s="47"/>
      <c r="D884" s="47"/>
      <c r="E884" s="47"/>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c r="AE884" s="46"/>
      <c r="AF884" s="46"/>
      <c r="AG884" s="46"/>
      <c r="AH884" s="46"/>
      <c r="AI884" s="46"/>
      <c r="AJ884" s="46"/>
      <c r="AK884" s="46"/>
      <c r="AL884" s="46"/>
    </row>
    <row r="885">
      <c r="A885" s="46"/>
      <c r="B885" s="46"/>
      <c r="C885" s="47"/>
      <c r="D885" s="47"/>
      <c r="E885" s="47"/>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c r="AE885" s="46"/>
      <c r="AF885" s="46"/>
      <c r="AG885" s="46"/>
      <c r="AH885" s="46"/>
      <c r="AI885" s="46"/>
      <c r="AJ885" s="46"/>
      <c r="AK885" s="46"/>
      <c r="AL885" s="46"/>
    </row>
    <row r="886">
      <c r="A886" s="46"/>
      <c r="B886" s="46"/>
      <c r="C886" s="47"/>
      <c r="D886" s="47"/>
      <c r="E886" s="47"/>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c r="AE886" s="46"/>
      <c r="AF886" s="46"/>
      <c r="AG886" s="46"/>
      <c r="AH886" s="46"/>
      <c r="AI886" s="46"/>
      <c r="AJ886" s="46"/>
      <c r="AK886" s="46"/>
      <c r="AL886" s="46"/>
    </row>
    <row r="887">
      <c r="A887" s="46"/>
      <c r="B887" s="46"/>
      <c r="C887" s="47"/>
      <c r="D887" s="47"/>
      <c r="E887" s="47"/>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c r="AE887" s="46"/>
      <c r="AF887" s="46"/>
      <c r="AG887" s="46"/>
      <c r="AH887" s="46"/>
      <c r="AI887" s="46"/>
      <c r="AJ887" s="46"/>
      <c r="AK887" s="46"/>
      <c r="AL887" s="46"/>
    </row>
    <row r="888">
      <c r="A888" s="46"/>
      <c r="B888" s="46"/>
      <c r="C888" s="47"/>
      <c r="D888" s="47"/>
      <c r="E888" s="47"/>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c r="AE888" s="46"/>
      <c r="AF888" s="46"/>
      <c r="AG888" s="46"/>
      <c r="AH888" s="46"/>
      <c r="AI888" s="46"/>
      <c r="AJ888" s="46"/>
      <c r="AK888" s="46"/>
      <c r="AL888" s="46"/>
    </row>
    <row r="889">
      <c r="A889" s="46"/>
      <c r="B889" s="46"/>
      <c r="C889" s="47"/>
      <c r="D889" s="47"/>
      <c r="E889" s="47"/>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c r="AE889" s="46"/>
      <c r="AF889" s="46"/>
      <c r="AG889" s="46"/>
      <c r="AH889" s="46"/>
      <c r="AI889" s="46"/>
      <c r="AJ889" s="46"/>
      <c r="AK889" s="46"/>
      <c r="AL889" s="46"/>
    </row>
    <row r="890">
      <c r="A890" s="46"/>
      <c r="B890" s="46"/>
      <c r="C890" s="47"/>
      <c r="D890" s="47"/>
      <c r="E890" s="47"/>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c r="AE890" s="46"/>
      <c r="AF890" s="46"/>
      <c r="AG890" s="46"/>
      <c r="AH890" s="46"/>
      <c r="AI890" s="46"/>
      <c r="AJ890" s="46"/>
      <c r="AK890" s="46"/>
      <c r="AL890" s="46"/>
    </row>
    <row r="891">
      <c r="A891" s="46"/>
      <c r="B891" s="46"/>
      <c r="C891" s="47"/>
      <c r="D891" s="47"/>
      <c r="E891" s="47"/>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c r="AE891" s="46"/>
      <c r="AF891" s="46"/>
      <c r="AG891" s="46"/>
      <c r="AH891" s="46"/>
      <c r="AI891" s="46"/>
      <c r="AJ891" s="46"/>
      <c r="AK891" s="46"/>
      <c r="AL891" s="46"/>
    </row>
    <row r="892">
      <c r="A892" s="46"/>
      <c r="B892" s="46"/>
      <c r="C892" s="47"/>
      <c r="D892" s="47"/>
      <c r="E892" s="47"/>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c r="AE892" s="46"/>
      <c r="AF892" s="46"/>
      <c r="AG892" s="46"/>
      <c r="AH892" s="46"/>
      <c r="AI892" s="46"/>
      <c r="AJ892" s="46"/>
      <c r="AK892" s="46"/>
      <c r="AL892" s="46"/>
    </row>
    <row r="893">
      <c r="A893" s="46"/>
      <c r="B893" s="46"/>
      <c r="C893" s="47"/>
      <c r="D893" s="47"/>
      <c r="E893" s="47"/>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c r="AE893" s="46"/>
      <c r="AF893" s="46"/>
      <c r="AG893" s="46"/>
      <c r="AH893" s="46"/>
      <c r="AI893" s="46"/>
      <c r="AJ893" s="46"/>
      <c r="AK893" s="46"/>
      <c r="AL893" s="46"/>
    </row>
    <row r="894">
      <c r="A894" s="46"/>
      <c r="B894" s="46"/>
      <c r="C894" s="47"/>
      <c r="D894" s="47"/>
      <c r="E894" s="47"/>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c r="AE894" s="46"/>
      <c r="AF894" s="46"/>
      <c r="AG894" s="46"/>
      <c r="AH894" s="46"/>
      <c r="AI894" s="46"/>
      <c r="AJ894" s="46"/>
      <c r="AK894" s="46"/>
      <c r="AL894" s="46"/>
    </row>
    <row r="895">
      <c r="A895" s="46"/>
      <c r="B895" s="46"/>
      <c r="C895" s="47"/>
      <c r="D895" s="47"/>
      <c r="E895" s="47"/>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c r="AE895" s="46"/>
      <c r="AF895" s="46"/>
      <c r="AG895" s="46"/>
      <c r="AH895" s="46"/>
      <c r="AI895" s="46"/>
      <c r="AJ895" s="46"/>
      <c r="AK895" s="46"/>
      <c r="AL895" s="46"/>
    </row>
    <row r="896">
      <c r="A896" s="46"/>
      <c r="B896" s="46"/>
      <c r="C896" s="47"/>
      <c r="D896" s="47"/>
      <c r="E896" s="47"/>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c r="AE896" s="46"/>
      <c r="AF896" s="46"/>
      <c r="AG896" s="46"/>
      <c r="AH896" s="46"/>
      <c r="AI896" s="46"/>
      <c r="AJ896" s="46"/>
      <c r="AK896" s="46"/>
      <c r="AL896" s="46"/>
    </row>
    <row r="897">
      <c r="A897" s="46"/>
      <c r="B897" s="46"/>
      <c r="C897" s="47"/>
      <c r="D897" s="47"/>
      <c r="E897" s="47"/>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c r="AE897" s="46"/>
      <c r="AF897" s="46"/>
      <c r="AG897" s="46"/>
      <c r="AH897" s="46"/>
      <c r="AI897" s="46"/>
      <c r="AJ897" s="46"/>
      <c r="AK897" s="46"/>
      <c r="AL897" s="46"/>
    </row>
    <row r="898">
      <c r="A898" s="46"/>
      <c r="B898" s="46"/>
      <c r="C898" s="47"/>
      <c r="D898" s="47"/>
      <c r="E898" s="47"/>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c r="AE898" s="46"/>
      <c r="AF898" s="46"/>
      <c r="AG898" s="46"/>
      <c r="AH898" s="46"/>
      <c r="AI898" s="46"/>
      <c r="AJ898" s="46"/>
      <c r="AK898" s="46"/>
      <c r="AL898" s="46"/>
    </row>
    <row r="899">
      <c r="A899" s="46"/>
      <c r="B899" s="46"/>
      <c r="C899" s="47"/>
      <c r="D899" s="47"/>
      <c r="E899" s="47"/>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c r="AE899" s="46"/>
      <c r="AF899" s="46"/>
      <c r="AG899" s="46"/>
      <c r="AH899" s="46"/>
      <c r="AI899" s="46"/>
      <c r="AJ899" s="46"/>
      <c r="AK899" s="46"/>
      <c r="AL899" s="46"/>
    </row>
    <row r="900">
      <c r="A900" s="46"/>
      <c r="B900" s="46"/>
      <c r="C900" s="47"/>
      <c r="D900" s="47"/>
      <c r="E900" s="47"/>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c r="AE900" s="46"/>
      <c r="AF900" s="46"/>
      <c r="AG900" s="46"/>
      <c r="AH900" s="46"/>
      <c r="AI900" s="46"/>
      <c r="AJ900" s="46"/>
      <c r="AK900" s="46"/>
      <c r="AL900" s="46"/>
    </row>
    <row r="901">
      <c r="A901" s="46"/>
      <c r="B901" s="46"/>
      <c r="C901" s="47"/>
      <c r="D901" s="47"/>
      <c r="E901" s="47"/>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c r="AE901" s="46"/>
      <c r="AF901" s="46"/>
      <c r="AG901" s="46"/>
      <c r="AH901" s="46"/>
      <c r="AI901" s="46"/>
      <c r="AJ901" s="46"/>
      <c r="AK901" s="46"/>
      <c r="AL901" s="46"/>
    </row>
    <row r="902">
      <c r="A902" s="46"/>
      <c r="B902" s="46"/>
      <c r="C902" s="47"/>
      <c r="D902" s="47"/>
      <c r="E902" s="47"/>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c r="AE902" s="46"/>
      <c r="AF902" s="46"/>
      <c r="AG902" s="46"/>
      <c r="AH902" s="46"/>
      <c r="AI902" s="46"/>
      <c r="AJ902" s="46"/>
      <c r="AK902" s="46"/>
      <c r="AL902" s="46"/>
    </row>
    <row r="903">
      <c r="A903" s="46"/>
      <c r="B903" s="46"/>
      <c r="C903" s="47"/>
      <c r="D903" s="47"/>
      <c r="E903" s="47"/>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c r="AE903" s="46"/>
      <c r="AF903" s="46"/>
      <c r="AG903" s="46"/>
      <c r="AH903" s="46"/>
      <c r="AI903" s="46"/>
      <c r="AJ903" s="46"/>
      <c r="AK903" s="46"/>
      <c r="AL903" s="46"/>
    </row>
    <row r="904">
      <c r="A904" s="46"/>
      <c r="B904" s="46"/>
      <c r="C904" s="47"/>
      <c r="D904" s="47"/>
      <c r="E904" s="47"/>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c r="AE904" s="46"/>
      <c r="AF904" s="46"/>
      <c r="AG904" s="46"/>
      <c r="AH904" s="46"/>
      <c r="AI904" s="46"/>
      <c r="AJ904" s="46"/>
      <c r="AK904" s="46"/>
      <c r="AL904" s="46"/>
    </row>
    <row r="905">
      <c r="A905" s="46"/>
      <c r="B905" s="46"/>
      <c r="C905" s="47"/>
      <c r="D905" s="47"/>
      <c r="E905" s="47"/>
      <c r="F905" s="46"/>
      <c r="G905" s="46"/>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c r="AE905" s="46"/>
      <c r="AF905" s="46"/>
      <c r="AG905" s="46"/>
      <c r="AH905" s="46"/>
      <c r="AI905" s="46"/>
      <c r="AJ905" s="46"/>
      <c r="AK905" s="46"/>
      <c r="AL905" s="46"/>
    </row>
    <row r="906">
      <c r="A906" s="46"/>
      <c r="B906" s="46"/>
      <c r="C906" s="47"/>
      <c r="D906" s="47"/>
      <c r="E906" s="47"/>
      <c r="F906" s="46"/>
      <c r="G906" s="46"/>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c r="AE906" s="46"/>
      <c r="AF906" s="46"/>
      <c r="AG906" s="46"/>
      <c r="AH906" s="46"/>
      <c r="AI906" s="46"/>
      <c r="AJ906" s="46"/>
      <c r="AK906" s="46"/>
      <c r="AL906" s="46"/>
    </row>
    <row r="907">
      <c r="A907" s="46"/>
      <c r="B907" s="46"/>
      <c r="C907" s="47"/>
      <c r="D907" s="47"/>
      <c r="E907" s="47"/>
      <c r="F907" s="46"/>
      <c r="G907" s="46"/>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c r="AE907" s="46"/>
      <c r="AF907" s="46"/>
      <c r="AG907" s="46"/>
      <c r="AH907" s="46"/>
      <c r="AI907" s="46"/>
      <c r="AJ907" s="46"/>
      <c r="AK907" s="46"/>
      <c r="AL907" s="46"/>
    </row>
    <row r="908">
      <c r="A908" s="46"/>
      <c r="B908" s="46"/>
      <c r="C908" s="47"/>
      <c r="D908" s="47"/>
      <c r="E908" s="47"/>
      <c r="F908" s="46"/>
      <c r="G908" s="46"/>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row>
    <row r="909">
      <c r="A909" s="46"/>
      <c r="B909" s="46"/>
      <c r="C909" s="47"/>
      <c r="D909" s="47"/>
      <c r="E909" s="47"/>
      <c r="F909" s="46"/>
      <c r="G909" s="46"/>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c r="AE909" s="46"/>
      <c r="AF909" s="46"/>
      <c r="AG909" s="46"/>
      <c r="AH909" s="46"/>
      <c r="AI909" s="46"/>
      <c r="AJ909" s="46"/>
      <c r="AK909" s="46"/>
      <c r="AL909" s="46"/>
    </row>
    <row r="910">
      <c r="A910" s="46"/>
      <c r="B910" s="46"/>
      <c r="C910" s="47"/>
      <c r="D910" s="47"/>
      <c r="E910" s="47"/>
      <c r="F910" s="46"/>
      <c r="G910" s="46"/>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c r="AE910" s="46"/>
      <c r="AF910" s="46"/>
      <c r="AG910" s="46"/>
      <c r="AH910" s="46"/>
      <c r="AI910" s="46"/>
      <c r="AJ910" s="46"/>
      <c r="AK910" s="46"/>
      <c r="AL910" s="46"/>
    </row>
    <row r="911">
      <c r="A911" s="46"/>
      <c r="B911" s="46"/>
      <c r="C911" s="47"/>
      <c r="D911" s="47"/>
      <c r="E911" s="47"/>
      <c r="F911" s="46"/>
      <c r="G911" s="46"/>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c r="AE911" s="46"/>
      <c r="AF911" s="46"/>
      <c r="AG911" s="46"/>
      <c r="AH911" s="46"/>
      <c r="AI911" s="46"/>
      <c r="AJ911" s="46"/>
      <c r="AK911" s="46"/>
      <c r="AL911" s="46"/>
    </row>
    <row r="912">
      <c r="A912" s="46"/>
      <c r="B912" s="46"/>
      <c r="C912" s="47"/>
      <c r="D912" s="47"/>
      <c r="E912" s="47"/>
      <c r="F912" s="46"/>
      <c r="G912" s="46"/>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c r="AE912" s="46"/>
      <c r="AF912" s="46"/>
      <c r="AG912" s="46"/>
      <c r="AH912" s="46"/>
      <c r="AI912" s="46"/>
      <c r="AJ912" s="46"/>
      <c r="AK912" s="46"/>
      <c r="AL912" s="46"/>
    </row>
    <row r="913">
      <c r="A913" s="46"/>
      <c r="B913" s="46"/>
      <c r="C913" s="47"/>
      <c r="D913" s="47"/>
      <c r="E913" s="47"/>
      <c r="F913" s="46"/>
      <c r="G913" s="46"/>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c r="AE913" s="46"/>
      <c r="AF913" s="46"/>
      <c r="AG913" s="46"/>
      <c r="AH913" s="46"/>
      <c r="AI913" s="46"/>
      <c r="AJ913" s="46"/>
      <c r="AK913" s="46"/>
      <c r="AL913" s="46"/>
    </row>
    <row r="914">
      <c r="A914" s="46"/>
      <c r="B914" s="46"/>
      <c r="C914" s="47"/>
      <c r="D914" s="47"/>
      <c r="E914" s="47"/>
      <c r="F914" s="46"/>
      <c r="G914" s="46"/>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c r="AE914" s="46"/>
      <c r="AF914" s="46"/>
      <c r="AG914" s="46"/>
      <c r="AH914" s="46"/>
      <c r="AI914" s="46"/>
      <c r="AJ914" s="46"/>
      <c r="AK914" s="46"/>
      <c r="AL914" s="46"/>
    </row>
    <row r="915">
      <c r="A915" s="46"/>
      <c r="B915" s="46"/>
      <c r="C915" s="47"/>
      <c r="D915" s="47"/>
      <c r="E915" s="47"/>
      <c r="F915" s="46"/>
      <c r="G915" s="46"/>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c r="AE915" s="46"/>
      <c r="AF915" s="46"/>
      <c r="AG915" s="46"/>
      <c r="AH915" s="46"/>
      <c r="AI915" s="46"/>
      <c r="AJ915" s="46"/>
      <c r="AK915" s="46"/>
      <c r="AL915" s="46"/>
    </row>
    <row r="916">
      <c r="A916" s="46"/>
      <c r="B916" s="46"/>
      <c r="C916" s="47"/>
      <c r="D916" s="47"/>
      <c r="E916" s="47"/>
      <c r="F916" s="46"/>
      <c r="G916" s="46"/>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c r="AE916" s="46"/>
      <c r="AF916" s="46"/>
      <c r="AG916" s="46"/>
      <c r="AH916" s="46"/>
      <c r="AI916" s="46"/>
      <c r="AJ916" s="46"/>
      <c r="AK916" s="46"/>
      <c r="AL916" s="46"/>
    </row>
    <row r="917">
      <c r="A917" s="46"/>
      <c r="B917" s="46"/>
      <c r="C917" s="47"/>
      <c r="D917" s="47"/>
      <c r="E917" s="47"/>
      <c r="F917" s="46"/>
      <c r="G917" s="46"/>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c r="AE917" s="46"/>
      <c r="AF917" s="46"/>
      <c r="AG917" s="46"/>
      <c r="AH917" s="46"/>
      <c r="AI917" s="46"/>
      <c r="AJ917" s="46"/>
      <c r="AK917" s="46"/>
      <c r="AL917" s="46"/>
    </row>
    <row r="918">
      <c r="A918" s="46"/>
      <c r="B918" s="46"/>
      <c r="C918" s="47"/>
      <c r="D918" s="47"/>
      <c r="E918" s="47"/>
      <c r="F918" s="46"/>
      <c r="G918" s="46"/>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row>
    <row r="919">
      <c r="A919" s="46"/>
      <c r="B919" s="46"/>
      <c r="C919" s="47"/>
      <c r="D919" s="47"/>
      <c r="E919" s="47"/>
      <c r="F919" s="46"/>
      <c r="G919" s="46"/>
      <c r="H919" s="46"/>
      <c r="I919" s="46"/>
      <c r="J919" s="46"/>
      <c r="K919" s="46"/>
      <c r="L919" s="46"/>
      <c r="M919" s="46"/>
      <c r="N919" s="46"/>
      <c r="O919" s="46"/>
      <c r="P919" s="46"/>
      <c r="Q919" s="46"/>
      <c r="R919" s="46"/>
      <c r="S919" s="46"/>
      <c r="T919" s="46"/>
      <c r="U919" s="46"/>
      <c r="V919" s="46"/>
      <c r="W919" s="46"/>
      <c r="X919" s="46"/>
      <c r="Y919" s="46"/>
      <c r="Z919" s="46"/>
      <c r="AA919" s="46"/>
      <c r="AB919" s="46"/>
      <c r="AC919" s="46"/>
      <c r="AD919" s="46"/>
      <c r="AE919" s="46"/>
      <c r="AF919" s="46"/>
      <c r="AG919" s="46"/>
      <c r="AH919" s="46"/>
      <c r="AI919" s="46"/>
      <c r="AJ919" s="46"/>
      <c r="AK919" s="46"/>
      <c r="AL919" s="46"/>
    </row>
    <row r="920">
      <c r="A920" s="46"/>
      <c r="B920" s="46"/>
      <c r="C920" s="47"/>
      <c r="D920" s="47"/>
      <c r="E920" s="47"/>
      <c r="F920" s="46"/>
      <c r="G920" s="46"/>
      <c r="H920" s="46"/>
      <c r="I920" s="46"/>
      <c r="J920" s="46"/>
      <c r="K920" s="46"/>
      <c r="L920" s="46"/>
      <c r="M920" s="46"/>
      <c r="N920" s="46"/>
      <c r="O920" s="46"/>
      <c r="P920" s="46"/>
      <c r="Q920" s="46"/>
      <c r="R920" s="46"/>
      <c r="S920" s="46"/>
      <c r="T920" s="46"/>
      <c r="U920" s="46"/>
      <c r="V920" s="46"/>
      <c r="W920" s="46"/>
      <c r="X920" s="46"/>
      <c r="Y920" s="46"/>
      <c r="Z920" s="46"/>
      <c r="AA920" s="46"/>
      <c r="AB920" s="46"/>
      <c r="AC920" s="46"/>
      <c r="AD920" s="46"/>
      <c r="AE920" s="46"/>
      <c r="AF920" s="46"/>
      <c r="AG920" s="46"/>
      <c r="AH920" s="46"/>
      <c r="AI920" s="46"/>
      <c r="AJ920" s="46"/>
      <c r="AK920" s="46"/>
      <c r="AL920" s="46"/>
    </row>
    <row r="921">
      <c r="A921" s="46"/>
      <c r="B921" s="46"/>
      <c r="C921" s="47"/>
      <c r="D921" s="47"/>
      <c r="E921" s="47"/>
      <c r="F921" s="46"/>
      <c r="G921" s="46"/>
      <c r="H921" s="46"/>
      <c r="I921" s="46"/>
      <c r="J921" s="46"/>
      <c r="K921" s="46"/>
      <c r="L921" s="46"/>
      <c r="M921" s="46"/>
      <c r="N921" s="46"/>
      <c r="O921" s="46"/>
      <c r="P921" s="46"/>
      <c r="Q921" s="46"/>
      <c r="R921" s="46"/>
      <c r="S921" s="46"/>
      <c r="T921" s="46"/>
      <c r="U921" s="46"/>
      <c r="V921" s="46"/>
      <c r="W921" s="46"/>
      <c r="X921" s="46"/>
      <c r="Y921" s="46"/>
      <c r="Z921" s="46"/>
      <c r="AA921" s="46"/>
      <c r="AB921" s="46"/>
      <c r="AC921" s="46"/>
      <c r="AD921" s="46"/>
      <c r="AE921" s="46"/>
      <c r="AF921" s="46"/>
      <c r="AG921" s="46"/>
      <c r="AH921" s="46"/>
      <c r="AI921" s="46"/>
      <c r="AJ921" s="46"/>
      <c r="AK921" s="46"/>
      <c r="AL921" s="46"/>
    </row>
    <row r="922">
      <c r="A922" s="46"/>
      <c r="B922" s="46"/>
      <c r="C922" s="47"/>
      <c r="D922" s="47"/>
      <c r="E922" s="47"/>
      <c r="F922" s="46"/>
      <c r="G922" s="46"/>
      <c r="H922" s="46"/>
      <c r="I922" s="46"/>
      <c r="J922" s="46"/>
      <c r="K922" s="46"/>
      <c r="L922" s="46"/>
      <c r="M922" s="46"/>
      <c r="N922" s="46"/>
      <c r="O922" s="46"/>
      <c r="P922" s="46"/>
      <c r="Q922" s="46"/>
      <c r="R922" s="46"/>
      <c r="S922" s="46"/>
      <c r="T922" s="46"/>
      <c r="U922" s="46"/>
      <c r="V922" s="46"/>
      <c r="W922" s="46"/>
      <c r="X922" s="46"/>
      <c r="Y922" s="46"/>
      <c r="Z922" s="46"/>
      <c r="AA922" s="46"/>
      <c r="AB922" s="46"/>
      <c r="AC922" s="46"/>
      <c r="AD922" s="46"/>
      <c r="AE922" s="46"/>
      <c r="AF922" s="46"/>
      <c r="AG922" s="46"/>
      <c r="AH922" s="46"/>
      <c r="AI922" s="46"/>
      <c r="AJ922" s="46"/>
      <c r="AK922" s="46"/>
      <c r="AL922" s="46"/>
    </row>
    <row r="923">
      <c r="A923" s="46"/>
      <c r="B923" s="46"/>
      <c r="C923" s="47"/>
      <c r="D923" s="47"/>
      <c r="E923" s="47"/>
      <c r="F923" s="46"/>
      <c r="G923" s="46"/>
      <c r="H923" s="46"/>
      <c r="I923" s="46"/>
      <c r="J923" s="46"/>
      <c r="K923" s="46"/>
      <c r="L923" s="46"/>
      <c r="M923" s="46"/>
      <c r="N923" s="46"/>
      <c r="O923" s="46"/>
      <c r="P923" s="46"/>
      <c r="Q923" s="46"/>
      <c r="R923" s="46"/>
      <c r="S923" s="46"/>
      <c r="T923" s="46"/>
      <c r="U923" s="46"/>
      <c r="V923" s="46"/>
      <c r="W923" s="46"/>
      <c r="X923" s="46"/>
      <c r="Y923" s="46"/>
      <c r="Z923" s="46"/>
      <c r="AA923" s="46"/>
      <c r="AB923" s="46"/>
      <c r="AC923" s="46"/>
      <c r="AD923" s="46"/>
      <c r="AE923" s="46"/>
      <c r="AF923" s="46"/>
      <c r="AG923" s="46"/>
      <c r="AH923" s="46"/>
      <c r="AI923" s="46"/>
      <c r="AJ923" s="46"/>
      <c r="AK923" s="46"/>
      <c r="AL923" s="46"/>
    </row>
    <row r="924">
      <c r="A924" s="46"/>
      <c r="B924" s="46"/>
      <c r="C924" s="47"/>
      <c r="D924" s="47"/>
      <c r="E924" s="47"/>
      <c r="F924" s="46"/>
      <c r="G924" s="46"/>
      <c r="H924" s="46"/>
      <c r="I924" s="46"/>
      <c r="J924" s="46"/>
      <c r="K924" s="46"/>
      <c r="L924" s="46"/>
      <c r="M924" s="46"/>
      <c r="N924" s="46"/>
      <c r="O924" s="46"/>
      <c r="P924" s="46"/>
      <c r="Q924" s="46"/>
      <c r="R924" s="46"/>
      <c r="S924" s="46"/>
      <c r="T924" s="46"/>
      <c r="U924" s="46"/>
      <c r="V924" s="46"/>
      <c r="W924" s="46"/>
      <c r="X924" s="46"/>
      <c r="Y924" s="46"/>
      <c r="Z924" s="46"/>
      <c r="AA924" s="46"/>
      <c r="AB924" s="46"/>
      <c r="AC924" s="46"/>
      <c r="AD924" s="46"/>
      <c r="AE924" s="46"/>
      <c r="AF924" s="46"/>
      <c r="AG924" s="46"/>
      <c r="AH924" s="46"/>
      <c r="AI924" s="46"/>
      <c r="AJ924" s="46"/>
      <c r="AK924" s="46"/>
      <c r="AL924" s="46"/>
    </row>
    <row r="925">
      <c r="A925" s="46"/>
      <c r="B925" s="46"/>
      <c r="C925" s="47"/>
      <c r="D925" s="47"/>
      <c r="E925" s="47"/>
      <c r="F925" s="46"/>
      <c r="G925" s="46"/>
      <c r="H925" s="46"/>
      <c r="I925" s="46"/>
      <c r="J925" s="46"/>
      <c r="K925" s="46"/>
      <c r="L925" s="46"/>
      <c r="M925" s="46"/>
      <c r="N925" s="46"/>
      <c r="O925" s="46"/>
      <c r="P925" s="46"/>
      <c r="Q925" s="46"/>
      <c r="R925" s="46"/>
      <c r="S925" s="46"/>
      <c r="T925" s="46"/>
      <c r="U925" s="46"/>
      <c r="V925" s="46"/>
      <c r="W925" s="46"/>
      <c r="X925" s="46"/>
      <c r="Y925" s="46"/>
      <c r="Z925" s="46"/>
      <c r="AA925" s="46"/>
      <c r="AB925" s="46"/>
      <c r="AC925" s="46"/>
      <c r="AD925" s="46"/>
      <c r="AE925" s="46"/>
      <c r="AF925" s="46"/>
      <c r="AG925" s="46"/>
      <c r="AH925" s="46"/>
      <c r="AI925" s="46"/>
      <c r="AJ925" s="46"/>
      <c r="AK925" s="46"/>
      <c r="AL925" s="46"/>
    </row>
    <row r="926">
      <c r="A926" s="46"/>
      <c r="B926" s="46"/>
      <c r="C926" s="47"/>
      <c r="D926" s="47"/>
      <c r="E926" s="47"/>
      <c r="F926" s="46"/>
      <c r="G926" s="46"/>
      <c r="H926" s="46"/>
      <c r="I926" s="46"/>
      <c r="J926" s="46"/>
      <c r="K926" s="46"/>
      <c r="L926" s="46"/>
      <c r="M926" s="46"/>
      <c r="N926" s="46"/>
      <c r="O926" s="46"/>
      <c r="P926" s="46"/>
      <c r="Q926" s="46"/>
      <c r="R926" s="46"/>
      <c r="S926" s="46"/>
      <c r="T926" s="46"/>
      <c r="U926" s="46"/>
      <c r="V926" s="46"/>
      <c r="W926" s="46"/>
      <c r="X926" s="46"/>
      <c r="Y926" s="46"/>
      <c r="Z926" s="46"/>
      <c r="AA926" s="46"/>
      <c r="AB926" s="46"/>
      <c r="AC926" s="46"/>
      <c r="AD926" s="46"/>
      <c r="AE926" s="46"/>
      <c r="AF926" s="46"/>
      <c r="AG926" s="46"/>
      <c r="AH926" s="46"/>
      <c r="AI926" s="46"/>
      <c r="AJ926" s="46"/>
      <c r="AK926" s="46"/>
      <c r="AL926" s="46"/>
    </row>
    <row r="927">
      <c r="A927" s="46"/>
      <c r="B927" s="46"/>
      <c r="C927" s="47"/>
      <c r="D927" s="47"/>
      <c r="E927" s="47"/>
      <c r="F927" s="46"/>
      <c r="G927" s="46"/>
      <c r="H927" s="46"/>
      <c r="I927" s="46"/>
      <c r="J927" s="46"/>
      <c r="K927" s="46"/>
      <c r="L927" s="46"/>
      <c r="M927" s="46"/>
      <c r="N927" s="46"/>
      <c r="O927" s="46"/>
      <c r="P927" s="46"/>
      <c r="Q927" s="46"/>
      <c r="R927" s="46"/>
      <c r="S927" s="46"/>
      <c r="T927" s="46"/>
      <c r="U927" s="46"/>
      <c r="V927" s="46"/>
      <c r="W927" s="46"/>
      <c r="X927" s="46"/>
      <c r="Y927" s="46"/>
      <c r="Z927" s="46"/>
      <c r="AA927" s="46"/>
      <c r="AB927" s="46"/>
      <c r="AC927" s="46"/>
      <c r="AD927" s="46"/>
      <c r="AE927" s="46"/>
      <c r="AF927" s="46"/>
      <c r="AG927" s="46"/>
      <c r="AH927" s="46"/>
      <c r="AI927" s="46"/>
      <c r="AJ927" s="46"/>
      <c r="AK927" s="46"/>
      <c r="AL927" s="46"/>
    </row>
    <row r="928">
      <c r="A928" s="46"/>
      <c r="B928" s="46"/>
      <c r="C928" s="47"/>
      <c r="D928" s="47"/>
      <c r="E928" s="47"/>
      <c r="F928" s="46"/>
      <c r="G928" s="46"/>
      <c r="H928" s="46"/>
      <c r="I928" s="46"/>
      <c r="J928" s="46"/>
      <c r="K928" s="46"/>
      <c r="L928" s="46"/>
      <c r="M928" s="46"/>
      <c r="N928" s="46"/>
      <c r="O928" s="46"/>
      <c r="P928" s="46"/>
      <c r="Q928" s="46"/>
      <c r="R928" s="46"/>
      <c r="S928" s="46"/>
      <c r="T928" s="46"/>
      <c r="U928" s="46"/>
      <c r="V928" s="46"/>
      <c r="W928" s="46"/>
      <c r="X928" s="46"/>
      <c r="Y928" s="46"/>
      <c r="Z928" s="46"/>
      <c r="AA928" s="46"/>
      <c r="AB928" s="46"/>
      <c r="AC928" s="46"/>
      <c r="AD928" s="46"/>
      <c r="AE928" s="46"/>
      <c r="AF928" s="46"/>
      <c r="AG928" s="46"/>
      <c r="AH928" s="46"/>
      <c r="AI928" s="46"/>
      <c r="AJ928" s="46"/>
      <c r="AK928" s="46"/>
      <c r="AL928" s="46"/>
    </row>
    <row r="929">
      <c r="A929" s="46"/>
      <c r="B929" s="46"/>
      <c r="C929" s="47"/>
      <c r="D929" s="47"/>
      <c r="E929" s="47"/>
      <c r="F929" s="46"/>
      <c r="G929" s="46"/>
      <c r="H929" s="46"/>
      <c r="I929" s="46"/>
      <c r="J929" s="46"/>
      <c r="K929" s="46"/>
      <c r="L929" s="46"/>
      <c r="M929" s="46"/>
      <c r="N929" s="46"/>
      <c r="O929" s="46"/>
      <c r="P929" s="46"/>
      <c r="Q929" s="46"/>
      <c r="R929" s="46"/>
      <c r="S929" s="46"/>
      <c r="T929" s="46"/>
      <c r="U929" s="46"/>
      <c r="V929" s="46"/>
      <c r="W929" s="46"/>
      <c r="X929" s="46"/>
      <c r="Y929" s="46"/>
      <c r="Z929" s="46"/>
      <c r="AA929" s="46"/>
      <c r="AB929" s="46"/>
      <c r="AC929" s="46"/>
      <c r="AD929" s="46"/>
      <c r="AE929" s="46"/>
      <c r="AF929" s="46"/>
      <c r="AG929" s="46"/>
      <c r="AH929" s="46"/>
      <c r="AI929" s="46"/>
      <c r="AJ929" s="46"/>
      <c r="AK929" s="46"/>
      <c r="AL929" s="46"/>
    </row>
    <row r="930">
      <c r="A930" s="46"/>
      <c r="B930" s="46"/>
      <c r="C930" s="47"/>
      <c r="D930" s="47"/>
      <c r="E930" s="47"/>
      <c r="F930" s="46"/>
      <c r="G930" s="46"/>
      <c r="H930" s="46"/>
      <c r="I930" s="46"/>
      <c r="J930" s="46"/>
      <c r="K930" s="46"/>
      <c r="L930" s="46"/>
      <c r="M930" s="46"/>
      <c r="N930" s="46"/>
      <c r="O930" s="46"/>
      <c r="P930" s="46"/>
      <c r="Q930" s="46"/>
      <c r="R930" s="46"/>
      <c r="S930" s="46"/>
      <c r="T930" s="46"/>
      <c r="U930" s="46"/>
      <c r="V930" s="46"/>
      <c r="W930" s="46"/>
      <c r="X930" s="46"/>
      <c r="Y930" s="46"/>
      <c r="Z930" s="46"/>
      <c r="AA930" s="46"/>
      <c r="AB930" s="46"/>
      <c r="AC930" s="46"/>
      <c r="AD930" s="46"/>
      <c r="AE930" s="46"/>
      <c r="AF930" s="46"/>
      <c r="AG930" s="46"/>
      <c r="AH930" s="46"/>
      <c r="AI930" s="46"/>
      <c r="AJ930" s="46"/>
      <c r="AK930" s="46"/>
      <c r="AL930" s="46"/>
    </row>
    <row r="931">
      <c r="A931" s="46"/>
      <c r="B931" s="46"/>
      <c r="C931" s="47"/>
      <c r="D931" s="47"/>
      <c r="E931" s="47"/>
      <c r="F931" s="46"/>
      <c r="G931" s="46"/>
      <c r="H931" s="46"/>
      <c r="I931" s="46"/>
      <c r="J931" s="46"/>
      <c r="K931" s="46"/>
      <c r="L931" s="46"/>
      <c r="M931" s="46"/>
      <c r="N931" s="46"/>
      <c r="O931" s="46"/>
      <c r="P931" s="46"/>
      <c r="Q931" s="46"/>
      <c r="R931" s="46"/>
      <c r="S931" s="46"/>
      <c r="T931" s="46"/>
      <c r="U931" s="46"/>
      <c r="V931" s="46"/>
      <c r="W931" s="46"/>
      <c r="X931" s="46"/>
      <c r="Y931" s="46"/>
      <c r="Z931" s="46"/>
      <c r="AA931" s="46"/>
      <c r="AB931" s="46"/>
      <c r="AC931" s="46"/>
      <c r="AD931" s="46"/>
      <c r="AE931" s="46"/>
      <c r="AF931" s="46"/>
      <c r="AG931" s="46"/>
      <c r="AH931" s="46"/>
      <c r="AI931" s="46"/>
      <c r="AJ931" s="46"/>
      <c r="AK931" s="46"/>
      <c r="AL931" s="46"/>
    </row>
    <row r="932">
      <c r="A932" s="46"/>
      <c r="B932" s="46"/>
      <c r="C932" s="47"/>
      <c r="D932" s="47"/>
      <c r="E932" s="47"/>
      <c r="F932" s="46"/>
      <c r="G932" s="46"/>
      <c r="H932" s="46"/>
      <c r="I932" s="46"/>
      <c r="J932" s="46"/>
      <c r="K932" s="46"/>
      <c r="L932" s="46"/>
      <c r="M932" s="46"/>
      <c r="N932" s="46"/>
      <c r="O932" s="46"/>
      <c r="P932" s="46"/>
      <c r="Q932" s="46"/>
      <c r="R932" s="46"/>
      <c r="S932" s="46"/>
      <c r="T932" s="46"/>
      <c r="U932" s="46"/>
      <c r="V932" s="46"/>
      <c r="W932" s="46"/>
      <c r="X932" s="46"/>
      <c r="Y932" s="46"/>
      <c r="Z932" s="46"/>
      <c r="AA932" s="46"/>
      <c r="AB932" s="46"/>
      <c r="AC932" s="46"/>
      <c r="AD932" s="46"/>
      <c r="AE932" s="46"/>
      <c r="AF932" s="46"/>
      <c r="AG932" s="46"/>
      <c r="AH932" s="46"/>
      <c r="AI932" s="46"/>
      <c r="AJ932" s="46"/>
      <c r="AK932" s="46"/>
      <c r="AL932" s="46"/>
    </row>
    <row r="933">
      <c r="A933" s="46"/>
      <c r="B933" s="46"/>
      <c r="C933" s="47"/>
      <c r="D933" s="47"/>
      <c r="E933" s="47"/>
      <c r="F933" s="46"/>
      <c r="G933" s="46"/>
      <c r="H933" s="46"/>
      <c r="I933" s="46"/>
      <c r="J933" s="46"/>
      <c r="K933" s="46"/>
      <c r="L933" s="46"/>
      <c r="M933" s="46"/>
      <c r="N933" s="46"/>
      <c r="O933" s="46"/>
      <c r="P933" s="46"/>
      <c r="Q933" s="46"/>
      <c r="R933" s="46"/>
      <c r="S933" s="46"/>
      <c r="T933" s="46"/>
      <c r="U933" s="46"/>
      <c r="V933" s="46"/>
      <c r="W933" s="46"/>
      <c r="X933" s="46"/>
      <c r="Y933" s="46"/>
      <c r="Z933" s="46"/>
      <c r="AA933" s="46"/>
      <c r="AB933" s="46"/>
      <c r="AC933" s="46"/>
      <c r="AD933" s="46"/>
      <c r="AE933" s="46"/>
      <c r="AF933" s="46"/>
      <c r="AG933" s="46"/>
      <c r="AH933" s="46"/>
      <c r="AI933" s="46"/>
      <c r="AJ933" s="46"/>
      <c r="AK933" s="46"/>
      <c r="AL933" s="46"/>
    </row>
    <row r="934">
      <c r="A934" s="46"/>
      <c r="B934" s="46"/>
      <c r="C934" s="47"/>
      <c r="D934" s="47"/>
      <c r="E934" s="47"/>
      <c r="F934" s="46"/>
      <c r="G934" s="46"/>
      <c r="H934" s="46"/>
      <c r="I934" s="46"/>
      <c r="J934" s="46"/>
      <c r="K934" s="46"/>
      <c r="L934" s="46"/>
      <c r="M934" s="46"/>
      <c r="N934" s="46"/>
      <c r="O934" s="46"/>
      <c r="P934" s="46"/>
      <c r="Q934" s="46"/>
      <c r="R934" s="46"/>
      <c r="S934" s="46"/>
      <c r="T934" s="46"/>
      <c r="U934" s="46"/>
      <c r="V934" s="46"/>
      <c r="W934" s="46"/>
      <c r="X934" s="46"/>
      <c r="Y934" s="46"/>
      <c r="Z934" s="46"/>
      <c r="AA934" s="46"/>
      <c r="AB934" s="46"/>
      <c r="AC934" s="46"/>
      <c r="AD934" s="46"/>
      <c r="AE934" s="46"/>
      <c r="AF934" s="46"/>
      <c r="AG934" s="46"/>
      <c r="AH934" s="46"/>
      <c r="AI934" s="46"/>
      <c r="AJ934" s="46"/>
      <c r="AK934" s="46"/>
      <c r="AL934" s="46"/>
    </row>
    <row r="935">
      <c r="A935" s="46"/>
      <c r="B935" s="46"/>
      <c r="C935" s="47"/>
      <c r="D935" s="47"/>
      <c r="E935" s="47"/>
      <c r="F935" s="46"/>
      <c r="G935" s="46"/>
      <c r="H935" s="46"/>
      <c r="I935" s="46"/>
      <c r="J935" s="46"/>
      <c r="K935" s="46"/>
      <c r="L935" s="46"/>
      <c r="M935" s="46"/>
      <c r="N935" s="46"/>
      <c r="O935" s="46"/>
      <c r="P935" s="46"/>
      <c r="Q935" s="46"/>
      <c r="R935" s="46"/>
      <c r="S935" s="46"/>
      <c r="T935" s="46"/>
      <c r="U935" s="46"/>
      <c r="V935" s="46"/>
      <c r="W935" s="46"/>
      <c r="X935" s="46"/>
      <c r="Y935" s="46"/>
      <c r="Z935" s="46"/>
      <c r="AA935" s="46"/>
      <c r="AB935" s="46"/>
      <c r="AC935" s="46"/>
      <c r="AD935" s="46"/>
      <c r="AE935" s="46"/>
      <c r="AF935" s="46"/>
      <c r="AG935" s="46"/>
      <c r="AH935" s="46"/>
      <c r="AI935" s="46"/>
      <c r="AJ935" s="46"/>
      <c r="AK935" s="46"/>
      <c r="AL935" s="46"/>
    </row>
    <row r="936">
      <c r="A936" s="46"/>
      <c r="B936" s="46"/>
      <c r="C936" s="47"/>
      <c r="D936" s="47"/>
      <c r="E936" s="47"/>
      <c r="F936" s="46"/>
      <c r="G936" s="46"/>
      <c r="H936" s="46"/>
      <c r="I936" s="46"/>
      <c r="J936" s="46"/>
      <c r="K936" s="46"/>
      <c r="L936" s="46"/>
      <c r="M936" s="46"/>
      <c r="N936" s="46"/>
      <c r="O936" s="46"/>
      <c r="P936" s="46"/>
      <c r="Q936" s="46"/>
      <c r="R936" s="46"/>
      <c r="S936" s="46"/>
      <c r="T936" s="46"/>
      <c r="U936" s="46"/>
      <c r="V936" s="46"/>
      <c r="W936" s="46"/>
      <c r="X936" s="46"/>
      <c r="Y936" s="46"/>
      <c r="Z936" s="46"/>
      <c r="AA936" s="46"/>
      <c r="AB936" s="46"/>
      <c r="AC936" s="46"/>
      <c r="AD936" s="46"/>
      <c r="AE936" s="46"/>
      <c r="AF936" s="46"/>
      <c r="AG936" s="46"/>
      <c r="AH936" s="46"/>
      <c r="AI936" s="46"/>
      <c r="AJ936" s="46"/>
      <c r="AK936" s="46"/>
      <c r="AL936" s="46"/>
    </row>
    <row r="937">
      <c r="A937" s="46"/>
      <c r="B937" s="46"/>
      <c r="C937" s="47"/>
      <c r="D937" s="47"/>
      <c r="E937" s="47"/>
      <c r="F937" s="46"/>
      <c r="G937" s="46"/>
      <c r="H937" s="46"/>
      <c r="I937" s="46"/>
      <c r="J937" s="46"/>
      <c r="K937" s="46"/>
      <c r="L937" s="46"/>
      <c r="M937" s="46"/>
      <c r="N937" s="46"/>
      <c r="O937" s="46"/>
      <c r="P937" s="46"/>
      <c r="Q937" s="46"/>
      <c r="R937" s="46"/>
      <c r="S937" s="46"/>
      <c r="T937" s="46"/>
      <c r="U937" s="46"/>
      <c r="V937" s="46"/>
      <c r="W937" s="46"/>
      <c r="X937" s="46"/>
      <c r="Y937" s="46"/>
      <c r="Z937" s="46"/>
      <c r="AA937" s="46"/>
      <c r="AB937" s="46"/>
      <c r="AC937" s="46"/>
      <c r="AD937" s="46"/>
      <c r="AE937" s="46"/>
      <c r="AF937" s="46"/>
      <c r="AG937" s="46"/>
      <c r="AH937" s="46"/>
      <c r="AI937" s="46"/>
      <c r="AJ937" s="46"/>
      <c r="AK937" s="46"/>
      <c r="AL937" s="46"/>
    </row>
    <row r="938">
      <c r="A938" s="46"/>
      <c r="B938" s="46"/>
      <c r="C938" s="47"/>
      <c r="D938" s="47"/>
      <c r="E938" s="47"/>
      <c r="F938" s="46"/>
      <c r="G938" s="46"/>
      <c r="H938" s="46"/>
      <c r="I938" s="46"/>
      <c r="J938" s="46"/>
      <c r="K938" s="46"/>
      <c r="L938" s="46"/>
      <c r="M938" s="46"/>
      <c r="N938" s="46"/>
      <c r="O938" s="46"/>
      <c r="P938" s="46"/>
      <c r="Q938" s="46"/>
      <c r="R938" s="46"/>
      <c r="S938" s="46"/>
      <c r="T938" s="46"/>
      <c r="U938" s="46"/>
      <c r="V938" s="46"/>
      <c r="W938" s="46"/>
      <c r="X938" s="46"/>
      <c r="Y938" s="46"/>
      <c r="Z938" s="46"/>
      <c r="AA938" s="46"/>
      <c r="AB938" s="46"/>
      <c r="AC938" s="46"/>
      <c r="AD938" s="46"/>
      <c r="AE938" s="46"/>
      <c r="AF938" s="46"/>
      <c r="AG938" s="46"/>
      <c r="AH938" s="46"/>
      <c r="AI938" s="46"/>
      <c r="AJ938" s="46"/>
      <c r="AK938" s="46"/>
      <c r="AL938" s="46"/>
    </row>
    <row r="939">
      <c r="A939" s="46"/>
      <c r="B939" s="46"/>
      <c r="C939" s="47"/>
      <c r="D939" s="47"/>
      <c r="E939" s="47"/>
      <c r="F939" s="46"/>
      <c r="G939" s="46"/>
      <c r="H939" s="46"/>
      <c r="I939" s="46"/>
      <c r="J939" s="46"/>
      <c r="K939" s="46"/>
      <c r="L939" s="46"/>
      <c r="M939" s="46"/>
      <c r="N939" s="46"/>
      <c r="O939" s="46"/>
      <c r="P939" s="46"/>
      <c r="Q939" s="46"/>
      <c r="R939" s="46"/>
      <c r="S939" s="46"/>
      <c r="T939" s="46"/>
      <c r="U939" s="46"/>
      <c r="V939" s="46"/>
      <c r="W939" s="46"/>
      <c r="X939" s="46"/>
      <c r="Y939" s="46"/>
      <c r="Z939" s="46"/>
      <c r="AA939" s="46"/>
      <c r="AB939" s="46"/>
      <c r="AC939" s="46"/>
      <c r="AD939" s="46"/>
      <c r="AE939" s="46"/>
      <c r="AF939" s="46"/>
      <c r="AG939" s="46"/>
      <c r="AH939" s="46"/>
      <c r="AI939" s="46"/>
      <c r="AJ939" s="46"/>
      <c r="AK939" s="46"/>
      <c r="AL939" s="46"/>
    </row>
    <row r="940">
      <c r="A940" s="46"/>
      <c r="B940" s="46"/>
      <c r="C940" s="47"/>
      <c r="D940" s="47"/>
      <c r="E940" s="47"/>
      <c r="F940" s="46"/>
      <c r="G940" s="46"/>
      <c r="H940" s="46"/>
      <c r="I940" s="46"/>
      <c r="J940" s="46"/>
      <c r="K940" s="46"/>
      <c r="L940" s="46"/>
      <c r="M940" s="46"/>
      <c r="N940" s="46"/>
      <c r="O940" s="46"/>
      <c r="P940" s="46"/>
      <c r="Q940" s="46"/>
      <c r="R940" s="46"/>
      <c r="S940" s="46"/>
      <c r="T940" s="46"/>
      <c r="U940" s="46"/>
      <c r="V940" s="46"/>
      <c r="W940" s="46"/>
      <c r="X940" s="46"/>
      <c r="Y940" s="46"/>
      <c r="Z940" s="46"/>
      <c r="AA940" s="46"/>
      <c r="AB940" s="46"/>
      <c r="AC940" s="46"/>
      <c r="AD940" s="46"/>
      <c r="AE940" s="46"/>
      <c r="AF940" s="46"/>
      <c r="AG940" s="46"/>
      <c r="AH940" s="46"/>
      <c r="AI940" s="46"/>
      <c r="AJ940" s="46"/>
      <c r="AK940" s="46"/>
      <c r="AL940" s="46"/>
    </row>
    <row r="941">
      <c r="A941" s="46"/>
      <c r="B941" s="46"/>
      <c r="C941" s="47"/>
      <c r="D941" s="47"/>
      <c r="E941" s="47"/>
      <c r="F941" s="46"/>
      <c r="G941" s="46"/>
      <c r="H941" s="46"/>
      <c r="I941" s="46"/>
      <c r="J941" s="46"/>
      <c r="K941" s="46"/>
      <c r="L941" s="46"/>
      <c r="M941" s="46"/>
      <c r="N941" s="46"/>
      <c r="O941" s="46"/>
      <c r="P941" s="46"/>
      <c r="Q941" s="46"/>
      <c r="R941" s="46"/>
      <c r="S941" s="46"/>
      <c r="T941" s="46"/>
      <c r="U941" s="46"/>
      <c r="V941" s="46"/>
      <c r="W941" s="46"/>
      <c r="X941" s="46"/>
      <c r="Y941" s="46"/>
      <c r="Z941" s="46"/>
      <c r="AA941" s="46"/>
      <c r="AB941" s="46"/>
      <c r="AC941" s="46"/>
      <c r="AD941" s="46"/>
      <c r="AE941" s="46"/>
      <c r="AF941" s="46"/>
      <c r="AG941" s="46"/>
      <c r="AH941" s="46"/>
      <c r="AI941" s="46"/>
      <c r="AJ941" s="46"/>
      <c r="AK941" s="46"/>
      <c r="AL941" s="46"/>
    </row>
    <row r="942">
      <c r="A942" s="46"/>
      <c r="B942" s="46"/>
      <c r="C942" s="47"/>
      <c r="D942" s="47"/>
      <c r="E942" s="47"/>
      <c r="F942" s="46"/>
      <c r="G942" s="46"/>
      <c r="H942" s="46"/>
      <c r="I942" s="46"/>
      <c r="J942" s="46"/>
      <c r="K942" s="46"/>
      <c r="L942" s="46"/>
      <c r="M942" s="46"/>
      <c r="N942" s="46"/>
      <c r="O942" s="46"/>
      <c r="P942" s="46"/>
      <c r="Q942" s="46"/>
      <c r="R942" s="46"/>
      <c r="S942" s="46"/>
      <c r="T942" s="46"/>
      <c r="U942" s="46"/>
      <c r="V942" s="46"/>
      <c r="W942" s="46"/>
      <c r="X942" s="46"/>
      <c r="Y942" s="46"/>
      <c r="Z942" s="46"/>
      <c r="AA942" s="46"/>
      <c r="AB942" s="46"/>
      <c r="AC942" s="46"/>
      <c r="AD942" s="46"/>
      <c r="AE942" s="46"/>
      <c r="AF942" s="46"/>
      <c r="AG942" s="46"/>
      <c r="AH942" s="46"/>
      <c r="AI942" s="46"/>
      <c r="AJ942" s="46"/>
      <c r="AK942" s="46"/>
      <c r="AL942" s="46"/>
    </row>
    <row r="943">
      <c r="A943" s="46"/>
      <c r="B943" s="46"/>
      <c r="C943" s="47"/>
      <c r="D943" s="47"/>
      <c r="E943" s="47"/>
      <c r="F943" s="46"/>
      <c r="G943" s="46"/>
      <c r="H943" s="46"/>
      <c r="I943" s="46"/>
      <c r="J943" s="46"/>
      <c r="K943" s="46"/>
      <c r="L943" s="46"/>
      <c r="M943" s="46"/>
      <c r="N943" s="46"/>
      <c r="O943" s="46"/>
      <c r="P943" s="46"/>
      <c r="Q943" s="46"/>
      <c r="R943" s="46"/>
      <c r="S943" s="46"/>
      <c r="T943" s="46"/>
      <c r="U943" s="46"/>
      <c r="V943" s="46"/>
      <c r="W943" s="46"/>
      <c r="X943" s="46"/>
      <c r="Y943" s="46"/>
      <c r="Z943" s="46"/>
      <c r="AA943" s="46"/>
      <c r="AB943" s="46"/>
      <c r="AC943" s="46"/>
      <c r="AD943" s="46"/>
      <c r="AE943" s="46"/>
      <c r="AF943" s="46"/>
      <c r="AG943" s="46"/>
      <c r="AH943" s="46"/>
      <c r="AI943" s="46"/>
      <c r="AJ943" s="46"/>
      <c r="AK943" s="46"/>
      <c r="AL943" s="46"/>
    </row>
    <row r="944">
      <c r="A944" s="46"/>
      <c r="B944" s="46"/>
      <c r="C944" s="47"/>
      <c r="D944" s="47"/>
      <c r="E944" s="47"/>
      <c r="F944" s="46"/>
      <c r="G944" s="46"/>
      <c r="H944" s="46"/>
      <c r="I944" s="46"/>
      <c r="J944" s="46"/>
      <c r="K944" s="46"/>
      <c r="L944" s="46"/>
      <c r="M944" s="46"/>
      <c r="N944" s="46"/>
      <c r="O944" s="46"/>
      <c r="P944" s="46"/>
      <c r="Q944" s="46"/>
      <c r="R944" s="46"/>
      <c r="S944" s="46"/>
      <c r="T944" s="46"/>
      <c r="U944" s="46"/>
      <c r="V944" s="46"/>
      <c r="W944" s="46"/>
      <c r="X944" s="46"/>
      <c r="Y944" s="46"/>
      <c r="Z944" s="46"/>
      <c r="AA944" s="46"/>
      <c r="AB944" s="46"/>
      <c r="AC944" s="46"/>
      <c r="AD944" s="46"/>
      <c r="AE944" s="46"/>
      <c r="AF944" s="46"/>
      <c r="AG944" s="46"/>
      <c r="AH944" s="46"/>
      <c r="AI944" s="46"/>
      <c r="AJ944" s="46"/>
      <c r="AK944" s="46"/>
      <c r="AL944" s="46"/>
    </row>
    <row r="945">
      <c r="A945" s="46"/>
      <c r="B945" s="46"/>
      <c r="C945" s="47"/>
      <c r="D945" s="47"/>
      <c r="E945" s="47"/>
      <c r="F945" s="46"/>
      <c r="G945" s="46"/>
      <c r="H945" s="46"/>
      <c r="I945" s="46"/>
      <c r="J945" s="46"/>
      <c r="K945" s="46"/>
      <c r="L945" s="46"/>
      <c r="M945" s="46"/>
      <c r="N945" s="46"/>
      <c r="O945" s="46"/>
      <c r="P945" s="46"/>
      <c r="Q945" s="46"/>
      <c r="R945" s="46"/>
      <c r="S945" s="46"/>
      <c r="T945" s="46"/>
      <c r="U945" s="46"/>
      <c r="V945" s="46"/>
      <c r="W945" s="46"/>
      <c r="X945" s="46"/>
      <c r="Y945" s="46"/>
      <c r="Z945" s="46"/>
      <c r="AA945" s="46"/>
      <c r="AB945" s="46"/>
      <c r="AC945" s="46"/>
      <c r="AD945" s="46"/>
      <c r="AE945" s="46"/>
      <c r="AF945" s="46"/>
      <c r="AG945" s="46"/>
      <c r="AH945" s="46"/>
      <c r="AI945" s="46"/>
      <c r="AJ945" s="46"/>
      <c r="AK945" s="46"/>
      <c r="AL945" s="46"/>
    </row>
    <row r="946">
      <c r="A946" s="46"/>
      <c r="B946" s="46"/>
      <c r="C946" s="47"/>
      <c r="D946" s="47"/>
      <c r="E946" s="47"/>
      <c r="F946" s="46"/>
      <c r="G946" s="46"/>
      <c r="H946" s="46"/>
      <c r="I946" s="46"/>
      <c r="J946" s="46"/>
      <c r="K946" s="46"/>
      <c r="L946" s="46"/>
      <c r="M946" s="46"/>
      <c r="N946" s="46"/>
      <c r="O946" s="46"/>
      <c r="P946" s="46"/>
      <c r="Q946" s="46"/>
      <c r="R946" s="46"/>
      <c r="S946" s="46"/>
      <c r="T946" s="46"/>
      <c r="U946" s="46"/>
      <c r="V946" s="46"/>
      <c r="W946" s="46"/>
      <c r="X946" s="46"/>
      <c r="Y946" s="46"/>
      <c r="Z946" s="46"/>
      <c r="AA946" s="46"/>
      <c r="AB946" s="46"/>
      <c r="AC946" s="46"/>
      <c r="AD946" s="46"/>
      <c r="AE946" s="46"/>
      <c r="AF946" s="46"/>
      <c r="AG946" s="46"/>
      <c r="AH946" s="46"/>
      <c r="AI946" s="46"/>
      <c r="AJ946" s="46"/>
      <c r="AK946" s="46"/>
      <c r="AL946" s="46"/>
    </row>
    <row r="947">
      <c r="A947" s="46"/>
      <c r="B947" s="46"/>
      <c r="C947" s="47"/>
      <c r="D947" s="47"/>
      <c r="E947" s="47"/>
      <c r="F947" s="46"/>
      <c r="G947" s="46"/>
      <c r="H947" s="46"/>
      <c r="I947" s="46"/>
      <c r="J947" s="46"/>
      <c r="K947" s="46"/>
      <c r="L947" s="46"/>
      <c r="M947" s="46"/>
      <c r="N947" s="46"/>
      <c r="O947" s="46"/>
      <c r="P947" s="46"/>
      <c r="Q947" s="46"/>
      <c r="R947" s="46"/>
      <c r="S947" s="46"/>
      <c r="T947" s="46"/>
      <c r="U947" s="46"/>
      <c r="V947" s="46"/>
      <c r="W947" s="46"/>
      <c r="X947" s="46"/>
      <c r="Y947" s="46"/>
      <c r="Z947" s="46"/>
      <c r="AA947" s="46"/>
      <c r="AB947" s="46"/>
      <c r="AC947" s="46"/>
      <c r="AD947" s="46"/>
      <c r="AE947" s="46"/>
      <c r="AF947" s="46"/>
      <c r="AG947" s="46"/>
      <c r="AH947" s="46"/>
      <c r="AI947" s="46"/>
      <c r="AJ947" s="46"/>
      <c r="AK947" s="46"/>
      <c r="AL947" s="46"/>
    </row>
    <row r="948">
      <c r="A948" s="46"/>
      <c r="B948" s="46"/>
      <c r="C948" s="47"/>
      <c r="D948" s="47"/>
      <c r="E948" s="47"/>
      <c r="F948" s="46"/>
      <c r="G948" s="46"/>
      <c r="H948" s="46"/>
      <c r="I948" s="46"/>
      <c r="J948" s="46"/>
      <c r="K948" s="46"/>
      <c r="L948" s="46"/>
      <c r="M948" s="46"/>
      <c r="N948" s="46"/>
      <c r="O948" s="46"/>
      <c r="P948" s="46"/>
      <c r="Q948" s="46"/>
      <c r="R948" s="46"/>
      <c r="S948" s="46"/>
      <c r="T948" s="46"/>
      <c r="U948" s="46"/>
      <c r="V948" s="46"/>
      <c r="W948" s="46"/>
      <c r="X948" s="46"/>
      <c r="Y948" s="46"/>
      <c r="Z948" s="46"/>
      <c r="AA948" s="46"/>
      <c r="AB948" s="46"/>
      <c r="AC948" s="46"/>
      <c r="AD948" s="46"/>
      <c r="AE948" s="46"/>
      <c r="AF948" s="46"/>
      <c r="AG948" s="46"/>
      <c r="AH948" s="46"/>
      <c r="AI948" s="46"/>
      <c r="AJ948" s="46"/>
      <c r="AK948" s="46"/>
      <c r="AL948" s="46"/>
    </row>
    <row r="949">
      <c r="A949" s="46"/>
      <c r="B949" s="46"/>
      <c r="C949" s="47"/>
      <c r="D949" s="47"/>
      <c r="E949" s="47"/>
      <c r="F949" s="46"/>
      <c r="G949" s="46"/>
      <c r="H949" s="46"/>
      <c r="I949" s="46"/>
      <c r="J949" s="46"/>
      <c r="K949" s="46"/>
      <c r="L949" s="46"/>
      <c r="M949" s="46"/>
      <c r="N949" s="46"/>
      <c r="O949" s="46"/>
      <c r="P949" s="46"/>
      <c r="Q949" s="46"/>
      <c r="R949" s="46"/>
      <c r="S949" s="46"/>
      <c r="T949" s="46"/>
      <c r="U949" s="46"/>
      <c r="V949" s="46"/>
      <c r="W949" s="46"/>
      <c r="X949" s="46"/>
      <c r="Y949" s="46"/>
      <c r="Z949" s="46"/>
      <c r="AA949" s="46"/>
      <c r="AB949" s="46"/>
      <c r="AC949" s="46"/>
      <c r="AD949" s="46"/>
      <c r="AE949" s="46"/>
      <c r="AF949" s="46"/>
      <c r="AG949" s="46"/>
      <c r="AH949" s="46"/>
      <c r="AI949" s="46"/>
      <c r="AJ949" s="46"/>
      <c r="AK949" s="46"/>
      <c r="AL949" s="46"/>
    </row>
    <row r="950">
      <c r="A950" s="46"/>
      <c r="B950" s="46"/>
      <c r="C950" s="47"/>
      <c r="D950" s="47"/>
      <c r="E950" s="47"/>
      <c r="F950" s="46"/>
      <c r="G950" s="46"/>
      <c r="H950" s="46"/>
      <c r="I950" s="46"/>
      <c r="J950" s="46"/>
      <c r="K950" s="46"/>
      <c r="L950" s="46"/>
      <c r="M950" s="46"/>
      <c r="N950" s="46"/>
      <c r="O950" s="46"/>
      <c r="P950" s="46"/>
      <c r="Q950" s="46"/>
      <c r="R950" s="46"/>
      <c r="S950" s="46"/>
      <c r="T950" s="46"/>
      <c r="U950" s="46"/>
      <c r="V950" s="46"/>
      <c r="W950" s="46"/>
      <c r="X950" s="46"/>
      <c r="Y950" s="46"/>
      <c r="Z950" s="46"/>
      <c r="AA950" s="46"/>
      <c r="AB950" s="46"/>
      <c r="AC950" s="46"/>
      <c r="AD950" s="46"/>
      <c r="AE950" s="46"/>
      <c r="AF950" s="46"/>
      <c r="AG950" s="46"/>
      <c r="AH950" s="46"/>
      <c r="AI950" s="46"/>
      <c r="AJ950" s="46"/>
      <c r="AK950" s="46"/>
      <c r="AL950" s="46"/>
    </row>
    <row r="951">
      <c r="A951" s="46"/>
      <c r="B951" s="46"/>
      <c r="C951" s="47"/>
      <c r="D951" s="47"/>
      <c r="E951" s="47"/>
      <c r="F951" s="46"/>
      <c r="G951" s="46"/>
      <c r="H951" s="46"/>
      <c r="I951" s="46"/>
      <c r="J951" s="46"/>
      <c r="K951" s="46"/>
      <c r="L951" s="46"/>
      <c r="M951" s="46"/>
      <c r="N951" s="46"/>
      <c r="O951" s="46"/>
      <c r="P951" s="46"/>
      <c r="Q951" s="46"/>
      <c r="R951" s="46"/>
      <c r="S951" s="46"/>
      <c r="T951" s="46"/>
      <c r="U951" s="46"/>
      <c r="V951" s="46"/>
      <c r="W951" s="46"/>
      <c r="X951" s="46"/>
      <c r="Y951" s="46"/>
      <c r="Z951" s="46"/>
      <c r="AA951" s="46"/>
      <c r="AB951" s="46"/>
      <c r="AC951" s="46"/>
      <c r="AD951" s="46"/>
      <c r="AE951" s="46"/>
      <c r="AF951" s="46"/>
      <c r="AG951" s="46"/>
      <c r="AH951" s="46"/>
      <c r="AI951" s="46"/>
      <c r="AJ951" s="46"/>
      <c r="AK951" s="46"/>
      <c r="AL951" s="46"/>
    </row>
    <row r="952">
      <c r="A952" s="46"/>
      <c r="B952" s="46"/>
      <c r="C952" s="47"/>
      <c r="D952" s="47"/>
      <c r="E952" s="47"/>
      <c r="F952" s="46"/>
      <c r="G952" s="46"/>
      <c r="H952" s="46"/>
      <c r="I952" s="46"/>
      <c r="J952" s="46"/>
      <c r="K952" s="46"/>
      <c r="L952" s="46"/>
      <c r="M952" s="46"/>
      <c r="N952" s="46"/>
      <c r="O952" s="46"/>
      <c r="P952" s="46"/>
      <c r="Q952" s="46"/>
      <c r="R952" s="46"/>
      <c r="S952" s="46"/>
      <c r="T952" s="46"/>
      <c r="U952" s="46"/>
      <c r="V952" s="46"/>
      <c r="W952" s="46"/>
      <c r="X952" s="46"/>
      <c r="Y952" s="46"/>
      <c r="Z952" s="46"/>
      <c r="AA952" s="46"/>
      <c r="AB952" s="46"/>
      <c r="AC952" s="46"/>
      <c r="AD952" s="46"/>
      <c r="AE952" s="46"/>
      <c r="AF952" s="46"/>
      <c r="AG952" s="46"/>
      <c r="AH952" s="46"/>
      <c r="AI952" s="46"/>
      <c r="AJ952" s="46"/>
      <c r="AK952" s="46"/>
      <c r="AL952" s="46"/>
    </row>
    <row r="953">
      <c r="A953" s="46"/>
      <c r="B953" s="46"/>
      <c r="C953" s="47"/>
      <c r="D953" s="47"/>
      <c r="E953" s="47"/>
      <c r="F953" s="46"/>
      <c r="G953" s="46"/>
      <c r="H953" s="46"/>
      <c r="I953" s="46"/>
      <c r="J953" s="46"/>
      <c r="K953" s="46"/>
      <c r="L953" s="46"/>
      <c r="M953" s="46"/>
      <c r="N953" s="46"/>
      <c r="O953" s="46"/>
      <c r="P953" s="46"/>
      <c r="Q953" s="46"/>
      <c r="R953" s="46"/>
      <c r="S953" s="46"/>
      <c r="T953" s="46"/>
      <c r="U953" s="46"/>
      <c r="V953" s="46"/>
      <c r="W953" s="46"/>
      <c r="X953" s="46"/>
      <c r="Y953" s="46"/>
      <c r="Z953" s="46"/>
      <c r="AA953" s="46"/>
      <c r="AB953" s="46"/>
      <c r="AC953" s="46"/>
      <c r="AD953" s="46"/>
      <c r="AE953" s="46"/>
      <c r="AF953" s="46"/>
      <c r="AG953" s="46"/>
      <c r="AH953" s="46"/>
      <c r="AI953" s="46"/>
      <c r="AJ953" s="46"/>
      <c r="AK953" s="46"/>
      <c r="AL953" s="46"/>
    </row>
    <row r="954">
      <c r="A954" s="46"/>
      <c r="B954" s="46"/>
      <c r="C954" s="47"/>
      <c r="D954" s="47"/>
      <c r="E954" s="47"/>
      <c r="F954" s="46"/>
      <c r="G954" s="46"/>
      <c r="H954" s="46"/>
      <c r="I954" s="46"/>
      <c r="J954" s="46"/>
      <c r="K954" s="46"/>
      <c r="L954" s="46"/>
      <c r="M954" s="46"/>
      <c r="N954" s="46"/>
      <c r="O954" s="46"/>
      <c r="P954" s="46"/>
      <c r="Q954" s="46"/>
      <c r="R954" s="46"/>
      <c r="S954" s="46"/>
      <c r="T954" s="46"/>
      <c r="U954" s="46"/>
      <c r="V954" s="46"/>
      <c r="W954" s="46"/>
      <c r="X954" s="46"/>
      <c r="Y954" s="46"/>
      <c r="Z954" s="46"/>
      <c r="AA954" s="46"/>
      <c r="AB954" s="46"/>
      <c r="AC954" s="46"/>
      <c r="AD954" s="46"/>
      <c r="AE954" s="46"/>
      <c r="AF954" s="46"/>
      <c r="AG954" s="46"/>
      <c r="AH954" s="46"/>
      <c r="AI954" s="46"/>
      <c r="AJ954" s="46"/>
      <c r="AK954" s="46"/>
      <c r="AL954" s="46"/>
    </row>
    <row r="955">
      <c r="A955" s="46"/>
      <c r="B955" s="46"/>
      <c r="C955" s="47"/>
      <c r="D955" s="47"/>
      <c r="E955" s="47"/>
      <c r="F955" s="46"/>
      <c r="G955" s="46"/>
      <c r="H955" s="46"/>
      <c r="I955" s="46"/>
      <c r="J955" s="46"/>
      <c r="K955" s="46"/>
      <c r="L955" s="46"/>
      <c r="M955" s="46"/>
      <c r="N955" s="46"/>
      <c r="O955" s="46"/>
      <c r="P955" s="46"/>
      <c r="Q955" s="46"/>
      <c r="R955" s="46"/>
      <c r="S955" s="46"/>
      <c r="T955" s="46"/>
      <c r="U955" s="46"/>
      <c r="V955" s="46"/>
      <c r="W955" s="46"/>
      <c r="X955" s="46"/>
      <c r="Y955" s="46"/>
      <c r="Z955" s="46"/>
      <c r="AA955" s="46"/>
      <c r="AB955" s="46"/>
      <c r="AC955" s="46"/>
      <c r="AD955" s="46"/>
      <c r="AE955" s="46"/>
      <c r="AF955" s="46"/>
      <c r="AG955" s="46"/>
      <c r="AH955" s="46"/>
      <c r="AI955" s="46"/>
      <c r="AJ955" s="46"/>
      <c r="AK955" s="46"/>
      <c r="AL955" s="46"/>
    </row>
    <row r="956">
      <c r="A956" s="46"/>
      <c r="B956" s="46"/>
      <c r="C956" s="47"/>
      <c r="D956" s="47"/>
      <c r="E956" s="47"/>
      <c r="F956" s="46"/>
      <c r="G956" s="46"/>
      <c r="H956" s="46"/>
      <c r="I956" s="46"/>
      <c r="J956" s="46"/>
      <c r="K956" s="46"/>
      <c r="L956" s="46"/>
      <c r="M956" s="46"/>
      <c r="N956" s="46"/>
      <c r="O956" s="46"/>
      <c r="P956" s="46"/>
      <c r="Q956" s="46"/>
      <c r="R956" s="46"/>
      <c r="S956" s="46"/>
      <c r="T956" s="46"/>
      <c r="U956" s="46"/>
      <c r="V956" s="46"/>
      <c r="W956" s="46"/>
      <c r="X956" s="46"/>
      <c r="Y956" s="46"/>
      <c r="Z956" s="46"/>
      <c r="AA956" s="46"/>
      <c r="AB956" s="46"/>
      <c r="AC956" s="46"/>
      <c r="AD956" s="46"/>
      <c r="AE956" s="46"/>
      <c r="AF956" s="46"/>
      <c r="AG956" s="46"/>
      <c r="AH956" s="46"/>
      <c r="AI956" s="46"/>
      <c r="AJ956" s="46"/>
      <c r="AK956" s="46"/>
      <c r="AL956" s="46"/>
    </row>
    <row r="957">
      <c r="A957" s="46"/>
      <c r="B957" s="46"/>
      <c r="C957" s="47"/>
      <c r="D957" s="47"/>
      <c r="E957" s="47"/>
      <c r="F957" s="46"/>
      <c r="G957" s="46"/>
      <c r="H957" s="46"/>
      <c r="I957" s="46"/>
      <c r="J957" s="46"/>
      <c r="K957" s="46"/>
      <c r="L957" s="46"/>
      <c r="M957" s="46"/>
      <c r="N957" s="46"/>
      <c r="O957" s="46"/>
      <c r="P957" s="46"/>
      <c r="Q957" s="46"/>
      <c r="R957" s="46"/>
      <c r="S957" s="46"/>
      <c r="T957" s="46"/>
      <c r="U957" s="46"/>
      <c r="V957" s="46"/>
      <c r="W957" s="46"/>
      <c r="X957" s="46"/>
      <c r="Y957" s="46"/>
      <c r="Z957" s="46"/>
      <c r="AA957" s="46"/>
      <c r="AB957" s="46"/>
      <c r="AC957" s="46"/>
      <c r="AD957" s="46"/>
      <c r="AE957" s="46"/>
      <c r="AF957" s="46"/>
      <c r="AG957" s="46"/>
      <c r="AH957" s="46"/>
      <c r="AI957" s="46"/>
      <c r="AJ957" s="46"/>
      <c r="AK957" s="46"/>
      <c r="AL957" s="46"/>
    </row>
    <row r="958">
      <c r="A958" s="46"/>
      <c r="B958" s="46"/>
      <c r="C958" s="47"/>
      <c r="D958" s="47"/>
      <c r="E958" s="47"/>
      <c r="F958" s="46"/>
      <c r="G958" s="46"/>
      <c r="H958" s="46"/>
      <c r="I958" s="46"/>
      <c r="J958" s="46"/>
      <c r="K958" s="46"/>
      <c r="L958" s="46"/>
      <c r="M958" s="46"/>
      <c r="N958" s="46"/>
      <c r="O958" s="46"/>
      <c r="P958" s="46"/>
      <c r="Q958" s="46"/>
      <c r="R958" s="46"/>
      <c r="S958" s="46"/>
      <c r="T958" s="46"/>
      <c r="U958" s="46"/>
      <c r="V958" s="46"/>
      <c r="W958" s="46"/>
      <c r="X958" s="46"/>
      <c r="Y958" s="46"/>
      <c r="Z958" s="46"/>
      <c r="AA958" s="46"/>
      <c r="AB958" s="46"/>
      <c r="AC958" s="46"/>
      <c r="AD958" s="46"/>
      <c r="AE958" s="46"/>
      <c r="AF958" s="46"/>
      <c r="AG958" s="46"/>
      <c r="AH958" s="46"/>
      <c r="AI958" s="46"/>
      <c r="AJ958" s="46"/>
      <c r="AK958" s="46"/>
      <c r="AL958" s="46"/>
    </row>
    <row r="959">
      <c r="A959" s="46"/>
      <c r="B959" s="46"/>
      <c r="C959" s="47"/>
      <c r="D959" s="47"/>
      <c r="E959" s="47"/>
      <c r="F959" s="46"/>
      <c r="G959" s="46"/>
      <c r="H959" s="46"/>
      <c r="I959" s="46"/>
      <c r="J959" s="46"/>
      <c r="K959" s="46"/>
      <c r="L959" s="46"/>
      <c r="M959" s="46"/>
      <c r="N959" s="46"/>
      <c r="O959" s="46"/>
      <c r="P959" s="46"/>
      <c r="Q959" s="46"/>
      <c r="R959" s="46"/>
      <c r="S959" s="46"/>
      <c r="T959" s="46"/>
      <c r="U959" s="46"/>
      <c r="V959" s="46"/>
      <c r="W959" s="46"/>
      <c r="X959" s="46"/>
      <c r="Y959" s="46"/>
      <c r="Z959" s="46"/>
      <c r="AA959" s="46"/>
      <c r="AB959" s="46"/>
      <c r="AC959" s="46"/>
      <c r="AD959" s="46"/>
      <c r="AE959" s="46"/>
      <c r="AF959" s="46"/>
      <c r="AG959" s="46"/>
      <c r="AH959" s="46"/>
      <c r="AI959" s="46"/>
      <c r="AJ959" s="46"/>
      <c r="AK959" s="46"/>
      <c r="AL959" s="46"/>
    </row>
    <row r="960">
      <c r="A960" s="46"/>
      <c r="B960" s="46"/>
      <c r="C960" s="47"/>
      <c r="D960" s="47"/>
      <c r="E960" s="47"/>
      <c r="F960" s="46"/>
      <c r="G960" s="46"/>
      <c r="H960" s="46"/>
      <c r="I960" s="46"/>
      <c r="J960" s="46"/>
      <c r="K960" s="46"/>
      <c r="L960" s="46"/>
      <c r="M960" s="46"/>
      <c r="N960" s="46"/>
      <c r="O960" s="46"/>
      <c r="P960" s="46"/>
      <c r="Q960" s="46"/>
      <c r="R960" s="46"/>
      <c r="S960" s="46"/>
      <c r="T960" s="46"/>
      <c r="U960" s="46"/>
      <c r="V960" s="46"/>
      <c r="W960" s="46"/>
      <c r="X960" s="46"/>
      <c r="Y960" s="46"/>
      <c r="Z960" s="46"/>
      <c r="AA960" s="46"/>
      <c r="AB960" s="46"/>
      <c r="AC960" s="46"/>
      <c r="AD960" s="46"/>
      <c r="AE960" s="46"/>
      <c r="AF960" s="46"/>
      <c r="AG960" s="46"/>
      <c r="AH960" s="46"/>
      <c r="AI960" s="46"/>
      <c r="AJ960" s="46"/>
      <c r="AK960" s="46"/>
      <c r="AL960" s="46"/>
    </row>
    <row r="961">
      <c r="A961" s="46"/>
      <c r="B961" s="46"/>
      <c r="C961" s="47"/>
      <c r="D961" s="47"/>
      <c r="E961" s="47"/>
      <c r="F961" s="46"/>
      <c r="G961" s="46"/>
      <c r="H961" s="46"/>
      <c r="I961" s="46"/>
      <c r="J961" s="46"/>
      <c r="K961" s="46"/>
      <c r="L961" s="46"/>
      <c r="M961" s="46"/>
      <c r="N961" s="46"/>
      <c r="O961" s="46"/>
      <c r="P961" s="46"/>
      <c r="Q961" s="46"/>
      <c r="R961" s="46"/>
      <c r="S961" s="46"/>
      <c r="T961" s="46"/>
      <c r="U961" s="46"/>
      <c r="V961" s="46"/>
      <c r="W961" s="46"/>
      <c r="X961" s="46"/>
      <c r="Y961" s="46"/>
      <c r="Z961" s="46"/>
      <c r="AA961" s="46"/>
      <c r="AB961" s="46"/>
      <c r="AC961" s="46"/>
      <c r="AD961" s="46"/>
      <c r="AE961" s="46"/>
      <c r="AF961" s="46"/>
      <c r="AG961" s="46"/>
      <c r="AH961" s="46"/>
      <c r="AI961" s="46"/>
      <c r="AJ961" s="46"/>
      <c r="AK961" s="46"/>
      <c r="AL961" s="46"/>
    </row>
    <row r="962">
      <c r="A962" s="46"/>
      <c r="B962" s="46"/>
      <c r="C962" s="47"/>
      <c r="D962" s="47"/>
      <c r="E962" s="47"/>
      <c r="F962" s="46"/>
      <c r="G962" s="46"/>
      <c r="H962" s="46"/>
      <c r="I962" s="46"/>
      <c r="J962" s="46"/>
      <c r="K962" s="46"/>
      <c r="L962" s="46"/>
      <c r="M962" s="46"/>
      <c r="N962" s="46"/>
      <c r="O962" s="46"/>
      <c r="P962" s="46"/>
      <c r="Q962" s="46"/>
      <c r="R962" s="46"/>
      <c r="S962" s="46"/>
      <c r="T962" s="46"/>
      <c r="U962" s="46"/>
      <c r="V962" s="46"/>
      <c r="W962" s="46"/>
      <c r="X962" s="46"/>
      <c r="Y962" s="46"/>
      <c r="Z962" s="46"/>
      <c r="AA962" s="46"/>
      <c r="AB962" s="46"/>
      <c r="AC962" s="46"/>
      <c r="AD962" s="46"/>
      <c r="AE962" s="46"/>
      <c r="AF962" s="46"/>
      <c r="AG962" s="46"/>
      <c r="AH962" s="46"/>
      <c r="AI962" s="46"/>
      <c r="AJ962" s="46"/>
      <c r="AK962" s="46"/>
      <c r="AL962" s="46"/>
    </row>
    <row r="963">
      <c r="A963" s="46"/>
      <c r="B963" s="46"/>
      <c r="C963" s="47"/>
      <c r="D963" s="47"/>
      <c r="E963" s="47"/>
      <c r="F963" s="46"/>
      <c r="G963" s="46"/>
      <c r="H963" s="46"/>
      <c r="I963" s="46"/>
      <c r="J963" s="46"/>
      <c r="K963" s="46"/>
      <c r="L963" s="46"/>
      <c r="M963" s="46"/>
      <c r="N963" s="46"/>
      <c r="O963" s="46"/>
      <c r="P963" s="46"/>
      <c r="Q963" s="46"/>
      <c r="R963" s="46"/>
      <c r="S963" s="46"/>
      <c r="T963" s="46"/>
      <c r="U963" s="46"/>
      <c r="V963" s="46"/>
      <c r="W963" s="46"/>
      <c r="X963" s="46"/>
      <c r="Y963" s="46"/>
      <c r="Z963" s="46"/>
      <c r="AA963" s="46"/>
      <c r="AB963" s="46"/>
      <c r="AC963" s="46"/>
      <c r="AD963" s="46"/>
      <c r="AE963" s="46"/>
      <c r="AF963" s="46"/>
      <c r="AG963" s="46"/>
      <c r="AH963" s="46"/>
      <c r="AI963" s="46"/>
      <c r="AJ963" s="46"/>
      <c r="AK963" s="46"/>
      <c r="AL963" s="46"/>
    </row>
    <row r="964">
      <c r="A964" s="46"/>
      <c r="B964" s="46"/>
      <c r="C964" s="47"/>
      <c r="D964" s="47"/>
      <c r="E964" s="47"/>
      <c r="F964" s="46"/>
      <c r="G964" s="46"/>
      <c r="H964" s="46"/>
      <c r="I964" s="46"/>
      <c r="J964" s="46"/>
      <c r="K964" s="46"/>
      <c r="L964" s="46"/>
      <c r="M964" s="46"/>
      <c r="N964" s="46"/>
      <c r="O964" s="46"/>
      <c r="P964" s="46"/>
      <c r="Q964" s="46"/>
      <c r="R964" s="46"/>
      <c r="S964" s="46"/>
      <c r="T964" s="46"/>
      <c r="U964" s="46"/>
      <c r="V964" s="46"/>
      <c r="W964" s="46"/>
      <c r="X964" s="46"/>
      <c r="Y964" s="46"/>
      <c r="Z964" s="46"/>
      <c r="AA964" s="46"/>
      <c r="AB964" s="46"/>
      <c r="AC964" s="46"/>
      <c r="AD964" s="46"/>
      <c r="AE964" s="46"/>
      <c r="AF964" s="46"/>
      <c r="AG964" s="46"/>
      <c r="AH964" s="46"/>
      <c r="AI964" s="46"/>
      <c r="AJ964" s="46"/>
      <c r="AK964" s="46"/>
      <c r="AL964" s="46"/>
    </row>
    <row r="965">
      <c r="A965" s="46"/>
      <c r="B965" s="46"/>
      <c r="C965" s="47"/>
      <c r="D965" s="47"/>
      <c r="E965" s="47"/>
      <c r="F965" s="46"/>
      <c r="G965" s="46"/>
      <c r="H965" s="46"/>
      <c r="I965" s="46"/>
      <c r="J965" s="46"/>
      <c r="K965" s="46"/>
      <c r="L965" s="46"/>
      <c r="M965" s="46"/>
      <c r="N965" s="46"/>
      <c r="O965" s="46"/>
      <c r="P965" s="46"/>
      <c r="Q965" s="46"/>
      <c r="R965" s="46"/>
      <c r="S965" s="46"/>
      <c r="T965" s="46"/>
      <c r="U965" s="46"/>
      <c r="V965" s="46"/>
      <c r="W965" s="46"/>
      <c r="X965" s="46"/>
      <c r="Y965" s="46"/>
      <c r="Z965" s="46"/>
      <c r="AA965" s="46"/>
      <c r="AB965" s="46"/>
      <c r="AC965" s="46"/>
      <c r="AD965" s="46"/>
      <c r="AE965" s="46"/>
      <c r="AF965" s="46"/>
      <c r="AG965" s="46"/>
      <c r="AH965" s="46"/>
      <c r="AI965" s="46"/>
      <c r="AJ965" s="46"/>
      <c r="AK965" s="46"/>
      <c r="AL965" s="46"/>
    </row>
    <row r="966">
      <c r="A966" s="46"/>
      <c r="B966" s="46"/>
      <c r="C966" s="47"/>
      <c r="D966" s="47"/>
      <c r="E966" s="47"/>
      <c r="F966" s="46"/>
      <c r="G966" s="46"/>
      <c r="H966" s="46"/>
      <c r="I966" s="46"/>
      <c r="J966" s="46"/>
      <c r="K966" s="46"/>
      <c r="L966" s="46"/>
      <c r="M966" s="46"/>
      <c r="N966" s="46"/>
      <c r="O966" s="46"/>
      <c r="P966" s="46"/>
      <c r="Q966" s="46"/>
      <c r="R966" s="46"/>
      <c r="S966" s="46"/>
      <c r="T966" s="46"/>
      <c r="U966" s="46"/>
      <c r="V966" s="46"/>
      <c r="W966" s="46"/>
      <c r="X966" s="46"/>
      <c r="Y966" s="46"/>
      <c r="Z966" s="46"/>
      <c r="AA966" s="46"/>
      <c r="AB966" s="46"/>
      <c r="AC966" s="46"/>
      <c r="AD966" s="46"/>
      <c r="AE966" s="46"/>
      <c r="AF966" s="46"/>
      <c r="AG966" s="46"/>
      <c r="AH966" s="46"/>
      <c r="AI966" s="46"/>
      <c r="AJ966" s="46"/>
      <c r="AK966" s="46"/>
      <c r="AL966" s="46"/>
    </row>
    <row r="967">
      <c r="A967" s="46"/>
      <c r="B967" s="46"/>
      <c r="C967" s="47"/>
      <c r="D967" s="47"/>
      <c r="E967" s="47"/>
      <c r="F967" s="46"/>
      <c r="G967" s="46"/>
      <c r="H967" s="46"/>
      <c r="I967" s="46"/>
      <c r="J967" s="46"/>
      <c r="K967" s="46"/>
      <c r="L967" s="46"/>
      <c r="M967" s="46"/>
      <c r="N967" s="46"/>
      <c r="O967" s="46"/>
      <c r="P967" s="46"/>
      <c r="Q967" s="46"/>
      <c r="R967" s="46"/>
      <c r="S967" s="46"/>
      <c r="T967" s="46"/>
      <c r="U967" s="46"/>
      <c r="V967" s="46"/>
      <c r="W967" s="46"/>
      <c r="X967" s="46"/>
      <c r="Y967" s="46"/>
      <c r="Z967" s="46"/>
      <c r="AA967" s="46"/>
      <c r="AB967" s="46"/>
      <c r="AC967" s="46"/>
      <c r="AD967" s="46"/>
      <c r="AE967" s="46"/>
      <c r="AF967" s="46"/>
      <c r="AG967" s="46"/>
      <c r="AH967" s="46"/>
      <c r="AI967" s="46"/>
      <c r="AJ967" s="46"/>
      <c r="AK967" s="46"/>
      <c r="AL967" s="46"/>
    </row>
    <row r="968">
      <c r="A968" s="46"/>
      <c r="B968" s="46"/>
      <c r="C968" s="47"/>
      <c r="D968" s="47"/>
      <c r="E968" s="47"/>
      <c r="F968" s="46"/>
      <c r="G968" s="46"/>
      <c r="H968" s="46"/>
      <c r="I968" s="46"/>
      <c r="J968" s="46"/>
      <c r="K968" s="46"/>
      <c r="L968" s="46"/>
      <c r="M968" s="46"/>
      <c r="N968" s="46"/>
      <c r="O968" s="46"/>
      <c r="P968" s="46"/>
      <c r="Q968" s="46"/>
      <c r="R968" s="46"/>
      <c r="S968" s="46"/>
      <c r="T968" s="46"/>
      <c r="U968" s="46"/>
      <c r="V968" s="46"/>
      <c r="W968" s="46"/>
      <c r="X968" s="46"/>
      <c r="Y968" s="46"/>
      <c r="Z968" s="46"/>
      <c r="AA968" s="46"/>
      <c r="AB968" s="46"/>
      <c r="AC968" s="46"/>
      <c r="AD968" s="46"/>
      <c r="AE968" s="46"/>
      <c r="AF968" s="46"/>
      <c r="AG968" s="46"/>
      <c r="AH968" s="46"/>
      <c r="AI968" s="46"/>
      <c r="AJ968" s="46"/>
      <c r="AK968" s="46"/>
      <c r="AL968" s="46"/>
    </row>
    <row r="969">
      <c r="A969" s="46"/>
      <c r="B969" s="46"/>
      <c r="C969" s="47"/>
      <c r="D969" s="47"/>
      <c r="E969" s="47"/>
      <c r="F969" s="46"/>
      <c r="G969" s="46"/>
      <c r="H969" s="46"/>
      <c r="I969" s="46"/>
      <c r="J969" s="46"/>
      <c r="K969" s="46"/>
      <c r="L969" s="46"/>
      <c r="M969" s="46"/>
      <c r="N969" s="46"/>
      <c r="O969" s="46"/>
      <c r="P969" s="46"/>
      <c r="Q969" s="46"/>
      <c r="R969" s="46"/>
      <c r="S969" s="46"/>
      <c r="T969" s="46"/>
      <c r="U969" s="46"/>
      <c r="V969" s="46"/>
      <c r="W969" s="46"/>
      <c r="X969" s="46"/>
      <c r="Y969" s="46"/>
      <c r="Z969" s="46"/>
      <c r="AA969" s="46"/>
      <c r="AB969" s="46"/>
      <c r="AC969" s="46"/>
      <c r="AD969" s="46"/>
      <c r="AE969" s="46"/>
      <c r="AF969" s="46"/>
      <c r="AG969" s="46"/>
      <c r="AH969" s="46"/>
      <c r="AI969" s="46"/>
      <c r="AJ969" s="46"/>
      <c r="AK969" s="46"/>
      <c r="AL969" s="46"/>
    </row>
    <row r="970">
      <c r="A970" s="46"/>
      <c r="B970" s="46"/>
      <c r="C970" s="47"/>
      <c r="D970" s="47"/>
      <c r="E970" s="47"/>
      <c r="F970" s="46"/>
      <c r="G970" s="46"/>
      <c r="H970" s="46"/>
      <c r="I970" s="46"/>
      <c r="J970" s="46"/>
      <c r="K970" s="46"/>
      <c r="L970" s="46"/>
      <c r="M970" s="46"/>
      <c r="N970" s="46"/>
      <c r="O970" s="46"/>
      <c r="P970" s="46"/>
      <c r="Q970" s="46"/>
      <c r="R970" s="46"/>
      <c r="S970" s="46"/>
      <c r="T970" s="46"/>
      <c r="U970" s="46"/>
      <c r="V970" s="46"/>
      <c r="W970" s="46"/>
      <c r="X970" s="46"/>
      <c r="Y970" s="46"/>
      <c r="Z970" s="46"/>
      <c r="AA970" s="46"/>
      <c r="AB970" s="46"/>
      <c r="AC970" s="46"/>
      <c r="AD970" s="46"/>
      <c r="AE970" s="46"/>
      <c r="AF970" s="46"/>
      <c r="AG970" s="46"/>
      <c r="AH970" s="46"/>
      <c r="AI970" s="46"/>
      <c r="AJ970" s="46"/>
      <c r="AK970" s="46"/>
      <c r="AL970" s="46"/>
    </row>
    <row r="971">
      <c r="A971" s="46"/>
      <c r="B971" s="46"/>
      <c r="C971" s="47"/>
      <c r="D971" s="47"/>
      <c r="E971" s="47"/>
      <c r="F971" s="46"/>
      <c r="G971" s="46"/>
      <c r="H971" s="46"/>
      <c r="I971" s="46"/>
      <c r="J971" s="46"/>
      <c r="K971" s="46"/>
      <c r="L971" s="46"/>
      <c r="M971" s="46"/>
      <c r="N971" s="46"/>
      <c r="O971" s="46"/>
      <c r="P971" s="46"/>
      <c r="Q971" s="46"/>
      <c r="R971" s="46"/>
      <c r="S971" s="46"/>
      <c r="T971" s="46"/>
      <c r="U971" s="46"/>
      <c r="V971" s="46"/>
      <c r="W971" s="46"/>
      <c r="X971" s="46"/>
      <c r="Y971" s="46"/>
      <c r="Z971" s="46"/>
      <c r="AA971" s="46"/>
      <c r="AB971" s="46"/>
      <c r="AC971" s="46"/>
      <c r="AD971" s="46"/>
      <c r="AE971" s="46"/>
      <c r="AF971" s="46"/>
      <c r="AG971" s="46"/>
      <c r="AH971" s="46"/>
      <c r="AI971" s="46"/>
      <c r="AJ971" s="46"/>
      <c r="AK971" s="46"/>
      <c r="AL971" s="46"/>
    </row>
    <row r="972">
      <c r="A972" s="46"/>
      <c r="B972" s="46"/>
      <c r="C972" s="47"/>
      <c r="D972" s="47"/>
      <c r="E972" s="47"/>
      <c r="F972" s="46"/>
      <c r="G972" s="46"/>
      <c r="H972" s="46"/>
      <c r="I972" s="46"/>
      <c r="J972" s="46"/>
      <c r="K972" s="46"/>
      <c r="L972" s="46"/>
      <c r="M972" s="46"/>
      <c r="N972" s="46"/>
      <c r="O972" s="46"/>
      <c r="P972" s="46"/>
      <c r="Q972" s="46"/>
      <c r="R972" s="46"/>
      <c r="S972" s="46"/>
      <c r="T972" s="46"/>
      <c r="U972" s="46"/>
      <c r="V972" s="46"/>
      <c r="W972" s="46"/>
      <c r="X972" s="46"/>
      <c r="Y972" s="46"/>
      <c r="Z972" s="46"/>
      <c r="AA972" s="46"/>
      <c r="AB972" s="46"/>
      <c r="AC972" s="46"/>
      <c r="AD972" s="46"/>
      <c r="AE972" s="46"/>
      <c r="AF972" s="46"/>
      <c r="AG972" s="46"/>
      <c r="AH972" s="46"/>
      <c r="AI972" s="46"/>
      <c r="AJ972" s="46"/>
      <c r="AK972" s="46"/>
      <c r="AL972" s="46"/>
    </row>
    <row r="973">
      <c r="A973" s="46"/>
      <c r="B973" s="46"/>
      <c r="C973" s="47"/>
      <c r="D973" s="47"/>
      <c r="E973" s="47"/>
      <c r="F973" s="46"/>
      <c r="G973" s="46"/>
      <c r="H973" s="46"/>
      <c r="I973" s="46"/>
      <c r="J973" s="46"/>
      <c r="K973" s="46"/>
      <c r="L973" s="46"/>
      <c r="M973" s="46"/>
      <c r="N973" s="46"/>
      <c r="O973" s="46"/>
      <c r="P973" s="46"/>
      <c r="Q973" s="46"/>
      <c r="R973" s="46"/>
      <c r="S973" s="46"/>
      <c r="T973" s="46"/>
      <c r="U973" s="46"/>
      <c r="V973" s="46"/>
      <c r="W973" s="46"/>
      <c r="X973" s="46"/>
      <c r="Y973" s="46"/>
      <c r="Z973" s="46"/>
      <c r="AA973" s="46"/>
      <c r="AB973" s="46"/>
      <c r="AC973" s="46"/>
      <c r="AD973" s="46"/>
      <c r="AE973" s="46"/>
      <c r="AF973" s="46"/>
      <c r="AG973" s="46"/>
      <c r="AH973" s="46"/>
      <c r="AI973" s="46"/>
      <c r="AJ973" s="46"/>
      <c r="AK973" s="46"/>
      <c r="AL973" s="46"/>
    </row>
    <row r="974">
      <c r="A974" s="46"/>
      <c r="B974" s="46"/>
      <c r="C974" s="47"/>
      <c r="D974" s="47"/>
      <c r="E974" s="47"/>
      <c r="F974" s="46"/>
      <c r="G974" s="46"/>
      <c r="H974" s="46"/>
      <c r="I974" s="46"/>
      <c r="J974" s="46"/>
      <c r="K974" s="46"/>
      <c r="L974" s="46"/>
      <c r="M974" s="46"/>
      <c r="N974" s="46"/>
      <c r="O974" s="46"/>
      <c r="P974" s="46"/>
      <c r="Q974" s="46"/>
      <c r="R974" s="46"/>
      <c r="S974" s="46"/>
      <c r="T974" s="46"/>
      <c r="U974" s="46"/>
      <c r="V974" s="46"/>
      <c r="W974" s="46"/>
      <c r="X974" s="46"/>
      <c r="Y974" s="46"/>
      <c r="Z974" s="46"/>
      <c r="AA974" s="46"/>
      <c r="AB974" s="46"/>
      <c r="AC974" s="46"/>
      <c r="AD974" s="46"/>
      <c r="AE974" s="46"/>
      <c r="AF974" s="46"/>
      <c r="AG974" s="46"/>
      <c r="AH974" s="46"/>
      <c r="AI974" s="46"/>
      <c r="AJ974" s="46"/>
      <c r="AK974" s="46"/>
      <c r="AL974" s="46"/>
    </row>
    <row r="975">
      <c r="A975" s="46"/>
      <c r="B975" s="46"/>
      <c r="C975" s="47"/>
      <c r="D975" s="47"/>
      <c r="E975" s="47"/>
      <c r="F975" s="46"/>
      <c r="G975" s="46"/>
      <c r="H975" s="46"/>
      <c r="I975" s="46"/>
      <c r="J975" s="46"/>
      <c r="K975" s="46"/>
      <c r="L975" s="46"/>
      <c r="M975" s="46"/>
      <c r="N975" s="46"/>
      <c r="O975" s="46"/>
      <c r="P975" s="46"/>
      <c r="Q975" s="46"/>
      <c r="R975" s="46"/>
      <c r="S975" s="46"/>
      <c r="T975" s="46"/>
      <c r="U975" s="46"/>
      <c r="V975" s="46"/>
      <c r="W975" s="46"/>
      <c r="X975" s="46"/>
      <c r="Y975" s="46"/>
      <c r="Z975" s="46"/>
      <c r="AA975" s="46"/>
      <c r="AB975" s="46"/>
      <c r="AC975" s="46"/>
      <c r="AD975" s="46"/>
      <c r="AE975" s="46"/>
      <c r="AF975" s="46"/>
      <c r="AG975" s="46"/>
      <c r="AH975" s="46"/>
      <c r="AI975" s="46"/>
      <c r="AJ975" s="46"/>
      <c r="AK975" s="46"/>
      <c r="AL975" s="46"/>
    </row>
    <row r="976">
      <c r="A976" s="46"/>
      <c r="B976" s="46"/>
      <c r="C976" s="47"/>
      <c r="D976" s="47"/>
      <c r="E976" s="47"/>
      <c r="F976" s="46"/>
      <c r="G976" s="46"/>
      <c r="H976" s="46"/>
      <c r="I976" s="46"/>
      <c r="J976" s="46"/>
      <c r="K976" s="46"/>
      <c r="L976" s="46"/>
      <c r="M976" s="46"/>
      <c r="N976" s="46"/>
      <c r="O976" s="46"/>
      <c r="P976" s="46"/>
      <c r="Q976" s="46"/>
      <c r="R976" s="46"/>
      <c r="S976" s="46"/>
      <c r="T976" s="46"/>
      <c r="U976" s="46"/>
      <c r="V976" s="46"/>
      <c r="W976" s="46"/>
      <c r="X976" s="46"/>
      <c r="Y976" s="46"/>
      <c r="Z976" s="46"/>
      <c r="AA976" s="46"/>
      <c r="AB976" s="46"/>
      <c r="AC976" s="46"/>
      <c r="AD976" s="46"/>
      <c r="AE976" s="46"/>
      <c r="AF976" s="46"/>
      <c r="AG976" s="46"/>
      <c r="AH976" s="46"/>
      <c r="AI976" s="46"/>
      <c r="AJ976" s="46"/>
      <c r="AK976" s="46"/>
      <c r="AL976" s="46"/>
    </row>
    <row r="977">
      <c r="A977" s="46"/>
      <c r="B977" s="46"/>
      <c r="C977" s="47"/>
      <c r="D977" s="47"/>
      <c r="E977" s="47"/>
      <c r="F977" s="46"/>
      <c r="G977" s="46"/>
      <c r="H977" s="46"/>
      <c r="I977" s="46"/>
      <c r="J977" s="46"/>
      <c r="K977" s="46"/>
      <c r="L977" s="46"/>
      <c r="M977" s="46"/>
      <c r="N977" s="46"/>
      <c r="O977" s="46"/>
      <c r="P977" s="46"/>
      <c r="Q977" s="46"/>
      <c r="R977" s="46"/>
      <c r="S977" s="46"/>
      <c r="T977" s="46"/>
      <c r="U977" s="46"/>
      <c r="V977" s="46"/>
      <c r="W977" s="46"/>
      <c r="X977" s="46"/>
      <c r="Y977" s="46"/>
      <c r="Z977" s="46"/>
      <c r="AA977" s="46"/>
      <c r="AB977" s="46"/>
      <c r="AC977" s="46"/>
      <c r="AD977" s="46"/>
      <c r="AE977" s="46"/>
      <c r="AF977" s="46"/>
      <c r="AG977" s="46"/>
      <c r="AH977" s="46"/>
      <c r="AI977" s="46"/>
      <c r="AJ977" s="46"/>
      <c r="AK977" s="46"/>
      <c r="AL977" s="46"/>
    </row>
    <row r="978">
      <c r="A978" s="46"/>
      <c r="B978" s="46"/>
      <c r="C978" s="47"/>
      <c r="D978" s="47"/>
      <c r="E978" s="47"/>
      <c r="F978" s="46"/>
      <c r="G978" s="46"/>
      <c r="H978" s="46"/>
      <c r="I978" s="46"/>
      <c r="J978" s="46"/>
      <c r="K978" s="46"/>
      <c r="L978" s="46"/>
      <c r="M978" s="46"/>
      <c r="N978" s="46"/>
      <c r="O978" s="46"/>
      <c r="P978" s="46"/>
      <c r="Q978" s="46"/>
      <c r="R978" s="46"/>
      <c r="S978" s="46"/>
      <c r="T978" s="46"/>
      <c r="U978" s="46"/>
      <c r="V978" s="46"/>
      <c r="W978" s="46"/>
      <c r="X978" s="46"/>
      <c r="Y978" s="46"/>
      <c r="Z978" s="46"/>
      <c r="AA978" s="46"/>
      <c r="AB978" s="46"/>
      <c r="AC978" s="46"/>
      <c r="AD978" s="46"/>
      <c r="AE978" s="46"/>
      <c r="AF978" s="46"/>
      <c r="AG978" s="46"/>
      <c r="AH978" s="46"/>
      <c r="AI978" s="46"/>
      <c r="AJ978" s="46"/>
      <c r="AK978" s="46"/>
      <c r="AL978" s="46"/>
    </row>
    <row r="979">
      <c r="A979" s="46"/>
      <c r="B979" s="46"/>
      <c r="C979" s="47"/>
      <c r="D979" s="47"/>
      <c r="E979" s="47"/>
      <c r="F979" s="46"/>
      <c r="G979" s="46"/>
      <c r="H979" s="46"/>
      <c r="I979" s="46"/>
      <c r="J979" s="46"/>
      <c r="K979" s="46"/>
      <c r="L979" s="46"/>
      <c r="M979" s="46"/>
      <c r="N979" s="46"/>
      <c r="O979" s="46"/>
      <c r="P979" s="46"/>
      <c r="Q979" s="46"/>
      <c r="R979" s="46"/>
      <c r="S979" s="46"/>
      <c r="T979" s="46"/>
      <c r="U979" s="46"/>
      <c r="V979" s="46"/>
      <c r="W979" s="46"/>
      <c r="X979" s="46"/>
      <c r="Y979" s="46"/>
      <c r="Z979" s="46"/>
      <c r="AA979" s="46"/>
      <c r="AB979" s="46"/>
      <c r="AC979" s="46"/>
      <c r="AD979" s="46"/>
      <c r="AE979" s="46"/>
      <c r="AF979" s="46"/>
      <c r="AG979" s="46"/>
      <c r="AH979" s="46"/>
      <c r="AI979" s="46"/>
      <c r="AJ979" s="46"/>
      <c r="AK979" s="46"/>
      <c r="AL979" s="46"/>
    </row>
    <row r="980">
      <c r="A980" s="46"/>
      <c r="B980" s="46"/>
      <c r="C980" s="47"/>
      <c r="D980" s="47"/>
      <c r="E980" s="47"/>
      <c r="F980" s="46"/>
      <c r="G980" s="46"/>
      <c r="H980" s="46"/>
      <c r="I980" s="46"/>
      <c r="J980" s="46"/>
      <c r="K980" s="46"/>
      <c r="L980" s="46"/>
      <c r="M980" s="46"/>
      <c r="N980" s="46"/>
      <c r="O980" s="46"/>
      <c r="P980" s="46"/>
      <c r="Q980" s="46"/>
      <c r="R980" s="46"/>
      <c r="S980" s="46"/>
      <c r="T980" s="46"/>
      <c r="U980" s="46"/>
      <c r="V980" s="46"/>
      <c r="W980" s="46"/>
      <c r="X980" s="46"/>
      <c r="Y980" s="46"/>
      <c r="Z980" s="46"/>
      <c r="AA980" s="46"/>
      <c r="AB980" s="46"/>
      <c r="AC980" s="46"/>
      <c r="AD980" s="46"/>
      <c r="AE980" s="46"/>
      <c r="AF980" s="46"/>
      <c r="AG980" s="46"/>
      <c r="AH980" s="46"/>
      <c r="AI980" s="46"/>
      <c r="AJ980" s="46"/>
      <c r="AK980" s="46"/>
      <c r="AL980" s="46"/>
    </row>
    <row r="981">
      <c r="A981" s="46"/>
      <c r="B981" s="46"/>
      <c r="C981" s="47"/>
      <c r="D981" s="47"/>
      <c r="E981" s="47"/>
      <c r="F981" s="46"/>
      <c r="G981" s="46"/>
      <c r="H981" s="46"/>
      <c r="I981" s="46"/>
      <c r="J981" s="46"/>
      <c r="K981" s="46"/>
      <c r="L981" s="46"/>
      <c r="M981" s="46"/>
      <c r="N981" s="46"/>
      <c r="O981" s="46"/>
      <c r="P981" s="46"/>
      <c r="Q981" s="46"/>
      <c r="R981" s="46"/>
      <c r="S981" s="46"/>
      <c r="T981" s="46"/>
      <c r="U981" s="46"/>
      <c r="V981" s="46"/>
      <c r="W981" s="46"/>
      <c r="X981" s="46"/>
      <c r="Y981" s="46"/>
      <c r="Z981" s="46"/>
      <c r="AA981" s="46"/>
      <c r="AB981" s="46"/>
      <c r="AC981" s="46"/>
      <c r="AD981" s="46"/>
      <c r="AE981" s="46"/>
      <c r="AF981" s="46"/>
      <c r="AG981" s="46"/>
      <c r="AH981" s="46"/>
      <c r="AI981" s="46"/>
      <c r="AJ981" s="46"/>
      <c r="AK981" s="46"/>
      <c r="AL981" s="46"/>
    </row>
    <row r="982">
      <c r="A982" s="46"/>
      <c r="B982" s="46"/>
      <c r="C982" s="47"/>
      <c r="D982" s="47"/>
      <c r="E982" s="47"/>
      <c r="F982" s="46"/>
      <c r="G982" s="46"/>
      <c r="H982" s="46"/>
      <c r="I982" s="46"/>
      <c r="J982" s="46"/>
      <c r="K982" s="46"/>
      <c r="L982" s="46"/>
      <c r="M982" s="46"/>
      <c r="N982" s="46"/>
      <c r="O982" s="46"/>
      <c r="P982" s="46"/>
      <c r="Q982" s="46"/>
      <c r="R982" s="46"/>
      <c r="S982" s="46"/>
      <c r="T982" s="46"/>
      <c r="U982" s="46"/>
      <c r="V982" s="46"/>
      <c r="W982" s="46"/>
      <c r="X982" s="46"/>
      <c r="Y982" s="46"/>
      <c r="Z982" s="46"/>
      <c r="AA982" s="46"/>
      <c r="AB982" s="46"/>
      <c r="AC982" s="46"/>
      <c r="AD982" s="46"/>
      <c r="AE982" s="46"/>
      <c r="AF982" s="46"/>
      <c r="AG982" s="46"/>
      <c r="AH982" s="46"/>
      <c r="AI982" s="46"/>
      <c r="AJ982" s="46"/>
      <c r="AK982" s="46"/>
      <c r="AL982" s="46"/>
    </row>
    <row r="983">
      <c r="A983" s="46"/>
      <c r="B983" s="46"/>
      <c r="C983" s="47"/>
      <c r="D983" s="47"/>
      <c r="E983" s="47"/>
      <c r="F983" s="46"/>
      <c r="G983" s="46"/>
      <c r="H983" s="46"/>
      <c r="I983" s="46"/>
      <c r="J983" s="46"/>
      <c r="K983" s="46"/>
      <c r="L983" s="46"/>
      <c r="M983" s="46"/>
      <c r="N983" s="46"/>
      <c r="O983" s="46"/>
      <c r="P983" s="46"/>
      <c r="Q983" s="46"/>
      <c r="R983" s="46"/>
      <c r="S983" s="46"/>
      <c r="T983" s="46"/>
      <c r="U983" s="46"/>
      <c r="V983" s="46"/>
      <c r="W983" s="46"/>
      <c r="X983" s="46"/>
      <c r="Y983" s="46"/>
      <c r="Z983" s="46"/>
      <c r="AA983" s="46"/>
      <c r="AB983" s="46"/>
      <c r="AC983" s="46"/>
      <c r="AD983" s="46"/>
      <c r="AE983" s="46"/>
      <c r="AF983" s="46"/>
      <c r="AG983" s="46"/>
      <c r="AH983" s="46"/>
      <c r="AI983" s="46"/>
      <c r="AJ983" s="46"/>
      <c r="AK983" s="46"/>
      <c r="AL983" s="46"/>
    </row>
    <row r="984">
      <c r="A984" s="46"/>
      <c r="B984" s="46"/>
      <c r="C984" s="47"/>
      <c r="D984" s="47"/>
      <c r="E984" s="47"/>
      <c r="F984" s="46"/>
      <c r="G984" s="46"/>
      <c r="H984" s="46"/>
      <c r="I984" s="46"/>
      <c r="J984" s="46"/>
      <c r="K984" s="46"/>
      <c r="L984" s="46"/>
      <c r="M984" s="46"/>
      <c r="N984" s="46"/>
      <c r="O984" s="46"/>
      <c r="P984" s="46"/>
      <c r="Q984" s="46"/>
      <c r="R984" s="46"/>
      <c r="S984" s="46"/>
      <c r="T984" s="46"/>
      <c r="U984" s="46"/>
      <c r="V984" s="46"/>
      <c r="W984" s="46"/>
      <c r="X984" s="46"/>
      <c r="Y984" s="46"/>
      <c r="Z984" s="46"/>
      <c r="AA984" s="46"/>
      <c r="AB984" s="46"/>
      <c r="AC984" s="46"/>
      <c r="AD984" s="46"/>
      <c r="AE984" s="46"/>
      <c r="AF984" s="46"/>
      <c r="AG984" s="46"/>
      <c r="AH984" s="46"/>
      <c r="AI984" s="46"/>
      <c r="AJ984" s="46"/>
      <c r="AK984" s="46"/>
      <c r="AL984" s="46"/>
    </row>
    <row r="985">
      <c r="A985" s="46"/>
      <c r="B985" s="46"/>
      <c r="C985" s="47"/>
      <c r="D985" s="47"/>
      <c r="E985" s="47"/>
      <c r="F985" s="46"/>
      <c r="G985" s="46"/>
      <c r="H985" s="46"/>
      <c r="I985" s="46"/>
      <c r="J985" s="46"/>
      <c r="K985" s="46"/>
      <c r="L985" s="46"/>
      <c r="M985" s="46"/>
      <c r="N985" s="46"/>
      <c r="O985" s="46"/>
      <c r="P985" s="46"/>
      <c r="Q985" s="46"/>
      <c r="R985" s="46"/>
      <c r="S985" s="46"/>
      <c r="T985" s="46"/>
      <c r="U985" s="46"/>
      <c r="V985" s="46"/>
      <c r="W985" s="46"/>
      <c r="X985" s="46"/>
      <c r="Y985" s="46"/>
      <c r="Z985" s="46"/>
      <c r="AA985" s="46"/>
      <c r="AB985" s="46"/>
      <c r="AC985" s="46"/>
      <c r="AD985" s="46"/>
      <c r="AE985" s="46"/>
      <c r="AF985" s="46"/>
      <c r="AG985" s="46"/>
      <c r="AH985" s="46"/>
      <c r="AI985" s="46"/>
      <c r="AJ985" s="46"/>
      <c r="AK985" s="46"/>
      <c r="AL985" s="46"/>
    </row>
    <row r="986">
      <c r="A986" s="46"/>
      <c r="B986" s="46"/>
      <c r="C986" s="47"/>
      <c r="D986" s="47"/>
      <c r="E986" s="47"/>
      <c r="F986" s="46"/>
      <c r="G986" s="46"/>
      <c r="H986" s="46"/>
      <c r="I986" s="46"/>
      <c r="J986" s="46"/>
      <c r="K986" s="46"/>
      <c r="L986" s="46"/>
      <c r="M986" s="46"/>
      <c r="N986" s="46"/>
      <c r="O986" s="46"/>
      <c r="P986" s="46"/>
      <c r="Q986" s="46"/>
      <c r="R986" s="46"/>
      <c r="S986" s="46"/>
      <c r="T986" s="46"/>
      <c r="U986" s="46"/>
      <c r="V986" s="46"/>
      <c r="W986" s="46"/>
      <c r="X986" s="46"/>
      <c r="Y986" s="46"/>
      <c r="Z986" s="46"/>
      <c r="AA986" s="46"/>
      <c r="AB986" s="46"/>
      <c r="AC986" s="46"/>
      <c r="AD986" s="46"/>
      <c r="AE986" s="46"/>
      <c r="AF986" s="46"/>
      <c r="AG986" s="46"/>
      <c r="AH986" s="46"/>
      <c r="AI986" s="46"/>
      <c r="AJ986" s="46"/>
      <c r="AK986" s="46"/>
      <c r="AL986" s="46"/>
    </row>
    <row r="987">
      <c r="A987" s="46"/>
      <c r="B987" s="46"/>
      <c r="C987" s="47"/>
      <c r="D987" s="47"/>
      <c r="E987" s="47"/>
      <c r="F987" s="46"/>
      <c r="G987" s="46"/>
      <c r="H987" s="46"/>
      <c r="I987" s="46"/>
      <c r="J987" s="46"/>
      <c r="K987" s="46"/>
      <c r="L987" s="46"/>
      <c r="M987" s="46"/>
      <c r="N987" s="46"/>
      <c r="O987" s="46"/>
      <c r="P987" s="46"/>
      <c r="Q987" s="46"/>
      <c r="R987" s="46"/>
      <c r="S987" s="46"/>
      <c r="T987" s="46"/>
      <c r="U987" s="46"/>
      <c r="V987" s="46"/>
      <c r="W987" s="46"/>
      <c r="X987" s="46"/>
      <c r="Y987" s="46"/>
      <c r="Z987" s="46"/>
      <c r="AA987" s="46"/>
      <c r="AB987" s="46"/>
      <c r="AC987" s="46"/>
      <c r="AD987" s="46"/>
      <c r="AE987" s="46"/>
      <c r="AF987" s="46"/>
      <c r="AG987" s="46"/>
      <c r="AH987" s="46"/>
      <c r="AI987" s="46"/>
      <c r="AJ987" s="46"/>
      <c r="AK987" s="46"/>
      <c r="AL987" s="46"/>
    </row>
    <row r="988">
      <c r="A988" s="46"/>
      <c r="B988" s="46"/>
      <c r="C988" s="47"/>
      <c r="D988" s="47"/>
      <c r="E988" s="47"/>
      <c r="F988" s="46"/>
      <c r="G988" s="46"/>
      <c r="H988" s="46"/>
      <c r="I988" s="46"/>
      <c r="J988" s="46"/>
      <c r="K988" s="46"/>
      <c r="L988" s="46"/>
      <c r="M988" s="46"/>
      <c r="N988" s="46"/>
      <c r="O988" s="46"/>
      <c r="P988" s="46"/>
      <c r="Q988" s="46"/>
      <c r="R988" s="46"/>
      <c r="S988" s="46"/>
      <c r="T988" s="46"/>
      <c r="U988" s="46"/>
      <c r="V988" s="46"/>
      <c r="W988" s="46"/>
      <c r="X988" s="46"/>
      <c r="Y988" s="46"/>
      <c r="Z988" s="46"/>
      <c r="AA988" s="46"/>
      <c r="AB988" s="46"/>
      <c r="AC988" s="46"/>
      <c r="AD988" s="46"/>
      <c r="AE988" s="46"/>
      <c r="AF988" s="46"/>
      <c r="AG988" s="46"/>
      <c r="AH988" s="46"/>
      <c r="AI988" s="46"/>
      <c r="AJ988" s="46"/>
      <c r="AK988" s="46"/>
      <c r="AL988" s="46"/>
    </row>
    <row r="989">
      <c r="A989" s="46"/>
      <c r="B989" s="46"/>
      <c r="C989" s="47"/>
      <c r="D989" s="47"/>
      <c r="E989" s="47"/>
      <c r="F989" s="46"/>
      <c r="G989" s="46"/>
      <c r="H989" s="46"/>
      <c r="I989" s="46"/>
      <c r="J989" s="46"/>
      <c r="K989" s="46"/>
      <c r="L989" s="46"/>
      <c r="M989" s="46"/>
      <c r="N989" s="46"/>
      <c r="O989" s="46"/>
      <c r="P989" s="46"/>
      <c r="Q989" s="46"/>
      <c r="R989" s="46"/>
      <c r="S989" s="46"/>
      <c r="T989" s="46"/>
      <c r="U989" s="46"/>
      <c r="V989" s="46"/>
      <c r="W989" s="46"/>
      <c r="X989" s="46"/>
      <c r="Y989" s="46"/>
      <c r="Z989" s="46"/>
      <c r="AA989" s="46"/>
      <c r="AB989" s="46"/>
      <c r="AC989" s="46"/>
      <c r="AD989" s="46"/>
      <c r="AE989" s="46"/>
      <c r="AF989" s="46"/>
      <c r="AG989" s="46"/>
      <c r="AH989" s="46"/>
      <c r="AI989" s="46"/>
      <c r="AJ989" s="46"/>
      <c r="AK989" s="46"/>
      <c r="AL989" s="46"/>
    </row>
    <row r="990">
      <c r="A990" s="46"/>
      <c r="B990" s="46"/>
      <c r="C990" s="47"/>
      <c r="D990" s="47"/>
      <c r="E990" s="47"/>
      <c r="F990" s="46"/>
      <c r="G990" s="46"/>
      <c r="H990" s="46"/>
      <c r="I990" s="46"/>
      <c r="J990" s="46"/>
      <c r="K990" s="46"/>
      <c r="L990" s="46"/>
      <c r="M990" s="46"/>
      <c r="N990" s="46"/>
      <c r="O990" s="46"/>
      <c r="P990" s="46"/>
      <c r="Q990" s="46"/>
      <c r="R990" s="46"/>
      <c r="S990" s="46"/>
      <c r="T990" s="46"/>
      <c r="U990" s="46"/>
      <c r="V990" s="46"/>
      <c r="W990" s="46"/>
      <c r="X990" s="46"/>
      <c r="Y990" s="46"/>
      <c r="Z990" s="46"/>
      <c r="AA990" s="46"/>
      <c r="AB990" s="46"/>
      <c r="AC990" s="46"/>
      <c r="AD990" s="46"/>
      <c r="AE990" s="46"/>
      <c r="AF990" s="46"/>
      <c r="AG990" s="46"/>
      <c r="AH990" s="46"/>
      <c r="AI990" s="46"/>
      <c r="AJ990" s="46"/>
      <c r="AK990" s="46"/>
      <c r="AL990" s="46"/>
    </row>
    <row r="991">
      <c r="A991" s="46"/>
      <c r="B991" s="46"/>
      <c r="C991" s="47"/>
      <c r="D991" s="47"/>
      <c r="E991" s="47"/>
      <c r="F991" s="46"/>
      <c r="G991" s="46"/>
      <c r="H991" s="46"/>
      <c r="I991" s="46"/>
      <c r="J991" s="46"/>
      <c r="K991" s="46"/>
      <c r="L991" s="46"/>
      <c r="M991" s="46"/>
      <c r="N991" s="46"/>
      <c r="O991" s="46"/>
      <c r="P991" s="46"/>
      <c r="Q991" s="46"/>
      <c r="R991" s="46"/>
      <c r="S991" s="46"/>
      <c r="T991" s="46"/>
      <c r="U991" s="46"/>
      <c r="V991" s="46"/>
      <c r="W991" s="46"/>
      <c r="X991" s="46"/>
      <c r="Y991" s="46"/>
      <c r="Z991" s="46"/>
      <c r="AA991" s="46"/>
      <c r="AB991" s="46"/>
      <c r="AC991" s="46"/>
      <c r="AD991" s="46"/>
      <c r="AE991" s="46"/>
      <c r="AF991" s="46"/>
      <c r="AG991" s="46"/>
      <c r="AH991" s="46"/>
      <c r="AI991" s="46"/>
      <c r="AJ991" s="46"/>
      <c r="AK991" s="46"/>
      <c r="AL991" s="46"/>
    </row>
    <row r="992">
      <c r="A992" s="46"/>
      <c r="B992" s="46"/>
      <c r="C992" s="47"/>
      <c r="D992" s="47"/>
      <c r="E992" s="47"/>
      <c r="F992" s="46"/>
      <c r="G992" s="46"/>
      <c r="H992" s="46"/>
      <c r="I992" s="46"/>
      <c r="J992" s="46"/>
      <c r="K992" s="46"/>
      <c r="L992" s="46"/>
      <c r="M992" s="46"/>
      <c r="N992" s="46"/>
      <c r="O992" s="46"/>
      <c r="P992" s="46"/>
      <c r="Q992" s="46"/>
      <c r="R992" s="46"/>
      <c r="S992" s="46"/>
      <c r="T992" s="46"/>
      <c r="U992" s="46"/>
      <c r="V992" s="46"/>
      <c r="W992" s="46"/>
      <c r="X992" s="46"/>
      <c r="Y992" s="46"/>
      <c r="Z992" s="46"/>
      <c r="AA992" s="46"/>
      <c r="AB992" s="46"/>
      <c r="AC992" s="46"/>
      <c r="AD992" s="46"/>
      <c r="AE992" s="46"/>
      <c r="AF992" s="46"/>
      <c r="AG992" s="46"/>
      <c r="AH992" s="46"/>
      <c r="AI992" s="46"/>
      <c r="AJ992" s="46"/>
      <c r="AK992" s="46"/>
      <c r="AL992" s="46"/>
    </row>
    <row r="993">
      <c r="A993" s="46"/>
      <c r="B993" s="46"/>
      <c r="C993" s="47"/>
      <c r="D993" s="47"/>
      <c r="E993" s="47"/>
      <c r="F993" s="46"/>
      <c r="G993" s="46"/>
      <c r="H993" s="46"/>
      <c r="I993" s="46"/>
      <c r="J993" s="46"/>
      <c r="K993" s="46"/>
      <c r="L993" s="46"/>
      <c r="M993" s="46"/>
      <c r="N993" s="46"/>
      <c r="O993" s="46"/>
      <c r="P993" s="46"/>
      <c r="Q993" s="46"/>
      <c r="R993" s="46"/>
      <c r="S993" s="46"/>
      <c r="T993" s="46"/>
      <c r="U993" s="46"/>
      <c r="V993" s="46"/>
      <c r="W993" s="46"/>
      <c r="X993" s="46"/>
      <c r="Y993" s="46"/>
      <c r="Z993" s="46"/>
      <c r="AA993" s="46"/>
      <c r="AB993" s="46"/>
      <c r="AC993" s="46"/>
      <c r="AD993" s="46"/>
      <c r="AE993" s="46"/>
      <c r="AF993" s="46"/>
      <c r="AG993" s="46"/>
      <c r="AH993" s="46"/>
      <c r="AI993" s="46"/>
      <c r="AJ993" s="46"/>
      <c r="AK993" s="46"/>
      <c r="AL993" s="46"/>
    </row>
    <row r="994">
      <c r="A994" s="46"/>
      <c r="B994" s="46"/>
      <c r="C994" s="47"/>
      <c r="D994" s="47"/>
      <c r="E994" s="47"/>
      <c r="F994" s="46"/>
      <c r="G994" s="46"/>
      <c r="H994" s="46"/>
      <c r="I994" s="46"/>
      <c r="J994" s="46"/>
      <c r="K994" s="46"/>
      <c r="L994" s="46"/>
      <c r="M994" s="46"/>
      <c r="N994" s="46"/>
      <c r="O994" s="46"/>
      <c r="P994" s="46"/>
      <c r="Q994" s="46"/>
      <c r="R994" s="46"/>
      <c r="S994" s="46"/>
      <c r="T994" s="46"/>
      <c r="U994" s="46"/>
      <c r="V994" s="46"/>
      <c r="W994" s="46"/>
      <c r="X994" s="46"/>
      <c r="Y994" s="46"/>
      <c r="Z994" s="46"/>
      <c r="AA994" s="46"/>
      <c r="AB994" s="46"/>
      <c r="AC994" s="46"/>
      <c r="AD994" s="46"/>
      <c r="AE994" s="46"/>
      <c r="AF994" s="46"/>
      <c r="AG994" s="46"/>
      <c r="AH994" s="46"/>
      <c r="AI994" s="46"/>
      <c r="AJ994" s="46"/>
      <c r="AK994" s="46"/>
      <c r="AL994" s="46"/>
    </row>
    <row r="995">
      <c r="A995" s="46"/>
      <c r="B995" s="46"/>
      <c r="C995" s="47"/>
      <c r="D995" s="47"/>
      <c r="E995" s="47"/>
      <c r="F995" s="46"/>
      <c r="G995" s="46"/>
      <c r="H995" s="46"/>
      <c r="I995" s="46"/>
      <c r="J995" s="46"/>
      <c r="K995" s="46"/>
      <c r="L995" s="46"/>
      <c r="M995" s="46"/>
      <c r="N995" s="46"/>
      <c r="O995" s="46"/>
      <c r="P995" s="46"/>
      <c r="Q995" s="46"/>
      <c r="R995" s="46"/>
      <c r="S995" s="46"/>
      <c r="T995" s="46"/>
      <c r="U995" s="46"/>
      <c r="V995" s="46"/>
      <c r="W995" s="46"/>
      <c r="X995" s="46"/>
      <c r="Y995" s="46"/>
      <c r="Z995" s="46"/>
      <c r="AA995" s="46"/>
      <c r="AB995" s="46"/>
      <c r="AC995" s="46"/>
      <c r="AD995" s="46"/>
      <c r="AE995" s="46"/>
      <c r="AF995" s="46"/>
      <c r="AG995" s="46"/>
      <c r="AH995" s="46"/>
      <c r="AI995" s="46"/>
      <c r="AJ995" s="46"/>
      <c r="AK995" s="46"/>
      <c r="AL995" s="46"/>
    </row>
    <row r="996">
      <c r="A996" s="46"/>
      <c r="B996" s="46"/>
      <c r="C996" s="47"/>
      <c r="D996" s="47"/>
      <c r="E996" s="47"/>
      <c r="F996" s="46"/>
      <c r="G996" s="46"/>
      <c r="H996" s="46"/>
      <c r="I996" s="46"/>
      <c r="J996" s="46"/>
      <c r="K996" s="46"/>
      <c r="L996" s="46"/>
      <c r="M996" s="46"/>
      <c r="N996" s="46"/>
      <c r="O996" s="46"/>
      <c r="P996" s="46"/>
      <c r="Q996" s="46"/>
      <c r="R996" s="46"/>
      <c r="S996" s="46"/>
      <c r="T996" s="46"/>
      <c r="U996" s="46"/>
      <c r="V996" s="46"/>
      <c r="W996" s="46"/>
      <c r="X996" s="46"/>
      <c r="Y996" s="46"/>
      <c r="Z996" s="46"/>
      <c r="AA996" s="46"/>
      <c r="AB996" s="46"/>
      <c r="AC996" s="46"/>
      <c r="AD996" s="46"/>
      <c r="AE996" s="46"/>
      <c r="AF996" s="46"/>
      <c r="AG996" s="46"/>
      <c r="AH996" s="46"/>
      <c r="AI996" s="46"/>
      <c r="AJ996" s="46"/>
      <c r="AK996" s="46"/>
      <c r="AL996" s="46"/>
    </row>
  </sheetData>
  <conditionalFormatting sqref="I1:I996 AK63:AK67">
    <cfRule type="colorScale" priority="1">
      <colorScale>
        <cfvo type="min"/>
        <cfvo type="max"/>
        <color rgb="FF57BB8A"/>
        <color rgb="FFFFFFFF"/>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6.14"/>
    <col customWidth="1" min="3" max="3" width="26.29"/>
    <col customWidth="1" min="4" max="4" width="26.0"/>
    <col customWidth="1" min="5" max="5" width="16.71"/>
    <col customWidth="1" min="6" max="6" width="16.43"/>
  </cols>
  <sheetData>
    <row r="1" ht="57.75" customHeight="1">
      <c r="A1" s="48" t="s">
        <v>0</v>
      </c>
      <c r="B1" s="48" t="s">
        <v>852</v>
      </c>
      <c r="C1" s="48" t="s">
        <v>3</v>
      </c>
      <c r="D1" s="48" t="s">
        <v>853</v>
      </c>
      <c r="E1" s="48" t="s">
        <v>854</v>
      </c>
      <c r="F1" s="48" t="s">
        <v>855</v>
      </c>
      <c r="G1" s="48" t="s">
        <v>856</v>
      </c>
      <c r="H1" s="48" t="s">
        <v>857</v>
      </c>
      <c r="I1" s="48" t="s">
        <v>858</v>
      </c>
      <c r="J1" s="48" t="s">
        <v>859</v>
      </c>
      <c r="K1" s="48" t="s">
        <v>37</v>
      </c>
      <c r="L1" s="49"/>
      <c r="M1" s="49"/>
      <c r="N1" s="49"/>
      <c r="O1" s="49"/>
      <c r="P1" s="49"/>
      <c r="Q1" s="49"/>
      <c r="R1" s="49"/>
      <c r="S1" s="49"/>
      <c r="T1" s="49"/>
      <c r="U1" s="49"/>
      <c r="V1" s="49"/>
      <c r="W1" s="49"/>
      <c r="X1" s="49"/>
      <c r="Y1" s="49"/>
      <c r="Z1" s="49"/>
    </row>
    <row r="2">
      <c r="A2" s="50">
        <v>840.0</v>
      </c>
      <c r="B2" s="50" t="s">
        <v>860</v>
      </c>
      <c r="C2" s="50" t="s">
        <v>41</v>
      </c>
      <c r="D2" s="50"/>
      <c r="E2" s="50" t="s">
        <v>861</v>
      </c>
      <c r="F2" s="50" t="s">
        <v>862</v>
      </c>
      <c r="G2" s="50" t="s">
        <v>863</v>
      </c>
      <c r="H2" s="50" t="s">
        <v>864</v>
      </c>
      <c r="I2" s="50" t="s">
        <v>865</v>
      </c>
      <c r="J2" s="50" t="s">
        <v>866</v>
      </c>
      <c r="K2" s="50" t="s">
        <v>867</v>
      </c>
      <c r="L2" s="51"/>
      <c r="M2" s="51"/>
      <c r="N2" s="51"/>
      <c r="O2" s="51"/>
      <c r="P2" s="51"/>
      <c r="Q2" s="51"/>
      <c r="R2" s="51"/>
      <c r="S2" s="51"/>
      <c r="T2" s="51"/>
      <c r="U2" s="51"/>
      <c r="V2" s="51"/>
      <c r="W2" s="51"/>
      <c r="X2" s="51"/>
      <c r="Y2" s="51"/>
      <c r="Z2" s="51"/>
    </row>
    <row r="3">
      <c r="A3" s="50">
        <v>1065.0</v>
      </c>
      <c r="B3" s="50" t="s">
        <v>860</v>
      </c>
      <c r="C3" s="50" t="s">
        <v>51</v>
      </c>
      <c r="D3" s="51"/>
      <c r="E3" s="51"/>
      <c r="F3" s="50" t="s">
        <v>868</v>
      </c>
      <c r="G3" s="50" t="s">
        <v>869</v>
      </c>
      <c r="H3" s="50" t="s">
        <v>870</v>
      </c>
      <c r="I3" s="52" t="s">
        <v>871</v>
      </c>
      <c r="J3" s="50" t="s">
        <v>872</v>
      </c>
      <c r="K3" s="50" t="s">
        <v>873</v>
      </c>
      <c r="L3" s="51"/>
      <c r="M3" s="51"/>
      <c r="N3" s="51"/>
      <c r="O3" s="51"/>
      <c r="P3" s="51"/>
      <c r="Q3" s="51"/>
      <c r="R3" s="51"/>
      <c r="S3" s="51"/>
      <c r="T3" s="51"/>
      <c r="U3" s="51"/>
      <c r="V3" s="51"/>
      <c r="W3" s="51"/>
      <c r="X3" s="51"/>
      <c r="Y3" s="51"/>
      <c r="Z3" s="51"/>
    </row>
    <row r="4">
      <c r="A4" s="53">
        <v>767.0</v>
      </c>
      <c r="B4" s="53" t="s">
        <v>874</v>
      </c>
      <c r="C4" s="53" t="s">
        <v>65</v>
      </c>
      <c r="D4" s="53"/>
      <c r="E4" s="54" t="s">
        <v>875</v>
      </c>
      <c r="F4" s="53" t="s">
        <v>876</v>
      </c>
      <c r="G4" s="53" t="s">
        <v>877</v>
      </c>
      <c r="H4" s="53" t="s">
        <v>878</v>
      </c>
      <c r="I4" s="55" t="s">
        <v>879</v>
      </c>
      <c r="J4" s="53" t="s">
        <v>880</v>
      </c>
      <c r="K4" s="56"/>
      <c r="L4" s="56"/>
      <c r="M4" s="56"/>
      <c r="N4" s="56"/>
      <c r="O4" s="56"/>
      <c r="P4" s="56"/>
      <c r="Q4" s="56"/>
      <c r="R4" s="56"/>
      <c r="S4" s="56"/>
      <c r="T4" s="56"/>
      <c r="U4" s="56"/>
      <c r="V4" s="56"/>
      <c r="W4" s="56"/>
      <c r="X4" s="56"/>
      <c r="Y4" s="56"/>
      <c r="Z4" s="56"/>
    </row>
    <row r="5">
      <c r="A5" s="53">
        <v>797.0</v>
      </c>
      <c r="B5" s="53" t="s">
        <v>874</v>
      </c>
      <c r="C5" s="53" t="s">
        <v>881</v>
      </c>
      <c r="D5" s="53"/>
      <c r="E5" s="53" t="s">
        <v>882</v>
      </c>
      <c r="F5" s="53" t="s">
        <v>883</v>
      </c>
      <c r="G5" s="53" t="s">
        <v>884</v>
      </c>
      <c r="H5" s="53" t="s">
        <v>885</v>
      </c>
      <c r="I5" s="53" t="s">
        <v>886</v>
      </c>
      <c r="J5" s="53" t="s">
        <v>887</v>
      </c>
      <c r="K5" s="53" t="s">
        <v>888</v>
      </c>
      <c r="L5" s="56"/>
      <c r="M5" s="56"/>
      <c r="N5" s="56"/>
      <c r="O5" s="56"/>
      <c r="P5" s="56"/>
      <c r="Q5" s="56"/>
      <c r="R5" s="56"/>
      <c r="S5" s="56"/>
      <c r="T5" s="56"/>
      <c r="U5" s="56"/>
      <c r="V5" s="56"/>
      <c r="W5" s="56"/>
      <c r="X5" s="56"/>
      <c r="Y5" s="56"/>
      <c r="Z5" s="56"/>
    </row>
    <row r="6">
      <c r="A6" s="50">
        <v>1269.0</v>
      </c>
      <c r="B6" s="50" t="s">
        <v>860</v>
      </c>
      <c r="C6" s="50" t="s">
        <v>107</v>
      </c>
      <c r="D6" s="50"/>
      <c r="E6" s="50" t="s">
        <v>889</v>
      </c>
      <c r="F6" s="51"/>
      <c r="G6" s="50" t="s">
        <v>890</v>
      </c>
      <c r="H6" s="50" t="s">
        <v>891</v>
      </c>
      <c r="I6" s="50" t="s">
        <v>892</v>
      </c>
      <c r="J6" s="50" t="s">
        <v>893</v>
      </c>
      <c r="K6" s="51"/>
      <c r="L6" s="51"/>
      <c r="M6" s="51"/>
      <c r="N6" s="51"/>
      <c r="O6" s="51"/>
      <c r="P6" s="51"/>
      <c r="Q6" s="51"/>
      <c r="R6" s="51"/>
      <c r="S6" s="51"/>
      <c r="T6" s="51"/>
      <c r="U6" s="51"/>
      <c r="V6" s="51"/>
      <c r="W6" s="51"/>
      <c r="X6" s="51"/>
      <c r="Y6" s="51"/>
      <c r="Z6" s="51"/>
    </row>
    <row r="7">
      <c r="A7" s="50">
        <v>1128.0</v>
      </c>
      <c r="B7" s="50" t="s">
        <v>860</v>
      </c>
      <c r="C7" s="50" t="s">
        <v>114</v>
      </c>
      <c r="D7" s="50" t="s">
        <v>894</v>
      </c>
      <c r="E7" s="50" t="s">
        <v>895</v>
      </c>
      <c r="F7" s="50" t="s">
        <v>896</v>
      </c>
      <c r="G7" s="50" t="s">
        <v>897</v>
      </c>
      <c r="H7" s="50" t="s">
        <v>898</v>
      </c>
      <c r="I7" s="50" t="s">
        <v>899</v>
      </c>
      <c r="J7" s="50" t="s">
        <v>900</v>
      </c>
      <c r="K7" s="51"/>
      <c r="L7" s="51"/>
      <c r="M7" s="51"/>
      <c r="N7" s="51"/>
      <c r="O7" s="51"/>
      <c r="P7" s="51"/>
      <c r="Q7" s="51"/>
      <c r="R7" s="51"/>
      <c r="S7" s="51"/>
      <c r="T7" s="51"/>
      <c r="U7" s="51"/>
      <c r="V7" s="51"/>
      <c r="W7" s="51"/>
      <c r="X7" s="51"/>
      <c r="Y7" s="51"/>
      <c r="Z7" s="51"/>
    </row>
    <row r="8">
      <c r="A8" s="50">
        <v>847.0</v>
      </c>
      <c r="B8" s="50" t="s">
        <v>860</v>
      </c>
      <c r="C8" s="50" t="s">
        <v>135</v>
      </c>
      <c r="D8" s="50"/>
      <c r="E8" s="57" t="s">
        <v>901</v>
      </c>
      <c r="F8" s="50" t="s">
        <v>902</v>
      </c>
      <c r="G8" s="50" t="s">
        <v>903</v>
      </c>
      <c r="H8" s="50" t="s">
        <v>904</v>
      </c>
      <c r="I8" s="50" t="s">
        <v>905</v>
      </c>
      <c r="J8" s="50" t="s">
        <v>906</v>
      </c>
      <c r="K8" s="51"/>
      <c r="L8" s="51"/>
      <c r="M8" s="51"/>
      <c r="N8" s="51"/>
      <c r="O8" s="51"/>
      <c r="P8" s="51"/>
      <c r="Q8" s="51"/>
      <c r="R8" s="51"/>
      <c r="S8" s="51"/>
      <c r="T8" s="51"/>
      <c r="U8" s="51"/>
      <c r="V8" s="51"/>
      <c r="W8" s="51"/>
      <c r="X8" s="51"/>
      <c r="Y8" s="51"/>
      <c r="Z8" s="51"/>
    </row>
    <row r="9">
      <c r="A9" s="53">
        <v>286.0</v>
      </c>
      <c r="B9" s="53" t="s">
        <v>907</v>
      </c>
      <c r="C9" s="53" t="s">
        <v>143</v>
      </c>
      <c r="D9" s="53" t="s">
        <v>908</v>
      </c>
      <c r="E9" s="53" t="s">
        <v>909</v>
      </c>
      <c r="F9" s="53" t="s">
        <v>910</v>
      </c>
      <c r="G9" s="53" t="s">
        <v>911</v>
      </c>
      <c r="H9" s="53" t="s">
        <v>911</v>
      </c>
      <c r="I9" s="53" t="s">
        <v>912</v>
      </c>
      <c r="J9" s="53" t="s">
        <v>913</v>
      </c>
      <c r="K9" s="53" t="s">
        <v>867</v>
      </c>
      <c r="L9" s="56"/>
      <c r="M9" s="56"/>
      <c r="N9" s="56"/>
      <c r="O9" s="56"/>
      <c r="P9" s="56"/>
      <c r="Q9" s="56"/>
      <c r="R9" s="56"/>
      <c r="S9" s="56"/>
      <c r="T9" s="56"/>
      <c r="U9" s="56"/>
      <c r="V9" s="56"/>
      <c r="W9" s="56"/>
      <c r="X9" s="56"/>
      <c r="Y9" s="56"/>
      <c r="Z9" s="56"/>
    </row>
    <row r="10">
      <c r="A10" s="50">
        <v>929.0</v>
      </c>
      <c r="B10" s="50" t="s">
        <v>907</v>
      </c>
      <c r="C10" s="50" t="s">
        <v>166</v>
      </c>
      <c r="D10" s="50"/>
      <c r="E10" s="50" t="s">
        <v>873</v>
      </c>
      <c r="F10" s="50" t="s">
        <v>914</v>
      </c>
      <c r="G10" s="50" t="s">
        <v>915</v>
      </c>
      <c r="H10" s="50" t="s">
        <v>916</v>
      </c>
      <c r="I10" s="50" t="s">
        <v>917</v>
      </c>
      <c r="J10" s="50" t="s">
        <v>918</v>
      </c>
      <c r="K10" s="51"/>
      <c r="L10" s="51"/>
      <c r="M10" s="51"/>
      <c r="N10" s="51"/>
      <c r="O10" s="51"/>
      <c r="P10" s="51"/>
      <c r="Q10" s="51"/>
      <c r="R10" s="51"/>
      <c r="S10" s="51"/>
      <c r="T10" s="51"/>
      <c r="U10" s="51"/>
      <c r="V10" s="51"/>
      <c r="W10" s="51"/>
      <c r="X10" s="51"/>
      <c r="Y10" s="51"/>
      <c r="Z10" s="51"/>
    </row>
    <row r="11">
      <c r="A11" s="50">
        <v>953.0</v>
      </c>
      <c r="B11" s="50" t="s">
        <v>907</v>
      </c>
      <c r="C11" s="50" t="s">
        <v>166</v>
      </c>
      <c r="D11" s="50"/>
      <c r="E11" s="50" t="s">
        <v>919</v>
      </c>
      <c r="F11" s="50" t="s">
        <v>920</v>
      </c>
      <c r="G11" s="50" t="s">
        <v>921</v>
      </c>
      <c r="H11" s="50" t="s">
        <v>922</v>
      </c>
      <c r="I11" s="58" t="s">
        <v>923</v>
      </c>
      <c r="J11" s="50" t="s">
        <v>924</v>
      </c>
      <c r="K11" s="51"/>
      <c r="L11" s="51"/>
      <c r="M11" s="51"/>
      <c r="N11" s="51"/>
      <c r="O11" s="51"/>
      <c r="P11" s="51"/>
      <c r="Q11" s="51"/>
      <c r="R11" s="51"/>
      <c r="S11" s="51"/>
      <c r="T11" s="51"/>
      <c r="U11" s="51"/>
      <c r="V11" s="51"/>
      <c r="W11" s="51"/>
      <c r="X11" s="51"/>
      <c r="Y11" s="51"/>
      <c r="Z11" s="51"/>
    </row>
    <row r="12">
      <c r="A12" s="50">
        <v>967.0</v>
      </c>
      <c r="B12" s="50" t="s">
        <v>860</v>
      </c>
      <c r="C12" s="50" t="s">
        <v>177</v>
      </c>
      <c r="D12" s="50"/>
      <c r="E12" s="50" t="s">
        <v>925</v>
      </c>
      <c r="F12" s="50" t="s">
        <v>926</v>
      </c>
      <c r="G12" s="50" t="s">
        <v>927</v>
      </c>
      <c r="H12" s="50" t="s">
        <v>928</v>
      </c>
      <c r="I12" s="50" t="s">
        <v>929</v>
      </c>
      <c r="J12" s="50" t="s">
        <v>930</v>
      </c>
      <c r="K12" s="51"/>
      <c r="L12" s="51"/>
      <c r="M12" s="51"/>
      <c r="N12" s="51"/>
      <c r="O12" s="51"/>
      <c r="P12" s="51"/>
      <c r="Q12" s="51"/>
      <c r="R12" s="51"/>
      <c r="S12" s="51"/>
      <c r="T12" s="51"/>
      <c r="U12" s="51"/>
      <c r="V12" s="51"/>
      <c r="W12" s="51"/>
      <c r="X12" s="51"/>
      <c r="Y12" s="51"/>
      <c r="Z12" s="51"/>
    </row>
    <row r="13">
      <c r="A13" s="50">
        <v>839.0</v>
      </c>
      <c r="B13" s="50" t="s">
        <v>907</v>
      </c>
      <c r="C13" s="50" t="s">
        <v>198</v>
      </c>
      <c r="D13" s="58" t="s">
        <v>931</v>
      </c>
      <c r="E13" s="59" t="s">
        <v>932</v>
      </c>
      <c r="F13" s="50" t="s">
        <v>933</v>
      </c>
      <c r="G13" s="50" t="s">
        <v>934</v>
      </c>
      <c r="H13" s="60" t="s">
        <v>931</v>
      </c>
      <c r="I13" s="50" t="s">
        <v>935</v>
      </c>
      <c r="J13" s="50" t="s">
        <v>936</v>
      </c>
      <c r="K13" s="51"/>
      <c r="L13" s="51"/>
      <c r="M13" s="51"/>
      <c r="N13" s="51"/>
      <c r="O13" s="51"/>
      <c r="P13" s="51"/>
      <c r="Q13" s="51"/>
      <c r="R13" s="51"/>
      <c r="S13" s="51"/>
      <c r="T13" s="51"/>
      <c r="U13" s="51"/>
      <c r="V13" s="51"/>
      <c r="W13" s="51"/>
      <c r="X13" s="51"/>
      <c r="Y13" s="51"/>
      <c r="Z13" s="51"/>
    </row>
    <row r="14">
      <c r="A14" s="61">
        <v>1506.0</v>
      </c>
      <c r="B14" s="61" t="s">
        <v>860</v>
      </c>
      <c r="C14" s="62" t="s">
        <v>207</v>
      </c>
      <c r="D14" s="63"/>
      <c r="E14" s="63"/>
      <c r="F14" s="63"/>
      <c r="G14" s="63"/>
      <c r="H14" s="63"/>
      <c r="I14" s="63"/>
      <c r="J14" s="63"/>
      <c r="K14" s="63"/>
      <c r="L14" s="63"/>
      <c r="M14" s="63"/>
      <c r="N14" s="63"/>
      <c r="O14" s="63"/>
      <c r="P14" s="63"/>
      <c r="Q14" s="63"/>
      <c r="R14" s="63"/>
      <c r="S14" s="63"/>
      <c r="T14" s="63"/>
      <c r="U14" s="63"/>
      <c r="V14" s="63"/>
      <c r="W14" s="63"/>
      <c r="X14" s="63"/>
      <c r="Y14" s="63"/>
      <c r="Z14" s="63"/>
    </row>
    <row r="15">
      <c r="A15" s="50">
        <v>627.0</v>
      </c>
      <c r="B15" s="50" t="s">
        <v>860</v>
      </c>
      <c r="C15" s="60" t="s">
        <v>214</v>
      </c>
      <c r="D15" s="50" t="s">
        <v>937</v>
      </c>
      <c r="E15" s="51"/>
      <c r="F15" s="50" t="s">
        <v>938</v>
      </c>
      <c r="G15" s="50" t="s">
        <v>939</v>
      </c>
      <c r="H15" s="50" t="s">
        <v>940</v>
      </c>
      <c r="I15" s="50" t="s">
        <v>941</v>
      </c>
      <c r="J15" s="50" t="s">
        <v>942</v>
      </c>
      <c r="K15" s="51"/>
      <c r="L15" s="51"/>
      <c r="M15" s="51"/>
      <c r="N15" s="51"/>
      <c r="O15" s="51"/>
      <c r="P15" s="51"/>
      <c r="Q15" s="51"/>
      <c r="R15" s="51"/>
      <c r="S15" s="51"/>
      <c r="T15" s="51"/>
      <c r="U15" s="51"/>
      <c r="V15" s="51"/>
      <c r="W15" s="51"/>
      <c r="X15" s="51"/>
      <c r="Y15" s="51"/>
      <c r="Z15" s="51"/>
    </row>
    <row r="16">
      <c r="A16" s="50">
        <v>1554.0</v>
      </c>
      <c r="B16" s="50" t="s">
        <v>860</v>
      </c>
      <c r="C16" s="50" t="s">
        <v>214</v>
      </c>
      <c r="D16" s="50" t="s">
        <v>943</v>
      </c>
      <c r="E16" s="50" t="s">
        <v>944</v>
      </c>
      <c r="F16" s="50" t="s">
        <v>945</v>
      </c>
      <c r="G16" s="50" t="s">
        <v>946</v>
      </c>
      <c r="H16" s="50" t="s">
        <v>947</v>
      </c>
      <c r="I16" s="50" t="s">
        <v>948</v>
      </c>
      <c r="J16" s="50" t="s">
        <v>949</v>
      </c>
      <c r="K16" s="51"/>
      <c r="L16" s="51"/>
      <c r="M16" s="51"/>
      <c r="N16" s="51"/>
      <c r="O16" s="51"/>
      <c r="P16" s="51"/>
      <c r="Q16" s="51"/>
      <c r="R16" s="51"/>
      <c r="S16" s="51"/>
      <c r="T16" s="51"/>
      <c r="U16" s="51"/>
      <c r="V16" s="51"/>
      <c r="W16" s="51"/>
      <c r="X16" s="51"/>
      <c r="Y16" s="51"/>
      <c r="Z16" s="51"/>
    </row>
    <row r="17">
      <c r="A17" s="50">
        <v>781.0</v>
      </c>
      <c r="B17" s="50" t="s">
        <v>860</v>
      </c>
      <c r="C17" s="50" t="s">
        <v>229</v>
      </c>
      <c r="D17" s="50" t="s">
        <v>950</v>
      </c>
      <c r="E17" s="51"/>
      <c r="F17" s="50" t="s">
        <v>951</v>
      </c>
      <c r="G17" s="50" t="s">
        <v>952</v>
      </c>
      <c r="H17" s="50" t="s">
        <v>953</v>
      </c>
      <c r="I17" s="50" t="s">
        <v>954</v>
      </c>
      <c r="J17" s="50" t="s">
        <v>955</v>
      </c>
      <c r="K17" s="51"/>
      <c r="L17" s="51"/>
      <c r="M17" s="51"/>
      <c r="N17" s="51"/>
      <c r="O17" s="51"/>
      <c r="P17" s="51"/>
      <c r="Q17" s="51"/>
      <c r="R17" s="51"/>
      <c r="S17" s="51"/>
      <c r="T17" s="51"/>
      <c r="U17" s="51"/>
      <c r="V17" s="51"/>
      <c r="W17" s="51"/>
      <c r="X17" s="51"/>
      <c r="Y17" s="51"/>
      <c r="Z17" s="51"/>
    </row>
    <row r="18">
      <c r="A18" s="50">
        <v>1242.0</v>
      </c>
      <c r="B18" s="50" t="s">
        <v>860</v>
      </c>
      <c r="C18" s="60" t="s">
        <v>239</v>
      </c>
      <c r="D18" s="50" t="s">
        <v>956</v>
      </c>
      <c r="E18" s="50" t="s">
        <v>957</v>
      </c>
      <c r="F18" s="50" t="s">
        <v>958</v>
      </c>
      <c r="G18" s="50" t="s">
        <v>959</v>
      </c>
      <c r="H18" s="50" t="s">
        <v>960</v>
      </c>
      <c r="I18" s="50" t="s">
        <v>961</v>
      </c>
      <c r="J18" s="50" t="s">
        <v>962</v>
      </c>
      <c r="K18" s="51"/>
      <c r="L18" s="51"/>
      <c r="M18" s="51"/>
      <c r="N18" s="51"/>
      <c r="O18" s="51"/>
      <c r="P18" s="51"/>
      <c r="Q18" s="51"/>
      <c r="R18" s="51"/>
      <c r="S18" s="51"/>
      <c r="T18" s="51"/>
      <c r="U18" s="51"/>
      <c r="V18" s="51"/>
      <c r="W18" s="51"/>
      <c r="X18" s="51"/>
      <c r="Y18" s="51"/>
      <c r="Z18" s="51"/>
    </row>
    <row r="19" ht="18.0" customHeight="1">
      <c r="A19" s="50">
        <v>517.0</v>
      </c>
      <c r="B19" s="50" t="s">
        <v>860</v>
      </c>
      <c r="C19" s="50" t="s">
        <v>266</v>
      </c>
      <c r="D19" s="51"/>
      <c r="E19" s="50" t="s">
        <v>963</v>
      </c>
      <c r="F19" s="50" t="s">
        <v>964</v>
      </c>
      <c r="G19" s="50" t="s">
        <v>965</v>
      </c>
      <c r="H19" s="50" t="s">
        <v>966</v>
      </c>
      <c r="I19" s="50" t="s">
        <v>967</v>
      </c>
      <c r="J19" s="50" t="s">
        <v>968</v>
      </c>
      <c r="K19" s="51"/>
      <c r="L19" s="51"/>
      <c r="M19" s="51"/>
      <c r="N19" s="51"/>
      <c r="O19" s="51"/>
      <c r="P19" s="51"/>
      <c r="Q19" s="51"/>
      <c r="R19" s="51"/>
      <c r="S19" s="51"/>
      <c r="T19" s="51"/>
      <c r="U19" s="51"/>
      <c r="V19" s="51"/>
      <c r="W19" s="51"/>
      <c r="X19" s="51"/>
      <c r="Y19" s="51"/>
      <c r="Z19" s="51"/>
    </row>
    <row r="20">
      <c r="A20" s="61">
        <v>1225.0</v>
      </c>
      <c r="B20" s="61" t="s">
        <v>860</v>
      </c>
      <c r="C20" s="61" t="s">
        <v>271</v>
      </c>
      <c r="D20" s="63"/>
      <c r="E20" s="63"/>
      <c r="F20" s="63"/>
      <c r="G20" s="63"/>
      <c r="H20" s="63"/>
      <c r="I20" s="63"/>
      <c r="J20" s="63"/>
      <c r="K20" s="63"/>
      <c r="L20" s="63"/>
      <c r="M20" s="63"/>
      <c r="N20" s="63"/>
      <c r="O20" s="63"/>
      <c r="P20" s="63"/>
      <c r="Q20" s="63"/>
      <c r="R20" s="63"/>
      <c r="S20" s="63"/>
      <c r="T20" s="63"/>
      <c r="U20" s="63"/>
      <c r="V20" s="63"/>
      <c r="W20" s="63"/>
      <c r="X20" s="63"/>
      <c r="Y20" s="63"/>
      <c r="Z20" s="63"/>
    </row>
    <row r="21">
      <c r="A21" s="50">
        <v>1563.0</v>
      </c>
      <c r="B21" s="50" t="s">
        <v>860</v>
      </c>
      <c r="C21" s="50" t="s">
        <v>278</v>
      </c>
      <c r="D21" s="51"/>
      <c r="E21" s="50" t="s">
        <v>969</v>
      </c>
      <c r="F21" s="50" t="s">
        <v>970</v>
      </c>
      <c r="G21" s="50" t="s">
        <v>971</v>
      </c>
      <c r="H21" s="50" t="s">
        <v>972</v>
      </c>
      <c r="I21" s="50" t="s">
        <v>973</v>
      </c>
      <c r="J21" s="50" t="s">
        <v>974</v>
      </c>
      <c r="K21" s="51"/>
      <c r="L21" s="51"/>
      <c r="M21" s="51"/>
      <c r="N21" s="51"/>
      <c r="O21" s="51"/>
      <c r="P21" s="51"/>
      <c r="Q21" s="51"/>
      <c r="R21" s="51"/>
      <c r="S21" s="51"/>
      <c r="T21" s="51"/>
      <c r="U21" s="51"/>
      <c r="V21" s="51"/>
      <c r="W21" s="51"/>
      <c r="X21" s="51"/>
      <c r="Y21" s="51"/>
      <c r="Z21" s="51"/>
    </row>
    <row r="22">
      <c r="A22" s="50">
        <v>1387.0</v>
      </c>
      <c r="B22" s="50" t="s">
        <v>860</v>
      </c>
      <c r="C22" s="50" t="s">
        <v>284</v>
      </c>
      <c r="D22" s="51"/>
      <c r="E22" s="50" t="s">
        <v>975</v>
      </c>
      <c r="F22" s="50" t="s">
        <v>976</v>
      </c>
      <c r="G22" s="50" t="s">
        <v>977</v>
      </c>
      <c r="H22" s="50" t="s">
        <v>978</v>
      </c>
      <c r="I22" s="50" t="s">
        <v>979</v>
      </c>
      <c r="J22" s="50" t="s">
        <v>980</v>
      </c>
      <c r="K22" s="51"/>
      <c r="L22" s="51"/>
      <c r="M22" s="51"/>
      <c r="N22" s="51"/>
      <c r="O22" s="51"/>
      <c r="P22" s="51"/>
      <c r="Q22" s="51"/>
      <c r="R22" s="51"/>
      <c r="S22" s="51"/>
      <c r="T22" s="51"/>
      <c r="U22" s="51"/>
      <c r="V22" s="51"/>
      <c r="W22" s="51"/>
      <c r="X22" s="51"/>
      <c r="Y22" s="51"/>
      <c r="Z22" s="51"/>
    </row>
    <row r="23">
      <c r="A23" s="50">
        <v>636.0</v>
      </c>
      <c r="B23" s="50" t="s">
        <v>860</v>
      </c>
      <c r="C23" s="50" t="s">
        <v>291</v>
      </c>
      <c r="D23" s="50" t="s">
        <v>981</v>
      </c>
      <c r="E23" s="50" t="s">
        <v>982</v>
      </c>
      <c r="F23" s="51"/>
      <c r="G23" s="50" t="s">
        <v>983</v>
      </c>
      <c r="H23" s="51"/>
      <c r="I23" s="50" t="s">
        <v>984</v>
      </c>
      <c r="J23" s="50" t="s">
        <v>985</v>
      </c>
      <c r="K23" s="51"/>
      <c r="L23" s="51"/>
      <c r="M23" s="51"/>
      <c r="N23" s="51"/>
      <c r="O23" s="51"/>
      <c r="P23" s="51"/>
      <c r="Q23" s="51"/>
      <c r="R23" s="51"/>
      <c r="S23" s="51"/>
      <c r="T23" s="51"/>
      <c r="U23" s="51"/>
      <c r="V23" s="51"/>
      <c r="W23" s="51"/>
      <c r="X23" s="51"/>
      <c r="Y23" s="51"/>
      <c r="Z23" s="51"/>
    </row>
    <row r="24">
      <c r="A24" s="50">
        <v>761.0</v>
      </c>
      <c r="B24" s="50" t="s">
        <v>860</v>
      </c>
      <c r="C24" s="50" t="s">
        <v>299</v>
      </c>
      <c r="D24" s="50" t="s">
        <v>986</v>
      </c>
      <c r="E24" s="50" t="s">
        <v>987</v>
      </c>
      <c r="F24" s="50" t="s">
        <v>988</v>
      </c>
      <c r="G24" s="50" t="s">
        <v>989</v>
      </c>
      <c r="H24" s="50" t="s">
        <v>990</v>
      </c>
      <c r="I24" s="50" t="s">
        <v>991</v>
      </c>
      <c r="J24" s="50" t="s">
        <v>992</v>
      </c>
      <c r="K24" s="51"/>
      <c r="L24" s="51"/>
      <c r="M24" s="51"/>
      <c r="N24" s="51"/>
      <c r="O24" s="51"/>
      <c r="P24" s="51"/>
      <c r="Q24" s="51"/>
      <c r="R24" s="51"/>
      <c r="S24" s="51"/>
      <c r="T24" s="51"/>
      <c r="U24" s="51"/>
      <c r="V24" s="51"/>
      <c r="W24" s="51"/>
      <c r="X24" s="51"/>
      <c r="Y24" s="51"/>
      <c r="Z24" s="51"/>
    </row>
    <row r="25">
      <c r="A25" s="50">
        <v>1147.0</v>
      </c>
      <c r="B25" s="50" t="s">
        <v>860</v>
      </c>
      <c r="C25" s="50" t="s">
        <v>305</v>
      </c>
      <c r="D25" s="50" t="s">
        <v>993</v>
      </c>
      <c r="E25" s="50" t="s">
        <v>994</v>
      </c>
      <c r="F25" s="50" t="s">
        <v>995</v>
      </c>
      <c r="G25" s="50"/>
      <c r="H25" s="50" t="s">
        <v>996</v>
      </c>
      <c r="I25" s="50" t="s">
        <v>997</v>
      </c>
      <c r="J25" s="50" t="s">
        <v>998</v>
      </c>
      <c r="K25" s="51"/>
      <c r="L25" s="51"/>
      <c r="M25" s="51"/>
      <c r="N25" s="51"/>
      <c r="O25" s="51"/>
      <c r="P25" s="51"/>
      <c r="Q25" s="51"/>
      <c r="R25" s="51"/>
      <c r="S25" s="51"/>
      <c r="T25" s="51"/>
      <c r="U25" s="51"/>
      <c r="V25" s="51"/>
      <c r="W25" s="51"/>
      <c r="X25" s="51"/>
      <c r="Y25" s="51"/>
      <c r="Z25" s="51"/>
    </row>
    <row r="26">
      <c r="A26" s="50">
        <v>818.0</v>
      </c>
      <c r="B26" s="50" t="s">
        <v>860</v>
      </c>
      <c r="C26" s="50" t="s">
        <v>310</v>
      </c>
      <c r="D26" s="51"/>
      <c r="E26" s="50" t="s">
        <v>999</v>
      </c>
      <c r="F26" s="50" t="s">
        <v>1000</v>
      </c>
      <c r="G26" s="50" t="s">
        <v>1001</v>
      </c>
      <c r="H26" s="50" t="s">
        <v>1002</v>
      </c>
      <c r="I26" s="50" t="s">
        <v>1003</v>
      </c>
      <c r="J26" s="50" t="s">
        <v>1004</v>
      </c>
      <c r="K26" s="51"/>
      <c r="L26" s="51"/>
      <c r="M26" s="51"/>
      <c r="N26" s="51"/>
      <c r="O26" s="51"/>
      <c r="P26" s="51"/>
      <c r="Q26" s="51"/>
      <c r="R26" s="51"/>
      <c r="S26" s="51"/>
      <c r="T26" s="51"/>
      <c r="U26" s="51"/>
      <c r="V26" s="51"/>
      <c r="W26" s="51"/>
      <c r="X26" s="51"/>
      <c r="Y26" s="51"/>
      <c r="Z26" s="51"/>
    </row>
    <row r="27">
      <c r="A27" s="50">
        <v>894.0</v>
      </c>
      <c r="B27" s="50" t="s">
        <v>1005</v>
      </c>
      <c r="C27" s="50" t="s">
        <v>324</v>
      </c>
      <c r="D27" s="51"/>
      <c r="E27" s="50" t="s">
        <v>1006</v>
      </c>
      <c r="F27" s="50" t="s">
        <v>1007</v>
      </c>
      <c r="G27" s="50" t="s">
        <v>1008</v>
      </c>
      <c r="H27" s="50" t="s">
        <v>1009</v>
      </c>
      <c r="I27" s="50" t="s">
        <v>1010</v>
      </c>
      <c r="J27" s="50" t="s">
        <v>1011</v>
      </c>
      <c r="K27" s="51"/>
      <c r="L27" s="51"/>
      <c r="M27" s="51"/>
      <c r="N27" s="51"/>
      <c r="O27" s="51"/>
      <c r="P27" s="51"/>
      <c r="Q27" s="51"/>
      <c r="R27" s="51"/>
      <c r="S27" s="51"/>
      <c r="T27" s="51"/>
      <c r="U27" s="51"/>
      <c r="V27" s="51"/>
      <c r="W27" s="51"/>
      <c r="X27" s="51"/>
      <c r="Y27" s="51"/>
      <c r="Z27" s="51"/>
    </row>
    <row r="28">
      <c r="A28" s="50">
        <v>802.0</v>
      </c>
      <c r="B28" s="50" t="s">
        <v>860</v>
      </c>
      <c r="C28" s="60" t="s">
        <v>331</v>
      </c>
      <c r="D28" s="51"/>
      <c r="E28" s="50" t="s">
        <v>1012</v>
      </c>
      <c r="F28" s="50" t="s">
        <v>1013</v>
      </c>
      <c r="G28" s="50" t="s">
        <v>1014</v>
      </c>
      <c r="H28" s="50" t="s">
        <v>1015</v>
      </c>
      <c r="I28" s="50" t="s">
        <v>1016</v>
      </c>
      <c r="J28" s="50" t="s">
        <v>1017</v>
      </c>
      <c r="K28" s="51"/>
      <c r="L28" s="51"/>
      <c r="M28" s="51"/>
      <c r="N28" s="51"/>
      <c r="O28" s="51"/>
      <c r="P28" s="51"/>
      <c r="Q28" s="51"/>
      <c r="R28" s="51"/>
      <c r="S28" s="51"/>
      <c r="T28" s="51"/>
      <c r="U28" s="51"/>
      <c r="V28" s="51"/>
      <c r="W28" s="51"/>
      <c r="X28" s="51"/>
      <c r="Y28" s="51"/>
      <c r="Z28" s="51"/>
    </row>
    <row r="29">
      <c r="A29" s="53">
        <v>102.0</v>
      </c>
      <c r="B29" s="53" t="s">
        <v>1018</v>
      </c>
      <c r="C29" s="53" t="s">
        <v>338</v>
      </c>
      <c r="D29" s="53" t="s">
        <v>1019</v>
      </c>
      <c r="E29" s="53" t="s">
        <v>1020</v>
      </c>
      <c r="F29" s="53" t="s">
        <v>1021</v>
      </c>
      <c r="G29" s="53" t="s">
        <v>1022</v>
      </c>
      <c r="H29" s="53" t="s">
        <v>1023</v>
      </c>
      <c r="I29" s="53" t="s">
        <v>1024</v>
      </c>
      <c r="J29" s="53" t="s">
        <v>1025</v>
      </c>
      <c r="K29" s="56"/>
      <c r="L29" s="56"/>
      <c r="M29" s="56"/>
      <c r="N29" s="56"/>
      <c r="O29" s="56"/>
      <c r="P29" s="56"/>
      <c r="Q29" s="56"/>
      <c r="R29" s="56"/>
      <c r="S29" s="56"/>
      <c r="T29" s="56"/>
      <c r="U29" s="56"/>
      <c r="V29" s="56"/>
      <c r="W29" s="56"/>
      <c r="X29" s="56"/>
      <c r="Y29" s="56"/>
      <c r="Z29" s="56"/>
    </row>
    <row r="30">
      <c r="A30" s="50">
        <v>1173.0</v>
      </c>
      <c r="B30" s="50" t="s">
        <v>1005</v>
      </c>
      <c r="C30" s="50" t="s">
        <v>354</v>
      </c>
      <c r="D30" s="50" t="s">
        <v>1026</v>
      </c>
      <c r="E30" s="50" t="s">
        <v>1027</v>
      </c>
      <c r="F30" s="50" t="s">
        <v>1028</v>
      </c>
      <c r="G30" s="50" t="s">
        <v>1029</v>
      </c>
      <c r="H30" s="50" t="s">
        <v>1030</v>
      </c>
      <c r="I30" s="50" t="s">
        <v>973</v>
      </c>
      <c r="J30" s="50" t="s">
        <v>1031</v>
      </c>
      <c r="K30" s="51"/>
      <c r="L30" s="51"/>
      <c r="M30" s="51"/>
      <c r="N30" s="51"/>
      <c r="O30" s="51"/>
      <c r="P30" s="51"/>
      <c r="Q30" s="51"/>
      <c r="R30" s="51"/>
      <c r="S30" s="51"/>
      <c r="T30" s="51"/>
      <c r="U30" s="51"/>
      <c r="V30" s="51"/>
      <c r="W30" s="51"/>
      <c r="X30" s="51"/>
      <c r="Y30" s="51"/>
      <c r="Z30" s="51"/>
    </row>
    <row r="31">
      <c r="A31" s="53">
        <v>859.0</v>
      </c>
      <c r="B31" s="53" t="s">
        <v>874</v>
      </c>
      <c r="C31" s="53" t="s">
        <v>359</v>
      </c>
      <c r="D31" s="53" t="s">
        <v>1032</v>
      </c>
      <c r="E31" s="53" t="s">
        <v>1033</v>
      </c>
      <c r="F31" s="53" t="s">
        <v>1034</v>
      </c>
      <c r="G31" s="53" t="s">
        <v>1035</v>
      </c>
      <c r="H31" s="53" t="s">
        <v>1036</v>
      </c>
      <c r="I31" s="53" t="s">
        <v>1037</v>
      </c>
      <c r="J31" s="53" t="s">
        <v>1038</v>
      </c>
      <c r="K31" s="56"/>
      <c r="L31" s="56"/>
      <c r="M31" s="56"/>
      <c r="N31" s="56"/>
      <c r="O31" s="56"/>
      <c r="P31" s="56"/>
      <c r="Q31" s="56"/>
      <c r="R31" s="56"/>
      <c r="S31" s="56"/>
      <c r="T31" s="56"/>
      <c r="U31" s="56"/>
      <c r="V31" s="56"/>
      <c r="W31" s="56"/>
      <c r="X31" s="56"/>
      <c r="Y31" s="56"/>
      <c r="Z31" s="56"/>
    </row>
    <row r="32">
      <c r="A32" s="53">
        <v>952.0</v>
      </c>
      <c r="B32" s="53" t="s">
        <v>874</v>
      </c>
      <c r="C32" s="64" t="s">
        <v>366</v>
      </c>
      <c r="D32" s="53" t="s">
        <v>1039</v>
      </c>
      <c r="E32" s="53" t="s">
        <v>1040</v>
      </c>
      <c r="F32" s="53" t="s">
        <v>1041</v>
      </c>
      <c r="G32" s="53" t="s">
        <v>1042</v>
      </c>
      <c r="H32" s="53" t="s">
        <v>1043</v>
      </c>
      <c r="I32" s="53" t="s">
        <v>1044</v>
      </c>
      <c r="J32" s="53" t="s">
        <v>1045</v>
      </c>
      <c r="K32" s="56"/>
      <c r="L32" s="56"/>
      <c r="M32" s="56"/>
      <c r="N32" s="56"/>
      <c r="O32" s="56"/>
      <c r="P32" s="56"/>
      <c r="Q32" s="56"/>
      <c r="R32" s="56"/>
      <c r="S32" s="56"/>
      <c r="T32" s="56"/>
      <c r="U32" s="56"/>
      <c r="V32" s="56"/>
      <c r="W32" s="56"/>
      <c r="X32" s="56"/>
      <c r="Y32" s="56"/>
      <c r="Z32" s="56"/>
    </row>
    <row r="33">
      <c r="A33" s="53">
        <v>897.0</v>
      </c>
      <c r="B33" s="53" t="s">
        <v>874</v>
      </c>
      <c r="C33" s="65" t="s">
        <v>372</v>
      </c>
      <c r="D33" s="53" t="s">
        <v>1046</v>
      </c>
      <c r="E33" s="53" t="s">
        <v>1047</v>
      </c>
      <c r="F33" s="53" t="s">
        <v>1048</v>
      </c>
      <c r="G33" s="53" t="s">
        <v>1049</v>
      </c>
      <c r="H33" s="56"/>
      <c r="I33" s="53" t="s">
        <v>1050</v>
      </c>
      <c r="J33" s="53" t="s">
        <v>1051</v>
      </c>
      <c r="K33" s="56"/>
      <c r="L33" s="56"/>
      <c r="M33" s="56"/>
      <c r="N33" s="56"/>
      <c r="O33" s="56"/>
      <c r="P33" s="56"/>
      <c r="Q33" s="56"/>
      <c r="R33" s="56"/>
      <c r="S33" s="56"/>
      <c r="T33" s="56"/>
      <c r="U33" s="56"/>
      <c r="V33" s="56"/>
      <c r="W33" s="56"/>
      <c r="X33" s="56"/>
      <c r="Y33" s="56"/>
      <c r="Z33" s="56"/>
    </row>
    <row r="34">
      <c r="A34" s="50">
        <v>1374.0</v>
      </c>
      <c r="B34" s="50" t="s">
        <v>1052</v>
      </c>
      <c r="C34" s="50" t="s">
        <v>381</v>
      </c>
      <c r="D34" s="50" t="s">
        <v>1053</v>
      </c>
      <c r="E34" s="50" t="s">
        <v>1054</v>
      </c>
      <c r="F34" s="50" t="s">
        <v>1055</v>
      </c>
      <c r="G34" s="50" t="s">
        <v>1056</v>
      </c>
      <c r="H34" s="50" t="s">
        <v>1057</v>
      </c>
      <c r="I34" s="50" t="s">
        <v>1058</v>
      </c>
      <c r="J34" s="50" t="s">
        <v>1059</v>
      </c>
      <c r="K34" s="51"/>
      <c r="L34" s="51"/>
      <c r="M34" s="51"/>
      <c r="N34" s="51"/>
      <c r="O34" s="51"/>
      <c r="P34" s="51"/>
      <c r="Q34" s="51"/>
      <c r="R34" s="51"/>
      <c r="S34" s="51"/>
      <c r="T34" s="51"/>
      <c r="U34" s="51"/>
      <c r="V34" s="51"/>
      <c r="W34" s="51"/>
      <c r="X34" s="51"/>
      <c r="Y34" s="51"/>
      <c r="Z34" s="51"/>
    </row>
    <row r="35">
      <c r="A35" s="50">
        <v>791.0</v>
      </c>
      <c r="B35" s="50" t="s">
        <v>1052</v>
      </c>
      <c r="C35" s="50" t="s">
        <v>384</v>
      </c>
      <c r="D35" s="50" t="s">
        <v>1060</v>
      </c>
      <c r="E35" s="50" t="s">
        <v>1061</v>
      </c>
      <c r="F35" s="50" t="s">
        <v>1061</v>
      </c>
      <c r="G35" s="50" t="s">
        <v>1062</v>
      </c>
      <c r="H35" s="50" t="s">
        <v>1061</v>
      </c>
      <c r="I35" s="50" t="s">
        <v>1063</v>
      </c>
      <c r="J35" s="50" t="s">
        <v>1064</v>
      </c>
      <c r="K35" s="51"/>
      <c r="L35" s="51"/>
      <c r="M35" s="51"/>
      <c r="N35" s="51"/>
      <c r="O35" s="51"/>
      <c r="P35" s="51"/>
      <c r="Q35" s="51"/>
      <c r="R35" s="51"/>
      <c r="S35" s="51"/>
      <c r="T35" s="51"/>
      <c r="U35" s="51"/>
      <c r="V35" s="51"/>
      <c r="W35" s="51"/>
      <c r="X35" s="51"/>
      <c r="Y35" s="51"/>
      <c r="Z35" s="51"/>
    </row>
    <row r="36">
      <c r="A36" s="50">
        <v>860.0</v>
      </c>
      <c r="B36" s="50" t="s">
        <v>1052</v>
      </c>
      <c r="C36" s="50" t="s">
        <v>387</v>
      </c>
      <c r="D36" s="50" t="s">
        <v>1065</v>
      </c>
      <c r="E36" s="50" t="s">
        <v>1066</v>
      </c>
      <c r="F36" s="50" t="s">
        <v>1067</v>
      </c>
      <c r="G36" s="51"/>
      <c r="H36" s="50" t="s">
        <v>1068</v>
      </c>
      <c r="I36" s="50" t="s">
        <v>1069</v>
      </c>
      <c r="J36" s="50" t="s">
        <v>1070</v>
      </c>
      <c r="K36" s="51"/>
      <c r="L36" s="51"/>
      <c r="M36" s="51"/>
      <c r="N36" s="51"/>
      <c r="O36" s="51"/>
      <c r="P36" s="51"/>
      <c r="Q36" s="51"/>
      <c r="R36" s="51"/>
      <c r="S36" s="51"/>
      <c r="T36" s="51"/>
      <c r="U36" s="51"/>
      <c r="V36" s="51"/>
      <c r="W36" s="51"/>
      <c r="X36" s="51"/>
      <c r="Y36" s="51"/>
      <c r="Z36" s="51"/>
    </row>
    <row r="37">
      <c r="A37" s="50">
        <v>1452.0</v>
      </c>
      <c r="B37" s="50" t="s">
        <v>1052</v>
      </c>
      <c r="C37" s="50" t="s">
        <v>410</v>
      </c>
      <c r="D37" s="50" t="s">
        <v>1071</v>
      </c>
      <c r="E37" s="51"/>
      <c r="F37" s="51"/>
      <c r="G37" s="51"/>
      <c r="H37" s="51"/>
      <c r="I37" s="50" t="s">
        <v>1072</v>
      </c>
      <c r="J37" s="50" t="s">
        <v>1073</v>
      </c>
      <c r="K37" s="51"/>
      <c r="L37" s="51"/>
      <c r="M37" s="51"/>
      <c r="N37" s="51"/>
      <c r="O37" s="51"/>
      <c r="P37" s="51"/>
      <c r="Q37" s="51"/>
      <c r="R37" s="51"/>
      <c r="S37" s="51"/>
      <c r="T37" s="51"/>
      <c r="U37" s="51"/>
      <c r="V37" s="51"/>
      <c r="W37" s="51"/>
      <c r="X37" s="51"/>
      <c r="Y37" s="51"/>
      <c r="Z37" s="51"/>
    </row>
    <row r="38">
      <c r="A38" s="53">
        <v>486.0</v>
      </c>
      <c r="B38" s="53" t="s">
        <v>1052</v>
      </c>
      <c r="C38" s="66" t="s">
        <v>413</v>
      </c>
      <c r="D38" s="53" t="s">
        <v>1074</v>
      </c>
      <c r="E38" s="53" t="s">
        <v>1075</v>
      </c>
      <c r="F38" s="56"/>
      <c r="G38" s="53" t="s">
        <v>1076</v>
      </c>
      <c r="H38" s="53" t="s">
        <v>1077</v>
      </c>
      <c r="I38" s="53" t="s">
        <v>1078</v>
      </c>
      <c r="J38" s="53" t="s">
        <v>1079</v>
      </c>
      <c r="K38" s="56"/>
      <c r="L38" s="56"/>
      <c r="M38" s="56"/>
      <c r="N38" s="56"/>
      <c r="O38" s="56"/>
      <c r="P38" s="56"/>
      <c r="Q38" s="56"/>
      <c r="R38" s="56"/>
      <c r="S38" s="56"/>
      <c r="T38" s="56"/>
      <c r="U38" s="56"/>
      <c r="V38" s="56"/>
      <c r="W38" s="56"/>
      <c r="X38" s="56"/>
      <c r="Y38" s="56"/>
      <c r="Z38" s="56"/>
    </row>
    <row r="39">
      <c r="A39" s="50">
        <v>1266.0</v>
      </c>
      <c r="B39" s="50" t="s">
        <v>1052</v>
      </c>
      <c r="C39" s="50" t="s">
        <v>417</v>
      </c>
      <c r="D39" s="51"/>
      <c r="E39" s="51"/>
      <c r="F39" s="51"/>
      <c r="G39" s="50" t="s">
        <v>1080</v>
      </c>
      <c r="H39" s="51"/>
      <c r="I39" s="50" t="s">
        <v>1081</v>
      </c>
      <c r="J39" s="50" t="s">
        <v>1082</v>
      </c>
      <c r="K39" s="51"/>
      <c r="L39" s="51"/>
      <c r="M39" s="51"/>
      <c r="N39" s="51"/>
      <c r="O39" s="51"/>
      <c r="P39" s="51"/>
      <c r="Q39" s="51"/>
      <c r="R39" s="51"/>
      <c r="S39" s="51"/>
      <c r="T39" s="51"/>
      <c r="U39" s="51"/>
      <c r="V39" s="51"/>
      <c r="W39" s="51"/>
      <c r="X39" s="51"/>
      <c r="Y39" s="51"/>
      <c r="Z39" s="51"/>
    </row>
    <row r="40">
      <c r="A40" s="67">
        <v>801.0</v>
      </c>
      <c r="B40" s="56" t="s">
        <v>874</v>
      </c>
      <c r="C40" s="56" t="s">
        <v>1083</v>
      </c>
      <c r="D40" s="53" t="s">
        <v>1084</v>
      </c>
      <c r="E40" s="53" t="s">
        <v>1085</v>
      </c>
      <c r="F40" s="53" t="s">
        <v>1086</v>
      </c>
      <c r="G40" s="53" t="s">
        <v>1087</v>
      </c>
      <c r="H40" s="53" t="s">
        <v>1088</v>
      </c>
      <c r="I40" s="53" t="s">
        <v>1089</v>
      </c>
      <c r="J40" s="53" t="s">
        <v>1090</v>
      </c>
      <c r="K40" s="56"/>
      <c r="L40" s="56"/>
      <c r="M40" s="56"/>
      <c r="N40" s="56"/>
      <c r="O40" s="56"/>
      <c r="P40" s="56"/>
      <c r="Q40" s="56"/>
      <c r="R40" s="56"/>
      <c r="S40" s="56"/>
      <c r="T40" s="56"/>
      <c r="U40" s="56"/>
      <c r="V40" s="56"/>
      <c r="W40" s="56"/>
      <c r="X40" s="56"/>
      <c r="Y40" s="56"/>
      <c r="Z40" s="56"/>
    </row>
    <row r="41">
      <c r="A41" s="50">
        <v>831.0</v>
      </c>
      <c r="B41" s="50" t="s">
        <v>1052</v>
      </c>
      <c r="C41" s="50" t="s">
        <v>426</v>
      </c>
      <c r="D41" s="50" t="s">
        <v>1091</v>
      </c>
      <c r="E41" s="50" t="s">
        <v>1092</v>
      </c>
      <c r="F41" s="51"/>
      <c r="G41" s="50" t="s">
        <v>1093</v>
      </c>
      <c r="H41" s="51"/>
      <c r="I41" s="50" t="s">
        <v>1094</v>
      </c>
      <c r="J41" s="50" t="s">
        <v>1095</v>
      </c>
      <c r="K41" s="51"/>
      <c r="L41" s="51"/>
      <c r="M41" s="51"/>
      <c r="N41" s="51"/>
      <c r="O41" s="51"/>
      <c r="P41" s="51"/>
      <c r="Q41" s="51"/>
      <c r="R41" s="51"/>
      <c r="S41" s="51"/>
      <c r="T41" s="51"/>
      <c r="U41" s="51"/>
      <c r="V41" s="51"/>
      <c r="W41" s="51"/>
      <c r="X41" s="51"/>
      <c r="Y41" s="51"/>
      <c r="Z41" s="51"/>
    </row>
    <row r="42">
      <c r="A42" s="68" t="s">
        <v>431</v>
      </c>
      <c r="B42" s="53" t="s">
        <v>874</v>
      </c>
      <c r="C42" s="53" t="s">
        <v>1096</v>
      </c>
      <c r="D42" s="53" t="s">
        <v>1097</v>
      </c>
      <c r="E42" s="53" t="s">
        <v>1098</v>
      </c>
      <c r="F42" s="53" t="s">
        <v>1099</v>
      </c>
      <c r="G42" s="53" t="s">
        <v>1100</v>
      </c>
      <c r="H42" s="53" t="s">
        <v>1101</v>
      </c>
      <c r="I42" s="53" t="s">
        <v>1102</v>
      </c>
      <c r="J42" s="53" t="s">
        <v>1103</v>
      </c>
      <c r="K42" s="56"/>
      <c r="L42" s="56"/>
      <c r="M42" s="56"/>
      <c r="N42" s="56"/>
      <c r="O42" s="56"/>
      <c r="P42" s="56"/>
      <c r="Q42" s="56"/>
      <c r="R42" s="56"/>
      <c r="S42" s="56"/>
      <c r="T42" s="56"/>
      <c r="U42" s="56"/>
      <c r="V42" s="56"/>
      <c r="W42" s="56"/>
      <c r="X42" s="56"/>
      <c r="Y42" s="56"/>
      <c r="Z42" s="56"/>
    </row>
    <row r="43">
      <c r="A43" s="53">
        <v>1154.0</v>
      </c>
      <c r="B43" s="53" t="s">
        <v>874</v>
      </c>
      <c r="C43" s="53" t="s">
        <v>441</v>
      </c>
      <c r="D43" s="53" t="s">
        <v>1047</v>
      </c>
      <c r="E43" s="53" t="s">
        <v>1104</v>
      </c>
      <c r="F43" s="53" t="s">
        <v>1105</v>
      </c>
      <c r="G43" s="53" t="s">
        <v>1106</v>
      </c>
      <c r="H43" s="53" t="s">
        <v>1107</v>
      </c>
      <c r="I43" s="53" t="s">
        <v>1108</v>
      </c>
      <c r="J43" s="53" t="s">
        <v>1109</v>
      </c>
      <c r="K43" s="56"/>
      <c r="L43" s="56"/>
      <c r="M43" s="56"/>
      <c r="N43" s="56"/>
      <c r="O43" s="56"/>
      <c r="P43" s="56"/>
      <c r="Q43" s="56"/>
      <c r="R43" s="56"/>
      <c r="S43" s="56"/>
      <c r="T43" s="56"/>
      <c r="U43" s="56"/>
      <c r="V43" s="56"/>
      <c r="W43" s="56"/>
      <c r="X43" s="56"/>
      <c r="Y43" s="56"/>
      <c r="Z43" s="56"/>
    </row>
    <row r="44">
      <c r="A44" s="50">
        <v>1347.0</v>
      </c>
      <c r="B44" s="50" t="s">
        <v>1052</v>
      </c>
      <c r="C44" s="50" t="s">
        <v>462</v>
      </c>
      <c r="D44" s="50" t="s">
        <v>1110</v>
      </c>
      <c r="E44" s="51"/>
      <c r="F44" s="51"/>
      <c r="G44" s="50" t="s">
        <v>1111</v>
      </c>
      <c r="H44" s="51"/>
      <c r="I44" s="50" t="s">
        <v>1112</v>
      </c>
      <c r="J44" s="50" t="s">
        <v>1113</v>
      </c>
      <c r="K44" s="51"/>
      <c r="L44" s="51"/>
      <c r="M44" s="51"/>
      <c r="N44" s="51"/>
      <c r="O44" s="51"/>
      <c r="P44" s="51"/>
      <c r="Q44" s="51"/>
      <c r="R44" s="51"/>
      <c r="S44" s="51"/>
      <c r="T44" s="51"/>
      <c r="U44" s="51"/>
      <c r="V44" s="51"/>
      <c r="W44" s="51"/>
      <c r="X44" s="51"/>
      <c r="Y44" s="51"/>
      <c r="Z44" s="51"/>
    </row>
    <row r="45">
      <c r="A45" s="50">
        <v>1061.0</v>
      </c>
      <c r="B45" s="50" t="s">
        <v>1052</v>
      </c>
      <c r="C45" s="50" t="s">
        <v>387</v>
      </c>
      <c r="D45" s="51"/>
      <c r="E45" s="50" t="s">
        <v>1114</v>
      </c>
      <c r="F45" s="50" t="s">
        <v>1115</v>
      </c>
      <c r="G45" s="51"/>
      <c r="H45" s="50" t="s">
        <v>1116</v>
      </c>
      <c r="I45" s="50" t="s">
        <v>1117</v>
      </c>
      <c r="J45" s="50" t="s">
        <v>1118</v>
      </c>
      <c r="K45" s="51"/>
      <c r="L45" s="51"/>
      <c r="M45" s="51"/>
      <c r="N45" s="51"/>
      <c r="O45" s="51"/>
      <c r="P45" s="51"/>
      <c r="Q45" s="51"/>
      <c r="R45" s="51"/>
      <c r="S45" s="51"/>
      <c r="T45" s="51"/>
      <c r="U45" s="51"/>
      <c r="V45" s="51"/>
      <c r="W45" s="51"/>
      <c r="X45" s="51"/>
      <c r="Y45" s="51"/>
      <c r="Z45" s="51"/>
    </row>
    <row r="46">
      <c r="A46" s="50">
        <v>565.0</v>
      </c>
      <c r="B46" s="50" t="s">
        <v>1052</v>
      </c>
      <c r="C46" s="59" t="s">
        <v>480</v>
      </c>
      <c r="D46" s="50" t="s">
        <v>1119</v>
      </c>
      <c r="E46" s="51"/>
      <c r="F46" s="51"/>
      <c r="G46" s="51"/>
      <c r="H46" s="51"/>
      <c r="I46" s="50" t="s">
        <v>1120</v>
      </c>
      <c r="J46" s="50" t="s">
        <v>1121</v>
      </c>
      <c r="K46" s="51"/>
      <c r="L46" s="51"/>
      <c r="M46" s="51"/>
      <c r="N46" s="51"/>
      <c r="O46" s="51"/>
      <c r="P46" s="51"/>
      <c r="Q46" s="51"/>
      <c r="R46" s="51"/>
      <c r="S46" s="51"/>
      <c r="T46" s="51"/>
      <c r="U46" s="51"/>
      <c r="V46" s="51"/>
      <c r="W46" s="51"/>
      <c r="X46" s="51"/>
      <c r="Y46" s="51"/>
      <c r="Z46" s="51"/>
    </row>
    <row r="47">
      <c r="A47" s="50">
        <v>1053.0</v>
      </c>
      <c r="B47" s="50" t="s">
        <v>1052</v>
      </c>
      <c r="C47" s="50" t="s">
        <v>487</v>
      </c>
      <c r="D47" s="50" t="s">
        <v>1122</v>
      </c>
      <c r="E47" s="69" t="s">
        <v>1123</v>
      </c>
      <c r="F47" s="69" t="s">
        <v>1124</v>
      </c>
      <c r="G47" s="51"/>
      <c r="H47" s="51"/>
      <c r="I47" s="50" t="s">
        <v>1125</v>
      </c>
      <c r="J47" s="50" t="s">
        <v>1126</v>
      </c>
      <c r="K47" s="51"/>
      <c r="L47" s="51"/>
      <c r="M47" s="51"/>
      <c r="N47" s="51"/>
      <c r="O47" s="51"/>
      <c r="P47" s="51"/>
      <c r="Q47" s="51"/>
      <c r="R47" s="51"/>
      <c r="S47" s="51"/>
      <c r="T47" s="51"/>
      <c r="U47" s="51"/>
      <c r="V47" s="51"/>
      <c r="W47" s="51"/>
      <c r="X47" s="51"/>
      <c r="Y47" s="51"/>
      <c r="Z47" s="51"/>
    </row>
    <row r="48">
      <c r="A48" s="50">
        <v>590.0</v>
      </c>
      <c r="B48" s="50" t="s">
        <v>1052</v>
      </c>
      <c r="C48" s="50" t="s">
        <v>490</v>
      </c>
      <c r="D48" s="50" t="s">
        <v>1127</v>
      </c>
      <c r="E48" s="51"/>
      <c r="F48" s="51"/>
      <c r="G48" s="50" t="s">
        <v>1128</v>
      </c>
      <c r="H48" s="51"/>
      <c r="I48" s="50" t="s">
        <v>1129</v>
      </c>
      <c r="J48" s="50" t="s">
        <v>1130</v>
      </c>
      <c r="K48" s="51"/>
      <c r="L48" s="51"/>
      <c r="M48" s="51"/>
      <c r="N48" s="51"/>
      <c r="O48" s="51"/>
      <c r="P48" s="51"/>
      <c r="Q48" s="51"/>
      <c r="R48" s="51"/>
      <c r="S48" s="51"/>
      <c r="T48" s="51"/>
      <c r="U48" s="51"/>
      <c r="V48" s="51"/>
      <c r="W48" s="51"/>
      <c r="X48" s="51"/>
      <c r="Y48" s="51"/>
      <c r="Z48" s="51"/>
    </row>
    <row r="49">
      <c r="A49" s="50">
        <v>1337.0</v>
      </c>
      <c r="B49" s="50" t="s">
        <v>1052</v>
      </c>
      <c r="C49" s="50" t="s">
        <v>493</v>
      </c>
      <c r="D49" s="51"/>
      <c r="E49" s="50" t="s">
        <v>1131</v>
      </c>
      <c r="F49" s="50" t="s">
        <v>1132</v>
      </c>
      <c r="G49" s="50" t="s">
        <v>1133</v>
      </c>
      <c r="H49" s="51"/>
      <c r="I49" s="50" t="s">
        <v>1134</v>
      </c>
      <c r="J49" s="50" t="s">
        <v>1135</v>
      </c>
      <c r="K49" s="51"/>
      <c r="L49" s="51"/>
      <c r="M49" s="51"/>
      <c r="N49" s="51"/>
      <c r="O49" s="51"/>
      <c r="P49" s="51"/>
      <c r="Q49" s="51"/>
      <c r="R49" s="51"/>
      <c r="S49" s="51"/>
      <c r="T49" s="51"/>
      <c r="U49" s="51"/>
      <c r="V49" s="51"/>
      <c r="W49" s="51"/>
      <c r="X49" s="51"/>
      <c r="Y49" s="51"/>
      <c r="Z49" s="51"/>
    </row>
    <row r="50">
      <c r="A50" s="50">
        <v>1472.0</v>
      </c>
      <c r="B50" s="50" t="s">
        <v>1052</v>
      </c>
      <c r="C50" s="59" t="s">
        <v>496</v>
      </c>
      <c r="D50" s="51"/>
      <c r="E50" s="51"/>
      <c r="F50" s="51"/>
      <c r="G50" s="50" t="s">
        <v>1136</v>
      </c>
      <c r="H50" s="51"/>
      <c r="I50" s="50" t="s">
        <v>1137</v>
      </c>
      <c r="J50" s="50" t="s">
        <v>1138</v>
      </c>
      <c r="K50" s="51"/>
      <c r="L50" s="51"/>
      <c r="M50" s="51"/>
      <c r="N50" s="51"/>
      <c r="O50" s="51"/>
      <c r="P50" s="51"/>
      <c r="Q50" s="51"/>
      <c r="R50" s="51"/>
      <c r="S50" s="51"/>
      <c r="T50" s="51"/>
      <c r="U50" s="51"/>
      <c r="V50" s="51"/>
      <c r="W50" s="51"/>
      <c r="X50" s="51"/>
      <c r="Y50" s="51"/>
      <c r="Z50" s="51"/>
    </row>
    <row r="51">
      <c r="A51" s="50">
        <v>503.0</v>
      </c>
      <c r="B51" s="50" t="s">
        <v>1052</v>
      </c>
      <c r="C51" s="50" t="s">
        <v>500</v>
      </c>
      <c r="D51" s="51"/>
      <c r="E51" s="69" t="s">
        <v>1139</v>
      </c>
      <c r="F51" s="69" t="s">
        <v>1140</v>
      </c>
      <c r="G51" s="51"/>
      <c r="H51" s="51"/>
      <c r="I51" s="50" t="s">
        <v>1141</v>
      </c>
      <c r="J51" s="50" t="s">
        <v>1142</v>
      </c>
      <c r="K51" s="51"/>
      <c r="L51" s="51"/>
      <c r="M51" s="51"/>
      <c r="N51" s="51"/>
      <c r="O51" s="51"/>
      <c r="P51" s="51"/>
      <c r="Q51" s="51"/>
      <c r="R51" s="51"/>
      <c r="S51" s="51"/>
      <c r="T51" s="51"/>
      <c r="U51" s="51"/>
      <c r="V51" s="51"/>
      <c r="W51" s="51"/>
      <c r="X51" s="51"/>
      <c r="Y51" s="51"/>
      <c r="Z51" s="51"/>
    </row>
    <row r="52">
      <c r="A52" s="50">
        <v>928.0</v>
      </c>
      <c r="B52" s="50" t="s">
        <v>1052</v>
      </c>
      <c r="C52" s="50" t="s">
        <v>503</v>
      </c>
      <c r="D52" s="51"/>
      <c r="E52" s="51"/>
      <c r="F52" s="69" t="s">
        <v>1143</v>
      </c>
      <c r="G52" s="69" t="s">
        <v>1144</v>
      </c>
      <c r="H52" s="51"/>
      <c r="I52" s="50" t="s">
        <v>1145</v>
      </c>
      <c r="J52" s="50" t="s">
        <v>1146</v>
      </c>
      <c r="K52" s="51"/>
      <c r="L52" s="51"/>
      <c r="M52" s="51"/>
      <c r="N52" s="51"/>
      <c r="O52" s="51"/>
      <c r="P52" s="51"/>
      <c r="Q52" s="51"/>
      <c r="R52" s="51"/>
      <c r="S52" s="51"/>
      <c r="T52" s="51"/>
      <c r="U52" s="51"/>
      <c r="V52" s="51"/>
      <c r="W52" s="51"/>
      <c r="X52" s="51"/>
      <c r="Y52" s="51"/>
      <c r="Z52" s="51"/>
    </row>
    <row r="53">
      <c r="A53" s="53">
        <v>1418.0</v>
      </c>
      <c r="B53" s="53" t="s">
        <v>874</v>
      </c>
      <c r="C53" s="53" t="s">
        <v>508</v>
      </c>
      <c r="D53" s="53" t="s">
        <v>1147</v>
      </c>
      <c r="E53" s="53" t="s">
        <v>1148</v>
      </c>
      <c r="F53" s="53" t="s">
        <v>1149</v>
      </c>
      <c r="G53" s="53" t="s">
        <v>1150</v>
      </c>
      <c r="H53" s="53" t="s">
        <v>1151</v>
      </c>
      <c r="I53" s="53" t="s">
        <v>1152</v>
      </c>
      <c r="J53" s="53" t="s">
        <v>1153</v>
      </c>
      <c r="K53" s="56"/>
      <c r="L53" s="56"/>
      <c r="M53" s="56"/>
      <c r="N53" s="56"/>
      <c r="O53" s="56"/>
      <c r="P53" s="56"/>
      <c r="Q53" s="56"/>
      <c r="R53" s="56"/>
      <c r="S53" s="56"/>
      <c r="T53" s="56"/>
      <c r="U53" s="56"/>
      <c r="V53" s="56"/>
      <c r="W53" s="56"/>
      <c r="X53" s="56"/>
      <c r="Y53" s="56"/>
      <c r="Z53" s="56"/>
    </row>
    <row r="54">
      <c r="A54" s="50">
        <v>766.0</v>
      </c>
      <c r="B54" s="50" t="s">
        <v>907</v>
      </c>
      <c r="C54" s="50" t="s">
        <v>513</v>
      </c>
      <c r="D54" s="50" t="s">
        <v>1154</v>
      </c>
      <c r="E54" s="50" t="s">
        <v>1155</v>
      </c>
      <c r="F54" s="51"/>
      <c r="G54" s="50" t="s">
        <v>1156</v>
      </c>
      <c r="I54" s="50" t="s">
        <v>1157</v>
      </c>
      <c r="J54" s="50" t="s">
        <v>1158</v>
      </c>
      <c r="K54" s="51"/>
      <c r="L54" s="51"/>
      <c r="M54" s="51"/>
      <c r="N54" s="51"/>
      <c r="O54" s="51"/>
      <c r="P54" s="51"/>
      <c r="Q54" s="51"/>
      <c r="R54" s="51"/>
      <c r="S54" s="51"/>
      <c r="T54" s="51"/>
      <c r="U54" s="51"/>
      <c r="V54" s="51"/>
      <c r="W54" s="51"/>
      <c r="X54" s="51"/>
      <c r="Y54" s="51"/>
      <c r="Z54" s="51"/>
    </row>
    <row r="55">
      <c r="A55" s="50">
        <v>549.0</v>
      </c>
      <c r="B55" s="50" t="s">
        <v>907</v>
      </c>
      <c r="C55" s="70" t="s">
        <v>522</v>
      </c>
      <c r="D55" s="50" t="s">
        <v>1159</v>
      </c>
      <c r="F55" s="51"/>
      <c r="G55" s="51"/>
      <c r="H55" s="51"/>
      <c r="I55" s="50" t="s">
        <v>1160</v>
      </c>
      <c r="J55" s="50" t="s">
        <v>1161</v>
      </c>
      <c r="K55" s="51"/>
      <c r="L55" s="51"/>
      <c r="M55" s="51"/>
      <c r="N55" s="51"/>
      <c r="O55" s="51"/>
      <c r="P55" s="51"/>
      <c r="Q55" s="51"/>
      <c r="R55" s="51"/>
      <c r="S55" s="51"/>
      <c r="T55" s="51"/>
      <c r="U55" s="51"/>
      <c r="V55" s="51"/>
      <c r="W55" s="51"/>
      <c r="X55" s="51"/>
      <c r="Y55" s="51"/>
      <c r="Z55" s="51"/>
    </row>
    <row r="56">
      <c r="A56" s="50">
        <v>509.0</v>
      </c>
      <c r="B56" s="50" t="s">
        <v>907</v>
      </c>
      <c r="C56" s="50" t="s">
        <v>535</v>
      </c>
      <c r="D56" s="50" t="s">
        <v>1162</v>
      </c>
      <c r="I56" s="50" t="s">
        <v>1163</v>
      </c>
      <c r="J56" s="50" t="s">
        <v>1164</v>
      </c>
      <c r="K56" s="51"/>
      <c r="L56" s="51"/>
      <c r="M56" s="51"/>
      <c r="N56" s="51"/>
      <c r="O56" s="51"/>
      <c r="P56" s="51"/>
      <c r="Q56" s="51"/>
      <c r="R56" s="51"/>
      <c r="S56" s="51"/>
      <c r="T56" s="51"/>
      <c r="U56" s="51"/>
      <c r="V56" s="51"/>
      <c r="W56" s="51"/>
      <c r="X56" s="51"/>
      <c r="Y56" s="51"/>
      <c r="Z56" s="51"/>
    </row>
    <row r="57">
      <c r="A57" s="50">
        <v>1380.0</v>
      </c>
      <c r="B57" s="50" t="s">
        <v>1052</v>
      </c>
      <c r="C57" s="50" t="s">
        <v>551</v>
      </c>
      <c r="D57" s="51"/>
      <c r="E57" s="71" t="s">
        <v>1165</v>
      </c>
      <c r="F57" s="71" t="s">
        <v>1166</v>
      </c>
      <c r="G57" s="72" t="s">
        <v>1167</v>
      </c>
      <c r="H57" s="51"/>
      <c r="I57" s="50" t="s">
        <v>1168</v>
      </c>
      <c r="J57" s="50" t="s">
        <v>1169</v>
      </c>
      <c r="K57" s="51"/>
      <c r="L57" s="51"/>
      <c r="M57" s="51"/>
      <c r="N57" s="51"/>
      <c r="O57" s="51"/>
      <c r="P57" s="51"/>
      <c r="Q57" s="51"/>
      <c r="R57" s="51"/>
      <c r="S57" s="51"/>
      <c r="T57" s="51"/>
      <c r="U57" s="51"/>
      <c r="V57" s="51"/>
      <c r="W57" s="51"/>
      <c r="X57" s="51"/>
      <c r="Y57" s="51"/>
      <c r="Z57" s="51"/>
    </row>
    <row r="58">
      <c r="A58" s="50">
        <v>918.0</v>
      </c>
      <c r="B58" s="50" t="s">
        <v>1052</v>
      </c>
      <c r="C58" s="59" t="s">
        <v>555</v>
      </c>
      <c r="D58" s="51"/>
      <c r="E58" s="51"/>
      <c r="F58" s="51"/>
      <c r="G58" s="50" t="s">
        <v>1170</v>
      </c>
      <c r="H58" s="51"/>
      <c r="I58" s="50" t="s">
        <v>1171</v>
      </c>
      <c r="J58" s="50" t="s">
        <v>1171</v>
      </c>
      <c r="K58" s="51"/>
      <c r="L58" s="51"/>
      <c r="M58" s="51"/>
      <c r="N58" s="51"/>
      <c r="O58" s="51"/>
      <c r="P58" s="51"/>
      <c r="Q58" s="51"/>
      <c r="R58" s="51"/>
      <c r="S58" s="51"/>
      <c r="T58" s="51"/>
      <c r="U58" s="51"/>
      <c r="V58" s="51"/>
      <c r="W58" s="51"/>
      <c r="X58" s="51"/>
      <c r="Y58" s="51"/>
      <c r="Z58" s="51"/>
    </row>
    <row r="59">
      <c r="A59" s="53">
        <v>327.0</v>
      </c>
      <c r="B59" s="53" t="s">
        <v>1052</v>
      </c>
      <c r="C59" s="66" t="s">
        <v>559</v>
      </c>
      <c r="D59" s="53" t="s">
        <v>1172</v>
      </c>
      <c r="E59" s="53" t="s">
        <v>1173</v>
      </c>
      <c r="F59" s="53" t="s">
        <v>1174</v>
      </c>
      <c r="G59" s="56"/>
      <c r="H59" s="56"/>
      <c r="I59" s="53" t="s">
        <v>1175</v>
      </c>
      <c r="J59" s="53" t="s">
        <v>1176</v>
      </c>
      <c r="K59" s="56"/>
      <c r="L59" s="56"/>
      <c r="M59" s="56"/>
      <c r="N59" s="56"/>
      <c r="O59" s="56"/>
      <c r="P59" s="56"/>
      <c r="Q59" s="56"/>
      <c r="R59" s="56"/>
      <c r="S59" s="56"/>
      <c r="T59" s="56"/>
      <c r="U59" s="56"/>
      <c r="V59" s="56"/>
      <c r="W59" s="56"/>
      <c r="X59" s="56"/>
      <c r="Y59" s="56"/>
      <c r="Z59" s="56"/>
    </row>
    <row r="60">
      <c r="A60" s="50">
        <v>603.0</v>
      </c>
      <c r="B60" s="50" t="s">
        <v>1052</v>
      </c>
      <c r="C60" s="59" t="s">
        <v>564</v>
      </c>
      <c r="D60" s="51"/>
      <c r="E60" s="50" t="s">
        <v>1177</v>
      </c>
      <c r="F60" s="50" t="s">
        <v>1178</v>
      </c>
      <c r="G60" s="50" t="s">
        <v>1179</v>
      </c>
      <c r="H60" s="50" t="s">
        <v>1180</v>
      </c>
      <c r="I60" s="50" t="s">
        <v>1181</v>
      </c>
      <c r="J60" s="50" t="s">
        <v>1182</v>
      </c>
      <c r="K60" s="51"/>
      <c r="L60" s="51"/>
      <c r="M60" s="51"/>
      <c r="N60" s="51"/>
      <c r="O60" s="51"/>
      <c r="P60" s="51"/>
      <c r="Q60" s="51"/>
      <c r="R60" s="51"/>
      <c r="S60" s="51"/>
      <c r="T60" s="51"/>
      <c r="U60" s="51"/>
      <c r="V60" s="51"/>
      <c r="W60" s="51"/>
      <c r="X60" s="51"/>
      <c r="Y60" s="51"/>
      <c r="Z60" s="51"/>
    </row>
    <row r="61">
      <c r="A61" s="50">
        <v>614.0</v>
      </c>
      <c r="B61" s="50" t="s">
        <v>1052</v>
      </c>
      <c r="C61" s="50" t="s">
        <v>568</v>
      </c>
      <c r="D61" s="50" t="s">
        <v>1183</v>
      </c>
      <c r="E61" s="51"/>
      <c r="F61" s="50" t="s">
        <v>1184</v>
      </c>
      <c r="G61" s="50" t="s">
        <v>1185</v>
      </c>
      <c r="H61" s="51"/>
      <c r="I61" s="50" t="s">
        <v>1186</v>
      </c>
      <c r="J61" s="50" t="s">
        <v>1187</v>
      </c>
      <c r="K61" s="51"/>
      <c r="L61" s="51"/>
      <c r="M61" s="51"/>
      <c r="N61" s="51"/>
      <c r="O61" s="51"/>
      <c r="P61" s="51"/>
      <c r="Q61" s="51"/>
      <c r="R61" s="51"/>
      <c r="S61" s="51"/>
      <c r="T61" s="51"/>
      <c r="U61" s="51"/>
      <c r="V61" s="51"/>
      <c r="W61" s="51"/>
      <c r="X61" s="51"/>
      <c r="Y61" s="51"/>
      <c r="Z61" s="51"/>
    </row>
    <row r="62">
      <c r="A62" s="50">
        <v>943.0</v>
      </c>
      <c r="B62" s="50" t="s">
        <v>1052</v>
      </c>
      <c r="C62" s="59" t="s">
        <v>574</v>
      </c>
      <c r="D62" s="51"/>
      <c r="E62" s="50" t="s">
        <v>1188</v>
      </c>
      <c r="F62" s="50" t="s">
        <v>1189</v>
      </c>
      <c r="G62" s="50" t="s">
        <v>1190</v>
      </c>
      <c r="H62" s="51"/>
      <c r="I62" s="50" t="s">
        <v>1191</v>
      </c>
      <c r="J62" s="50" t="s">
        <v>1192</v>
      </c>
      <c r="K62" s="51"/>
      <c r="L62" s="51"/>
      <c r="M62" s="51"/>
      <c r="N62" s="51"/>
      <c r="O62" s="51"/>
      <c r="P62" s="51"/>
      <c r="Q62" s="51"/>
      <c r="R62" s="51"/>
      <c r="S62" s="51"/>
      <c r="T62" s="51"/>
      <c r="U62" s="51"/>
      <c r="V62" s="51"/>
      <c r="W62" s="51"/>
      <c r="X62" s="51"/>
      <c r="Y62" s="51"/>
      <c r="Z62" s="51"/>
    </row>
    <row r="63">
      <c r="A63" s="53">
        <v>436.0</v>
      </c>
      <c r="B63" s="53" t="s">
        <v>1052</v>
      </c>
      <c r="C63" s="66" t="s">
        <v>577</v>
      </c>
      <c r="D63" s="56"/>
      <c r="E63" s="56"/>
      <c r="F63" s="53" t="s">
        <v>1193</v>
      </c>
      <c r="G63" s="53" t="s">
        <v>1194</v>
      </c>
      <c r="H63" s="56"/>
      <c r="I63" s="53" t="s">
        <v>1195</v>
      </c>
      <c r="J63" s="53" t="s">
        <v>1196</v>
      </c>
      <c r="K63" s="56"/>
      <c r="L63" s="56"/>
      <c r="M63" s="56"/>
      <c r="N63" s="56"/>
      <c r="O63" s="56"/>
      <c r="P63" s="56"/>
      <c r="Q63" s="56"/>
      <c r="R63" s="56"/>
      <c r="S63" s="56"/>
      <c r="T63" s="56"/>
      <c r="U63" s="56"/>
      <c r="V63" s="56"/>
      <c r="W63" s="56"/>
      <c r="X63" s="56"/>
      <c r="Y63" s="56"/>
      <c r="Z63" s="56"/>
    </row>
    <row r="64">
      <c r="A64" s="50">
        <v>1164.0</v>
      </c>
      <c r="B64" s="50" t="s">
        <v>1052</v>
      </c>
      <c r="C64" s="59" t="s">
        <v>583</v>
      </c>
      <c r="D64" s="51"/>
      <c r="E64" s="50" t="s">
        <v>1197</v>
      </c>
      <c r="F64" s="51"/>
      <c r="G64" s="50" t="s">
        <v>1198</v>
      </c>
      <c r="H64" s="51"/>
      <c r="I64" s="50" t="s">
        <v>1199</v>
      </c>
      <c r="J64" s="50" t="s">
        <v>1200</v>
      </c>
      <c r="K64" s="50" t="s">
        <v>1201</v>
      </c>
      <c r="L64" s="51"/>
      <c r="M64" s="51"/>
      <c r="N64" s="51"/>
      <c r="O64" s="51"/>
      <c r="P64" s="51"/>
      <c r="Q64" s="51"/>
      <c r="R64" s="51"/>
      <c r="S64" s="51"/>
      <c r="T64" s="51"/>
      <c r="U64" s="51"/>
      <c r="V64" s="51"/>
      <c r="W64" s="51"/>
      <c r="X64" s="51"/>
      <c r="Y64" s="51"/>
      <c r="Z64" s="51"/>
    </row>
    <row r="65">
      <c r="A65" s="53">
        <v>1072.0</v>
      </c>
      <c r="B65" s="53" t="s">
        <v>874</v>
      </c>
      <c r="C65" s="53" t="s">
        <v>586</v>
      </c>
      <c r="D65" s="73" t="s">
        <v>1202</v>
      </c>
      <c r="E65" s="74" t="s">
        <v>1203</v>
      </c>
      <c r="F65" s="75" t="s">
        <v>1204</v>
      </c>
      <c r="G65" s="75" t="s">
        <v>1204</v>
      </c>
      <c r="H65" s="73" t="s">
        <v>1205</v>
      </c>
      <c r="I65" s="53" t="s">
        <v>1206</v>
      </c>
      <c r="J65" s="53" t="s">
        <v>1207</v>
      </c>
      <c r="K65" s="53" t="s">
        <v>1208</v>
      </c>
      <c r="L65" s="56"/>
      <c r="M65" s="56"/>
      <c r="N65" s="56"/>
      <c r="O65" s="56"/>
      <c r="P65" s="56"/>
      <c r="Q65" s="56"/>
      <c r="R65" s="56"/>
      <c r="S65" s="56"/>
      <c r="T65" s="56"/>
      <c r="U65" s="56"/>
      <c r="V65" s="56"/>
      <c r="W65" s="56"/>
      <c r="X65" s="56"/>
      <c r="Y65" s="56"/>
      <c r="Z65" s="56"/>
    </row>
    <row r="66">
      <c r="A66" s="53">
        <v>573.0</v>
      </c>
      <c r="B66" s="53" t="s">
        <v>874</v>
      </c>
      <c r="C66" s="53" t="s">
        <v>1209</v>
      </c>
      <c r="D66" s="53" t="s">
        <v>1210</v>
      </c>
      <c r="E66" s="53" t="s">
        <v>1211</v>
      </c>
      <c r="F66" s="53" t="s">
        <v>1212</v>
      </c>
      <c r="G66" s="53" t="s">
        <v>1213</v>
      </c>
      <c r="H66" s="53" t="s">
        <v>1214</v>
      </c>
      <c r="I66" s="53" t="s">
        <v>1215</v>
      </c>
      <c r="J66" s="53" t="s">
        <v>1216</v>
      </c>
      <c r="K66" s="56"/>
      <c r="L66" s="56"/>
      <c r="M66" s="56"/>
      <c r="N66" s="56"/>
      <c r="O66" s="56"/>
      <c r="P66" s="56"/>
      <c r="Q66" s="56"/>
      <c r="R66" s="56"/>
      <c r="S66" s="56"/>
      <c r="T66" s="56"/>
      <c r="U66" s="56"/>
      <c r="V66" s="56"/>
      <c r="W66" s="56"/>
      <c r="X66" s="56"/>
      <c r="Y66" s="56"/>
      <c r="Z66" s="56"/>
    </row>
    <row r="67">
      <c r="A67" s="53">
        <v>1385.0</v>
      </c>
      <c r="B67" s="53" t="s">
        <v>874</v>
      </c>
      <c r="C67" s="53" t="s">
        <v>621</v>
      </c>
      <c r="D67" s="53" t="s">
        <v>1217</v>
      </c>
      <c r="E67" s="53" t="s">
        <v>1218</v>
      </c>
      <c r="F67" s="53" t="s">
        <v>1219</v>
      </c>
      <c r="G67" s="53" t="s">
        <v>1220</v>
      </c>
      <c r="H67" s="56"/>
      <c r="I67" s="53" t="s">
        <v>1221</v>
      </c>
      <c r="J67" s="53" t="s">
        <v>1222</v>
      </c>
      <c r="K67" s="53"/>
      <c r="L67" s="56"/>
      <c r="M67" s="56"/>
      <c r="N67" s="56"/>
      <c r="O67" s="56"/>
      <c r="P67" s="56"/>
      <c r="Q67" s="56"/>
      <c r="R67" s="56"/>
      <c r="S67" s="56"/>
      <c r="T67" s="56"/>
      <c r="U67" s="56"/>
      <c r="V67" s="56"/>
      <c r="W67" s="56"/>
      <c r="X67" s="56"/>
      <c r="Y67" s="56"/>
      <c r="Z67" s="56"/>
    </row>
    <row r="68">
      <c r="A68" s="53">
        <v>626.0</v>
      </c>
      <c r="B68" s="53" t="s">
        <v>874</v>
      </c>
      <c r="C68" s="53" t="s">
        <v>625</v>
      </c>
      <c r="D68" s="76" t="s">
        <v>1223</v>
      </c>
      <c r="E68" s="76" t="s">
        <v>1224</v>
      </c>
      <c r="F68" s="76" t="s">
        <v>1225</v>
      </c>
      <c r="G68" s="76" t="s">
        <v>1226</v>
      </c>
      <c r="H68" s="76" t="s">
        <v>1227</v>
      </c>
      <c r="I68" s="53" t="s">
        <v>1228</v>
      </c>
      <c r="J68" s="53" t="s">
        <v>1229</v>
      </c>
      <c r="K68" s="53" t="s">
        <v>1230</v>
      </c>
      <c r="L68" s="56"/>
      <c r="M68" s="56"/>
      <c r="N68" s="56"/>
      <c r="O68" s="56"/>
      <c r="P68" s="56"/>
      <c r="Q68" s="56"/>
      <c r="R68" s="56"/>
      <c r="S68" s="56"/>
      <c r="T68" s="56"/>
      <c r="U68" s="56"/>
      <c r="V68" s="56"/>
      <c r="W68" s="56"/>
      <c r="X68" s="56"/>
      <c r="Y68" s="56"/>
      <c r="Z68" s="56"/>
    </row>
    <row r="69">
      <c r="A69" s="53">
        <v>615.0</v>
      </c>
      <c r="B69" s="53" t="s">
        <v>874</v>
      </c>
      <c r="C69" s="53" t="s">
        <v>1231</v>
      </c>
      <c r="D69" s="53" t="s">
        <v>1232</v>
      </c>
      <c r="E69" s="53" t="s">
        <v>1233</v>
      </c>
      <c r="F69" s="53" t="s">
        <v>1234</v>
      </c>
      <c r="G69" s="53" t="s">
        <v>1235</v>
      </c>
      <c r="H69" s="53" t="s">
        <v>1236</v>
      </c>
      <c r="I69" s="53" t="s">
        <v>1237</v>
      </c>
      <c r="J69" s="53" t="s">
        <v>1238</v>
      </c>
      <c r="K69" s="56"/>
      <c r="L69" s="56"/>
      <c r="M69" s="56"/>
      <c r="N69" s="56"/>
      <c r="O69" s="56"/>
      <c r="P69" s="56"/>
      <c r="Q69" s="56"/>
      <c r="R69" s="56"/>
      <c r="S69" s="56"/>
      <c r="T69" s="56"/>
      <c r="U69" s="56"/>
      <c r="V69" s="56"/>
      <c r="W69" s="56"/>
      <c r="X69" s="56"/>
      <c r="Y69" s="56"/>
      <c r="Z69" s="56"/>
    </row>
    <row r="70">
      <c r="A70" s="53">
        <v>968.0</v>
      </c>
      <c r="B70" s="53" t="s">
        <v>874</v>
      </c>
      <c r="C70" s="53" t="s">
        <v>639</v>
      </c>
      <c r="D70" s="76" t="s">
        <v>1239</v>
      </c>
      <c r="E70" s="76" t="s">
        <v>1240</v>
      </c>
      <c r="F70" s="76" t="s">
        <v>1241</v>
      </c>
      <c r="G70" s="76" t="s">
        <v>1242</v>
      </c>
      <c r="H70" s="76" t="s">
        <v>1243</v>
      </c>
      <c r="I70" s="76" t="s">
        <v>1244</v>
      </c>
      <c r="J70" s="76" t="s">
        <v>1245</v>
      </c>
      <c r="K70" s="56"/>
      <c r="L70" s="56"/>
      <c r="M70" s="56"/>
      <c r="N70" s="56"/>
      <c r="O70" s="56"/>
      <c r="P70" s="56"/>
      <c r="Q70" s="56"/>
      <c r="R70" s="56"/>
      <c r="S70" s="56"/>
      <c r="T70" s="56"/>
      <c r="U70" s="56"/>
      <c r="V70" s="56"/>
      <c r="W70" s="56"/>
      <c r="X70" s="56"/>
      <c r="Y70" s="56"/>
      <c r="Z70" s="56"/>
    </row>
    <row r="71">
      <c r="A71" s="53">
        <v>1224.0</v>
      </c>
      <c r="B71" s="53" t="s">
        <v>874</v>
      </c>
      <c r="C71" s="53" t="s">
        <v>654</v>
      </c>
      <c r="D71" s="76" t="s">
        <v>1246</v>
      </c>
      <c r="E71" s="76" t="s">
        <v>1247</v>
      </c>
      <c r="F71" s="76" t="s">
        <v>1248</v>
      </c>
      <c r="G71" s="53" t="s">
        <v>1249</v>
      </c>
      <c r="H71" s="76" t="s">
        <v>1250</v>
      </c>
      <c r="I71" s="76" t="s">
        <v>1251</v>
      </c>
      <c r="J71" s="76" t="s">
        <v>1252</v>
      </c>
      <c r="K71" s="56"/>
      <c r="L71" s="56"/>
      <c r="M71" s="56"/>
      <c r="N71" s="56"/>
      <c r="O71" s="56"/>
      <c r="P71" s="56"/>
      <c r="Q71" s="56"/>
      <c r="R71" s="56"/>
      <c r="S71" s="56"/>
      <c r="T71" s="56"/>
      <c r="U71" s="56"/>
      <c r="V71" s="56"/>
      <c r="W71" s="56"/>
      <c r="X71" s="56"/>
      <c r="Y71" s="56"/>
      <c r="Z71" s="56"/>
    </row>
    <row r="72">
      <c r="A72" s="53">
        <v>1125.0</v>
      </c>
      <c r="B72" s="53" t="s">
        <v>874</v>
      </c>
      <c r="C72" s="53" t="s">
        <v>662</v>
      </c>
      <c r="D72" s="74" t="s">
        <v>1253</v>
      </c>
      <c r="E72" s="53" t="s">
        <v>1254</v>
      </c>
      <c r="F72" s="53" t="s">
        <v>1255</v>
      </c>
      <c r="G72" s="74" t="s">
        <v>1256</v>
      </c>
      <c r="H72" s="74" t="s">
        <v>1257</v>
      </c>
      <c r="I72" s="74" t="s">
        <v>1258</v>
      </c>
      <c r="J72" s="77" t="s">
        <v>1259</v>
      </c>
      <c r="K72" s="53" t="s">
        <v>1260</v>
      </c>
      <c r="L72" s="56"/>
      <c r="M72" s="56"/>
      <c r="N72" s="56"/>
      <c r="O72" s="56"/>
      <c r="P72" s="56"/>
      <c r="Q72" s="56"/>
      <c r="R72" s="56"/>
      <c r="S72" s="56"/>
      <c r="T72" s="56"/>
      <c r="U72" s="56"/>
      <c r="V72" s="56"/>
      <c r="W72" s="56"/>
      <c r="X72" s="56"/>
      <c r="Y72" s="56"/>
      <c r="Z72" s="56"/>
    </row>
    <row r="73">
      <c r="A73" s="53">
        <v>1376.0</v>
      </c>
      <c r="B73" s="53" t="s">
        <v>874</v>
      </c>
      <c r="C73" s="53" t="s">
        <v>673</v>
      </c>
      <c r="D73" s="53" t="s">
        <v>1261</v>
      </c>
      <c r="E73" s="53" t="s">
        <v>1262</v>
      </c>
      <c r="F73" s="53" t="s">
        <v>1263</v>
      </c>
      <c r="G73" s="53" t="s">
        <v>1264</v>
      </c>
      <c r="H73" s="56"/>
      <c r="I73" s="53" t="s">
        <v>1265</v>
      </c>
      <c r="J73" s="53" t="s">
        <v>1266</v>
      </c>
      <c r="K73" s="56"/>
      <c r="L73" s="56"/>
      <c r="M73" s="56"/>
      <c r="N73" s="56"/>
      <c r="O73" s="56"/>
      <c r="P73" s="56"/>
      <c r="Q73" s="56"/>
      <c r="R73" s="56"/>
      <c r="S73" s="56"/>
      <c r="T73" s="56"/>
      <c r="U73" s="56"/>
      <c r="V73" s="56"/>
      <c r="W73" s="56"/>
      <c r="X73" s="56"/>
      <c r="Y73" s="56"/>
      <c r="Z73" s="56"/>
    </row>
    <row r="74">
      <c r="A74" s="53">
        <v>1296.0</v>
      </c>
      <c r="B74" s="53" t="s">
        <v>874</v>
      </c>
      <c r="C74" s="78" t="s">
        <v>679</v>
      </c>
      <c r="D74" s="53" t="s">
        <v>1267</v>
      </c>
      <c r="E74" s="53" t="s">
        <v>1047</v>
      </c>
      <c r="F74" s="53" t="s">
        <v>1268</v>
      </c>
      <c r="G74" s="53" t="s">
        <v>1269</v>
      </c>
      <c r="H74" s="53" t="s">
        <v>1270</v>
      </c>
      <c r="I74" s="53" t="s">
        <v>1271</v>
      </c>
      <c r="J74" s="53" t="s">
        <v>1272</v>
      </c>
      <c r="K74" s="56"/>
      <c r="L74" s="56"/>
      <c r="M74" s="56"/>
      <c r="N74" s="56"/>
      <c r="O74" s="56"/>
      <c r="P74" s="56"/>
      <c r="Q74" s="56"/>
      <c r="R74" s="56"/>
      <c r="S74" s="56"/>
      <c r="T74" s="56"/>
      <c r="U74" s="56"/>
      <c r="V74" s="56"/>
      <c r="W74" s="56"/>
      <c r="X74" s="56"/>
      <c r="Y74" s="56"/>
      <c r="Z74" s="56"/>
    </row>
    <row r="75">
      <c r="A75" s="53">
        <v>903.0</v>
      </c>
      <c r="B75" s="53" t="s">
        <v>874</v>
      </c>
      <c r="C75" s="53" t="s">
        <v>696</v>
      </c>
      <c r="D75" s="76" t="s">
        <v>1273</v>
      </c>
      <c r="E75" s="76" t="s">
        <v>1274</v>
      </c>
      <c r="F75" s="53" t="s">
        <v>1275</v>
      </c>
      <c r="G75" s="53" t="s">
        <v>1276</v>
      </c>
      <c r="H75" s="76" t="s">
        <v>1277</v>
      </c>
      <c r="I75" s="53" t="s">
        <v>1278</v>
      </c>
      <c r="J75" s="53" t="s">
        <v>1279</v>
      </c>
      <c r="K75" s="56"/>
      <c r="L75" s="56"/>
      <c r="M75" s="56"/>
      <c r="N75" s="56"/>
      <c r="O75" s="56"/>
      <c r="P75" s="56"/>
      <c r="Q75" s="56"/>
      <c r="R75" s="56"/>
      <c r="S75" s="56"/>
      <c r="T75" s="56"/>
      <c r="U75" s="56"/>
      <c r="V75" s="56"/>
      <c r="W75" s="56"/>
      <c r="X75" s="56"/>
      <c r="Y75" s="56"/>
      <c r="Z75" s="56"/>
    </row>
    <row r="76">
      <c r="A76" s="53">
        <v>1402.0</v>
      </c>
      <c r="B76" s="53" t="s">
        <v>874</v>
      </c>
      <c r="C76" s="53" t="s">
        <v>705</v>
      </c>
      <c r="D76" s="76" t="s">
        <v>1280</v>
      </c>
      <c r="E76" s="76" t="s">
        <v>1281</v>
      </c>
      <c r="F76" s="53" t="s">
        <v>1282</v>
      </c>
      <c r="G76" s="53" t="s">
        <v>1283</v>
      </c>
      <c r="H76" s="76" t="s">
        <v>1284</v>
      </c>
      <c r="I76" s="53" t="s">
        <v>1285</v>
      </c>
      <c r="J76" s="53" t="s">
        <v>1286</v>
      </c>
      <c r="K76" s="56"/>
      <c r="L76" s="56"/>
      <c r="M76" s="56"/>
      <c r="N76" s="56"/>
      <c r="O76" s="56"/>
      <c r="P76" s="56"/>
      <c r="Q76" s="56"/>
      <c r="R76" s="56"/>
      <c r="S76" s="56"/>
      <c r="T76" s="56"/>
      <c r="U76" s="56"/>
      <c r="V76" s="56"/>
      <c r="W76" s="56"/>
      <c r="X76" s="56"/>
      <c r="Y76" s="56"/>
      <c r="Z76" s="56"/>
    </row>
    <row r="77">
      <c r="A77" s="53">
        <v>936.0</v>
      </c>
      <c r="B77" s="53" t="s">
        <v>874</v>
      </c>
      <c r="C77" s="53" t="s">
        <v>710</v>
      </c>
      <c r="D77" s="76" t="s">
        <v>1287</v>
      </c>
      <c r="E77" s="76" t="s">
        <v>1288</v>
      </c>
      <c r="F77" s="53" t="s">
        <v>1289</v>
      </c>
      <c r="G77" s="53" t="s">
        <v>1290</v>
      </c>
      <c r="H77" s="76" t="s">
        <v>1291</v>
      </c>
      <c r="I77" s="53" t="s">
        <v>1292</v>
      </c>
      <c r="J77" s="53" t="s">
        <v>1293</v>
      </c>
      <c r="K77" s="56"/>
      <c r="L77" s="56"/>
      <c r="M77" s="56"/>
      <c r="N77" s="56"/>
      <c r="O77" s="56"/>
      <c r="P77" s="56"/>
      <c r="Q77" s="56"/>
      <c r="R77" s="56"/>
      <c r="S77" s="56"/>
      <c r="T77" s="56"/>
      <c r="U77" s="56"/>
      <c r="V77" s="56"/>
      <c r="W77" s="56"/>
      <c r="X77" s="56"/>
      <c r="Y77" s="56"/>
      <c r="Z77" s="56"/>
    </row>
    <row r="78">
      <c r="A78" s="53">
        <v>9.0</v>
      </c>
      <c r="B78" s="53" t="s">
        <v>1052</v>
      </c>
      <c r="C78" s="79" t="s">
        <v>715</v>
      </c>
      <c r="D78" s="56"/>
      <c r="E78" s="76" t="s">
        <v>1294</v>
      </c>
      <c r="F78" s="56"/>
      <c r="G78" s="56"/>
      <c r="H78" s="56"/>
      <c r="I78" s="53" t="s">
        <v>1295</v>
      </c>
      <c r="J78" s="53" t="s">
        <v>1296</v>
      </c>
      <c r="K78" s="56"/>
      <c r="L78" s="56"/>
      <c r="M78" s="56"/>
      <c r="N78" s="56"/>
      <c r="O78" s="56"/>
      <c r="P78" s="56"/>
      <c r="Q78" s="56"/>
      <c r="R78" s="56"/>
      <c r="S78" s="56"/>
      <c r="T78" s="56"/>
      <c r="U78" s="56"/>
      <c r="V78" s="56"/>
      <c r="W78" s="56"/>
      <c r="X78" s="56"/>
      <c r="Y78" s="56"/>
      <c r="Z78" s="56"/>
    </row>
    <row r="79">
      <c r="A79" s="53">
        <v>338.0</v>
      </c>
      <c r="B79" s="53" t="s">
        <v>1052</v>
      </c>
      <c r="C79" s="53" t="s">
        <v>462</v>
      </c>
      <c r="D79" s="56"/>
      <c r="E79" s="53" t="s">
        <v>1297</v>
      </c>
      <c r="F79" s="56"/>
      <c r="G79" s="56"/>
      <c r="H79" s="56"/>
      <c r="I79" s="53" t="s">
        <v>1298</v>
      </c>
      <c r="J79" s="53" t="s">
        <v>1299</v>
      </c>
      <c r="K79" s="56"/>
      <c r="L79" s="56"/>
      <c r="M79" s="56"/>
      <c r="N79" s="56"/>
      <c r="O79" s="56"/>
      <c r="P79" s="56"/>
      <c r="Q79" s="56"/>
      <c r="R79" s="56"/>
      <c r="S79" s="56"/>
      <c r="T79" s="56"/>
      <c r="U79" s="56"/>
      <c r="V79" s="56"/>
      <c r="W79" s="56"/>
      <c r="X79" s="56"/>
      <c r="Y79" s="56"/>
      <c r="Z79" s="56"/>
    </row>
    <row r="80">
      <c r="A80" s="50">
        <v>941.0</v>
      </c>
      <c r="B80" s="50" t="s">
        <v>1052</v>
      </c>
      <c r="C80" s="50" t="s">
        <v>721</v>
      </c>
      <c r="D80" s="51"/>
      <c r="E80" s="80" t="s">
        <v>1300</v>
      </c>
      <c r="F80" s="80" t="s">
        <v>1301</v>
      </c>
      <c r="G80" s="80" t="s">
        <v>1302</v>
      </c>
      <c r="H80" s="51"/>
      <c r="I80" s="50" t="s">
        <v>1303</v>
      </c>
      <c r="J80" s="50" t="s">
        <v>1304</v>
      </c>
      <c r="K80" s="51"/>
      <c r="L80" s="51"/>
      <c r="M80" s="51"/>
      <c r="N80" s="51"/>
      <c r="O80" s="51"/>
      <c r="P80" s="51"/>
      <c r="Q80" s="51"/>
      <c r="R80" s="51"/>
      <c r="S80" s="51"/>
      <c r="T80" s="51"/>
      <c r="U80" s="51"/>
      <c r="V80" s="51"/>
      <c r="W80" s="51"/>
      <c r="X80" s="51"/>
      <c r="Y80" s="51"/>
      <c r="Z80" s="51"/>
    </row>
    <row r="81">
      <c r="A81" s="53">
        <v>711.0</v>
      </c>
      <c r="B81" s="53" t="s">
        <v>1305</v>
      </c>
      <c r="C81" s="53" t="s">
        <v>724</v>
      </c>
      <c r="D81" s="53" t="s">
        <v>1306</v>
      </c>
      <c r="E81" s="53" t="s">
        <v>1307</v>
      </c>
      <c r="F81" s="53" t="s">
        <v>1308</v>
      </c>
      <c r="G81" s="76" t="s">
        <v>1309</v>
      </c>
      <c r="H81" s="56"/>
      <c r="I81" s="76" t="s">
        <v>1310</v>
      </c>
      <c r="J81" s="53" t="s">
        <v>1311</v>
      </c>
      <c r="K81" s="56"/>
      <c r="L81" s="56"/>
      <c r="M81" s="56"/>
      <c r="N81" s="56"/>
      <c r="O81" s="56"/>
      <c r="P81" s="56"/>
      <c r="Q81" s="56"/>
      <c r="R81" s="56"/>
      <c r="S81" s="56"/>
      <c r="T81" s="56"/>
      <c r="U81" s="56"/>
      <c r="V81" s="56"/>
      <c r="W81" s="56"/>
      <c r="X81" s="56"/>
      <c r="Y81" s="56"/>
      <c r="Z81" s="56"/>
    </row>
    <row r="82">
      <c r="A82" s="50">
        <v>1059.0</v>
      </c>
      <c r="B82" s="50" t="s">
        <v>1052</v>
      </c>
      <c r="C82" s="50" t="s">
        <v>729</v>
      </c>
      <c r="D82" s="51"/>
      <c r="E82" s="80" t="s">
        <v>1312</v>
      </c>
      <c r="F82" s="51"/>
      <c r="G82" s="80" t="s">
        <v>1313</v>
      </c>
      <c r="H82" s="51"/>
      <c r="I82" s="50" t="s">
        <v>1314</v>
      </c>
      <c r="J82" s="50" t="s">
        <v>1315</v>
      </c>
      <c r="K82" s="51"/>
      <c r="L82" s="51"/>
      <c r="M82" s="51"/>
      <c r="N82" s="51"/>
      <c r="O82" s="51"/>
      <c r="P82" s="51"/>
      <c r="Q82" s="51"/>
      <c r="R82" s="51"/>
      <c r="S82" s="51"/>
      <c r="T82" s="51"/>
      <c r="U82" s="51"/>
      <c r="V82" s="51"/>
      <c r="W82" s="51"/>
      <c r="X82" s="51"/>
      <c r="Y82" s="51"/>
      <c r="Z82" s="51"/>
    </row>
    <row r="83">
      <c r="A83" s="53">
        <v>1077.0</v>
      </c>
      <c r="B83" s="53" t="s">
        <v>874</v>
      </c>
      <c r="C83" s="53" t="s">
        <v>729</v>
      </c>
      <c r="D83" s="53" t="s">
        <v>1316</v>
      </c>
      <c r="E83" s="53" t="s">
        <v>1317</v>
      </c>
      <c r="F83" s="53" t="s">
        <v>1318</v>
      </c>
      <c r="G83" s="76" t="s">
        <v>1319</v>
      </c>
      <c r="H83" s="53" t="s">
        <v>1320</v>
      </c>
      <c r="I83" s="53" t="s">
        <v>1321</v>
      </c>
      <c r="J83" s="53" t="s">
        <v>1322</v>
      </c>
      <c r="K83" s="56"/>
      <c r="L83" s="56"/>
      <c r="M83" s="56"/>
      <c r="N83" s="56"/>
      <c r="O83" s="56"/>
      <c r="P83" s="56"/>
      <c r="Q83" s="56"/>
      <c r="R83" s="56"/>
      <c r="S83" s="56"/>
      <c r="T83" s="56"/>
      <c r="U83" s="56"/>
      <c r="V83" s="56"/>
      <c r="W83" s="56"/>
      <c r="X83" s="56"/>
      <c r="Y83" s="56"/>
      <c r="Z83" s="56"/>
    </row>
    <row r="84">
      <c r="A84" s="53">
        <v>940.0</v>
      </c>
      <c r="B84" s="53" t="s">
        <v>874</v>
      </c>
      <c r="C84" s="79" t="s">
        <v>739</v>
      </c>
      <c r="D84" s="53" t="s">
        <v>1323</v>
      </c>
      <c r="E84" s="53" t="s">
        <v>1047</v>
      </c>
      <c r="F84" s="53" t="s">
        <v>1047</v>
      </c>
      <c r="G84" s="53" t="s">
        <v>1324</v>
      </c>
      <c r="H84" s="53" t="s">
        <v>1325</v>
      </c>
      <c r="I84" s="53" t="s">
        <v>1326</v>
      </c>
      <c r="J84" s="53" t="s">
        <v>1327</v>
      </c>
      <c r="K84" s="56"/>
      <c r="L84" s="56"/>
      <c r="M84" s="56"/>
      <c r="N84" s="56"/>
      <c r="O84" s="56"/>
      <c r="P84" s="56"/>
      <c r="Q84" s="56"/>
      <c r="R84" s="56"/>
      <c r="S84" s="56"/>
      <c r="T84" s="56"/>
      <c r="U84" s="56"/>
      <c r="V84" s="56"/>
      <c r="W84" s="56"/>
      <c r="X84" s="56"/>
      <c r="Y84" s="56"/>
      <c r="Z84" s="56"/>
    </row>
    <row r="85">
      <c r="A85" s="53">
        <v>774.0</v>
      </c>
      <c r="B85" s="53" t="s">
        <v>874</v>
      </c>
      <c r="C85" s="53" t="s">
        <v>746</v>
      </c>
      <c r="D85" s="53" t="s">
        <v>1328</v>
      </c>
      <c r="E85" s="53" t="s">
        <v>1329</v>
      </c>
      <c r="F85" s="53" t="s">
        <v>1330</v>
      </c>
      <c r="G85" s="53" t="s">
        <v>1047</v>
      </c>
      <c r="H85" s="53" t="s">
        <v>1331</v>
      </c>
      <c r="I85" s="53" t="s">
        <v>1332</v>
      </c>
      <c r="J85" s="53" t="s">
        <v>1333</v>
      </c>
      <c r="K85" s="56"/>
      <c r="L85" s="56"/>
      <c r="M85" s="56"/>
      <c r="N85" s="56"/>
      <c r="O85" s="56"/>
      <c r="P85" s="56"/>
      <c r="Q85" s="56"/>
      <c r="R85" s="56"/>
      <c r="S85" s="56"/>
      <c r="T85" s="56"/>
      <c r="U85" s="56"/>
      <c r="V85" s="56"/>
      <c r="W85" s="56"/>
      <c r="X85" s="56"/>
      <c r="Y85" s="56"/>
      <c r="Z85" s="56"/>
    </row>
    <row r="86">
      <c r="A86" s="53">
        <v>1287.0</v>
      </c>
      <c r="B86" s="53" t="s">
        <v>874</v>
      </c>
      <c r="C86" s="53" t="s">
        <v>753</v>
      </c>
      <c r="D86" s="53" t="s">
        <v>1334</v>
      </c>
      <c r="E86" s="56"/>
      <c r="F86" s="56"/>
      <c r="G86" s="56"/>
      <c r="H86" s="53" t="s">
        <v>1335</v>
      </c>
      <c r="I86" s="53" t="s">
        <v>1336</v>
      </c>
      <c r="J86" s="53" t="s">
        <v>1337</v>
      </c>
      <c r="K86" s="53" t="s">
        <v>1338</v>
      </c>
      <c r="L86" s="56"/>
      <c r="M86" s="56"/>
      <c r="N86" s="56"/>
      <c r="O86" s="56"/>
      <c r="P86" s="56"/>
      <c r="Q86" s="56"/>
      <c r="R86" s="56"/>
      <c r="S86" s="56"/>
      <c r="T86" s="56"/>
      <c r="U86" s="56"/>
      <c r="V86" s="56"/>
      <c r="W86" s="56"/>
      <c r="X86" s="56"/>
      <c r="Y86" s="56"/>
      <c r="Z86" s="56"/>
    </row>
    <row r="87">
      <c r="A87" s="50">
        <v>799.0</v>
      </c>
      <c r="B87" s="50" t="s">
        <v>1052</v>
      </c>
      <c r="C87" s="50" t="s">
        <v>759</v>
      </c>
      <c r="D87" s="50" t="s">
        <v>1339</v>
      </c>
      <c r="E87" s="51"/>
      <c r="F87" s="50" t="s">
        <v>1340</v>
      </c>
      <c r="G87" s="50" t="s">
        <v>1341</v>
      </c>
      <c r="H87" s="51"/>
      <c r="I87" s="50" t="s">
        <v>1342</v>
      </c>
      <c r="J87" s="50" t="s">
        <v>1343</v>
      </c>
      <c r="K87" s="51"/>
      <c r="L87" s="51"/>
      <c r="M87" s="51"/>
      <c r="N87" s="51"/>
      <c r="O87" s="51"/>
      <c r="P87" s="51"/>
      <c r="Q87" s="51"/>
      <c r="R87" s="51"/>
      <c r="S87" s="51"/>
      <c r="T87" s="51"/>
      <c r="U87" s="51"/>
      <c r="V87" s="51"/>
      <c r="W87" s="51"/>
      <c r="X87" s="51"/>
      <c r="Y87" s="51"/>
      <c r="Z87" s="51"/>
    </row>
    <row r="88">
      <c r="A88" s="50">
        <v>1078.0</v>
      </c>
      <c r="B88" s="50" t="s">
        <v>1052</v>
      </c>
      <c r="C88" s="50" t="s">
        <v>767</v>
      </c>
      <c r="D88" s="50" t="s">
        <v>1344</v>
      </c>
      <c r="E88" s="51"/>
      <c r="F88" s="51"/>
      <c r="G88" s="51"/>
      <c r="H88" s="51"/>
      <c r="I88" s="50" t="s">
        <v>1345</v>
      </c>
      <c r="J88" s="50" t="s">
        <v>1346</v>
      </c>
      <c r="K88" s="51"/>
      <c r="L88" s="51"/>
      <c r="M88" s="51"/>
      <c r="N88" s="51"/>
      <c r="O88" s="51"/>
      <c r="P88" s="51"/>
      <c r="Q88" s="51"/>
      <c r="R88" s="51"/>
      <c r="S88" s="51"/>
      <c r="T88" s="51"/>
      <c r="U88" s="51"/>
      <c r="V88" s="51"/>
      <c r="W88" s="51"/>
      <c r="X88" s="51"/>
      <c r="Y88" s="51"/>
      <c r="Z88" s="51"/>
    </row>
    <row r="89">
      <c r="A89" s="50">
        <v>1462.0</v>
      </c>
      <c r="B89" s="50" t="s">
        <v>1052</v>
      </c>
      <c r="C89" s="50" t="s">
        <v>769</v>
      </c>
      <c r="D89" s="51"/>
      <c r="E89" s="80" t="s">
        <v>1347</v>
      </c>
      <c r="F89" s="51"/>
      <c r="G89" s="80" t="s">
        <v>1348</v>
      </c>
      <c r="H89" s="51"/>
      <c r="I89" s="50" t="s">
        <v>1349</v>
      </c>
      <c r="J89" s="51"/>
      <c r="K89" s="51"/>
      <c r="L89" s="51"/>
      <c r="M89" s="51"/>
      <c r="N89" s="51"/>
      <c r="O89" s="51"/>
      <c r="P89" s="51"/>
      <c r="Q89" s="51"/>
      <c r="R89" s="51"/>
      <c r="S89" s="51"/>
      <c r="T89" s="51"/>
      <c r="U89" s="51"/>
      <c r="V89" s="51"/>
      <c r="W89" s="51"/>
      <c r="X89" s="51"/>
      <c r="Y89" s="51"/>
      <c r="Z89" s="51"/>
    </row>
    <row r="90">
      <c r="A90" s="50">
        <v>1024.0</v>
      </c>
      <c r="B90" s="50" t="s">
        <v>1052</v>
      </c>
      <c r="C90" s="50" t="s">
        <v>773</v>
      </c>
      <c r="D90" s="51"/>
      <c r="E90" s="51"/>
      <c r="F90" s="51"/>
      <c r="G90" s="80" t="s">
        <v>1350</v>
      </c>
      <c r="H90" s="51"/>
      <c r="I90" s="50" t="s">
        <v>1351</v>
      </c>
      <c r="J90" s="50" t="s">
        <v>1352</v>
      </c>
      <c r="K90" s="51"/>
      <c r="L90" s="51"/>
      <c r="M90" s="51"/>
      <c r="N90" s="51"/>
      <c r="O90" s="51"/>
      <c r="P90" s="51"/>
      <c r="Q90" s="51"/>
      <c r="R90" s="51"/>
      <c r="S90" s="51"/>
      <c r="T90" s="51"/>
      <c r="U90" s="51"/>
      <c r="V90" s="51"/>
      <c r="W90" s="51"/>
      <c r="X90" s="51"/>
      <c r="Y90" s="51"/>
      <c r="Z90" s="51"/>
    </row>
    <row r="91">
      <c r="A91" s="50">
        <v>599.0</v>
      </c>
      <c r="B91" s="50" t="s">
        <v>1052</v>
      </c>
      <c r="C91" s="50" t="s">
        <v>775</v>
      </c>
      <c r="D91" s="51"/>
      <c r="E91" s="51"/>
      <c r="F91" s="51"/>
      <c r="G91" s="80" t="s">
        <v>1353</v>
      </c>
      <c r="H91" s="51"/>
      <c r="I91" s="50" t="s">
        <v>1354</v>
      </c>
      <c r="J91" s="50" t="s">
        <v>1355</v>
      </c>
      <c r="K91" s="51"/>
      <c r="L91" s="51"/>
      <c r="M91" s="51"/>
      <c r="N91" s="51"/>
      <c r="O91" s="51"/>
      <c r="P91" s="51"/>
      <c r="Q91" s="51"/>
      <c r="R91" s="51"/>
      <c r="S91" s="51"/>
      <c r="T91" s="51"/>
      <c r="U91" s="51"/>
      <c r="V91" s="51"/>
      <c r="W91" s="51"/>
      <c r="X91" s="51"/>
      <c r="Y91" s="51"/>
      <c r="Z91" s="51"/>
    </row>
    <row r="92">
      <c r="A92" s="50">
        <v>550.0</v>
      </c>
      <c r="B92" s="50" t="s">
        <v>1052</v>
      </c>
      <c r="C92" s="50" t="s">
        <v>777</v>
      </c>
      <c r="D92" s="51"/>
      <c r="E92" s="80" t="s">
        <v>1356</v>
      </c>
      <c r="F92" s="51"/>
      <c r="G92" s="51"/>
      <c r="H92" s="51"/>
      <c r="I92" s="50" t="s">
        <v>1357</v>
      </c>
      <c r="J92" s="50" t="s">
        <v>1358</v>
      </c>
      <c r="K92" s="51"/>
      <c r="L92" s="51"/>
      <c r="M92" s="51"/>
      <c r="N92" s="51"/>
      <c r="O92" s="51"/>
      <c r="P92" s="51"/>
      <c r="Q92" s="51"/>
      <c r="R92" s="51"/>
      <c r="S92" s="51"/>
      <c r="T92" s="51"/>
      <c r="U92" s="51"/>
      <c r="V92" s="51"/>
      <c r="W92" s="51"/>
      <c r="X92" s="51"/>
      <c r="Y92" s="51"/>
      <c r="Z92" s="51"/>
    </row>
    <row r="93">
      <c r="A93" s="53">
        <v>435.0</v>
      </c>
      <c r="B93" s="53" t="s">
        <v>1052</v>
      </c>
      <c r="C93" s="53" t="s">
        <v>781</v>
      </c>
      <c r="D93" s="56"/>
      <c r="E93" s="53" t="s">
        <v>1359</v>
      </c>
      <c r="F93" s="53" t="s">
        <v>1360</v>
      </c>
      <c r="G93" s="53" t="s">
        <v>1361</v>
      </c>
      <c r="H93" s="56"/>
      <c r="I93" s="53" t="s">
        <v>1362</v>
      </c>
      <c r="J93" s="53" t="s">
        <v>1363</v>
      </c>
      <c r="K93" s="56"/>
      <c r="L93" s="56"/>
      <c r="M93" s="56"/>
      <c r="N93" s="56"/>
      <c r="O93" s="56"/>
      <c r="P93" s="56"/>
      <c r="Q93" s="56"/>
      <c r="R93" s="56"/>
      <c r="S93" s="56"/>
      <c r="T93" s="56"/>
      <c r="U93" s="56"/>
      <c r="V93" s="56"/>
      <c r="W93" s="56"/>
      <c r="X93" s="56"/>
      <c r="Y93" s="56"/>
      <c r="Z93" s="56"/>
    </row>
    <row r="94">
      <c r="A94" s="50">
        <v>1206.0</v>
      </c>
      <c r="B94" s="50" t="s">
        <v>1052</v>
      </c>
      <c r="C94" s="81" t="s">
        <v>785</v>
      </c>
      <c r="D94" s="51"/>
      <c r="E94" s="80" t="s">
        <v>1364</v>
      </c>
      <c r="F94" s="51"/>
      <c r="G94" s="80" t="s">
        <v>1365</v>
      </c>
      <c r="H94" s="51"/>
      <c r="I94" s="50" t="s">
        <v>1366</v>
      </c>
      <c r="J94" s="50" t="s">
        <v>1367</v>
      </c>
      <c r="K94" s="51"/>
      <c r="L94" s="51"/>
      <c r="M94" s="51"/>
      <c r="N94" s="51"/>
      <c r="O94" s="51"/>
      <c r="P94" s="51"/>
      <c r="Q94" s="51"/>
      <c r="R94" s="51"/>
      <c r="S94" s="51"/>
      <c r="T94" s="51"/>
      <c r="U94" s="51"/>
      <c r="V94" s="51"/>
      <c r="W94" s="51"/>
      <c r="X94" s="51"/>
      <c r="Y94" s="51"/>
      <c r="Z94" s="51"/>
    </row>
    <row r="95">
      <c r="A95" s="50">
        <v>1193.0</v>
      </c>
      <c r="B95" s="50" t="s">
        <v>1052</v>
      </c>
      <c r="C95" s="81" t="s">
        <v>788</v>
      </c>
      <c r="D95" s="51"/>
      <c r="E95" s="51"/>
      <c r="F95" s="51"/>
      <c r="G95" s="50" t="s">
        <v>1368</v>
      </c>
      <c r="H95" s="51"/>
      <c r="I95" s="50" t="s">
        <v>1369</v>
      </c>
      <c r="J95" s="50" t="s">
        <v>1370</v>
      </c>
      <c r="K95" s="51"/>
      <c r="L95" s="51"/>
      <c r="M95" s="51"/>
      <c r="N95" s="51"/>
      <c r="O95" s="51"/>
      <c r="P95" s="51"/>
      <c r="Q95" s="51"/>
      <c r="R95" s="51"/>
      <c r="S95" s="51"/>
      <c r="T95" s="51"/>
      <c r="U95" s="51"/>
      <c r="V95" s="51"/>
      <c r="W95" s="51"/>
      <c r="X95" s="51"/>
      <c r="Y95" s="51"/>
      <c r="Z95" s="51"/>
    </row>
    <row r="96">
      <c r="A96" s="53">
        <v>489.0</v>
      </c>
      <c r="B96" s="53" t="s">
        <v>1052</v>
      </c>
      <c r="C96" s="53" t="s">
        <v>790</v>
      </c>
      <c r="D96" s="53"/>
      <c r="E96" s="56"/>
      <c r="F96" s="53" t="s">
        <v>1371</v>
      </c>
      <c r="G96" s="53" t="s">
        <v>1372</v>
      </c>
      <c r="H96" s="56"/>
      <c r="I96" s="53" t="s">
        <v>1373</v>
      </c>
      <c r="J96" s="76" t="s">
        <v>1374</v>
      </c>
      <c r="K96" s="56"/>
      <c r="L96" s="56"/>
      <c r="M96" s="56"/>
      <c r="N96" s="56"/>
      <c r="O96" s="56"/>
      <c r="P96" s="56"/>
      <c r="Q96" s="56"/>
      <c r="R96" s="56"/>
      <c r="S96" s="56"/>
      <c r="T96" s="56"/>
      <c r="U96" s="56"/>
      <c r="V96" s="56"/>
      <c r="W96" s="56"/>
      <c r="X96" s="56"/>
      <c r="Y96" s="56"/>
      <c r="Z96" s="56"/>
    </row>
    <row r="97">
      <c r="A97" s="53">
        <v>266.0</v>
      </c>
      <c r="B97" s="53" t="s">
        <v>1052</v>
      </c>
      <c r="C97" s="53" t="s">
        <v>802</v>
      </c>
      <c r="D97" s="56"/>
      <c r="E97" s="56"/>
      <c r="F97" s="56"/>
      <c r="G97" s="76" t="s">
        <v>1375</v>
      </c>
      <c r="H97" s="56"/>
      <c r="I97" s="53" t="s">
        <v>1376</v>
      </c>
      <c r="J97" s="53" t="s">
        <v>1377</v>
      </c>
      <c r="K97" s="56"/>
      <c r="L97" s="56"/>
      <c r="M97" s="56"/>
      <c r="N97" s="56"/>
      <c r="O97" s="56"/>
      <c r="P97" s="56"/>
      <c r="Q97" s="56"/>
      <c r="R97" s="56"/>
      <c r="S97" s="56"/>
      <c r="T97" s="56"/>
      <c r="U97" s="56"/>
      <c r="V97" s="56"/>
      <c r="W97" s="56"/>
      <c r="X97" s="56"/>
      <c r="Y97" s="56"/>
      <c r="Z97" s="56"/>
    </row>
    <row r="98">
      <c r="A98" s="53">
        <v>789.0</v>
      </c>
      <c r="B98" s="53" t="s">
        <v>1305</v>
      </c>
      <c r="C98" s="53" t="s">
        <v>805</v>
      </c>
      <c r="D98" s="56"/>
      <c r="E98" s="53" t="s">
        <v>1378</v>
      </c>
      <c r="F98" s="53" t="s">
        <v>1379</v>
      </c>
      <c r="G98" s="53" t="s">
        <v>1380</v>
      </c>
      <c r="H98" s="53" t="s">
        <v>1381</v>
      </c>
      <c r="I98" s="53" t="s">
        <v>1382</v>
      </c>
      <c r="J98" s="53" t="s">
        <v>1383</v>
      </c>
      <c r="K98" s="56"/>
      <c r="L98" s="56"/>
      <c r="M98" s="56"/>
      <c r="N98" s="56"/>
      <c r="O98" s="56"/>
      <c r="P98" s="56"/>
      <c r="Q98" s="56"/>
      <c r="R98" s="56"/>
      <c r="S98" s="56"/>
      <c r="T98" s="56"/>
      <c r="U98" s="56"/>
      <c r="V98" s="56"/>
      <c r="W98" s="56"/>
      <c r="X98" s="56"/>
      <c r="Y98" s="56"/>
      <c r="Z98" s="56"/>
    </row>
    <row r="99">
      <c r="A99" s="50">
        <v>1334.0</v>
      </c>
      <c r="B99" s="50" t="s">
        <v>1052</v>
      </c>
      <c r="C99" s="50" t="s">
        <v>814</v>
      </c>
      <c r="D99" s="51"/>
      <c r="E99" s="50" t="s">
        <v>1384</v>
      </c>
      <c r="F99" s="50" t="s">
        <v>1385</v>
      </c>
      <c r="G99" s="51"/>
      <c r="H99" s="51"/>
      <c r="I99" s="50" t="s">
        <v>1386</v>
      </c>
      <c r="J99" s="50" t="s">
        <v>1387</v>
      </c>
      <c r="K99" s="51"/>
      <c r="L99" s="51"/>
      <c r="M99" s="51"/>
      <c r="N99" s="51"/>
      <c r="O99" s="51"/>
      <c r="P99" s="51"/>
      <c r="Q99" s="51"/>
      <c r="R99" s="51"/>
      <c r="S99" s="51"/>
      <c r="T99" s="51"/>
      <c r="U99" s="51"/>
      <c r="V99" s="51"/>
      <c r="W99" s="51"/>
      <c r="X99" s="51"/>
      <c r="Y99" s="51"/>
      <c r="Z99" s="51"/>
    </row>
    <row r="100">
      <c r="A100" s="53">
        <v>217.0</v>
      </c>
      <c r="B100" s="53" t="s">
        <v>1305</v>
      </c>
      <c r="C100" s="78" t="s">
        <v>824</v>
      </c>
      <c r="D100" s="56"/>
      <c r="E100" s="56"/>
      <c r="F100" s="56"/>
      <c r="G100" s="76" t="s">
        <v>1388</v>
      </c>
      <c r="H100" s="56"/>
      <c r="I100" s="53" t="s">
        <v>1389</v>
      </c>
      <c r="J100" s="53" t="s">
        <v>1390</v>
      </c>
      <c r="K100" s="56"/>
      <c r="L100" s="56"/>
      <c r="M100" s="56"/>
      <c r="N100" s="56"/>
      <c r="O100" s="56"/>
      <c r="P100" s="56"/>
      <c r="Q100" s="56"/>
      <c r="R100" s="56"/>
      <c r="S100" s="56"/>
      <c r="T100" s="56"/>
      <c r="U100" s="56"/>
      <c r="V100" s="56"/>
      <c r="W100" s="56"/>
      <c r="X100" s="56"/>
      <c r="Y100" s="56"/>
      <c r="Z100" s="56"/>
    </row>
    <row r="101">
      <c r="A101" s="50">
        <v>1141.0</v>
      </c>
      <c r="B101" s="50" t="s">
        <v>1052</v>
      </c>
      <c r="C101" s="50" t="s">
        <v>830</v>
      </c>
      <c r="D101" s="51"/>
      <c r="E101" s="50" t="s">
        <v>1391</v>
      </c>
      <c r="F101" s="51"/>
      <c r="G101" s="50" t="s">
        <v>1392</v>
      </c>
      <c r="H101" s="51"/>
      <c r="I101" s="50" t="s">
        <v>1393</v>
      </c>
      <c r="J101" s="50" t="s">
        <v>1394</v>
      </c>
      <c r="K101" s="51"/>
      <c r="L101" s="51"/>
      <c r="M101" s="51"/>
      <c r="N101" s="51"/>
      <c r="O101" s="51"/>
      <c r="P101" s="51"/>
      <c r="Q101" s="51"/>
      <c r="R101" s="51"/>
      <c r="S101" s="51"/>
      <c r="T101" s="51"/>
      <c r="U101" s="51"/>
      <c r="V101" s="51"/>
      <c r="W101" s="51"/>
      <c r="X101" s="51"/>
      <c r="Y101" s="51"/>
      <c r="Z101" s="51"/>
    </row>
    <row r="102">
      <c r="A102" s="50">
        <v>633.0</v>
      </c>
      <c r="B102" s="50" t="s">
        <v>1052</v>
      </c>
      <c r="C102" s="50" t="s">
        <v>832</v>
      </c>
      <c r="D102" s="51"/>
      <c r="E102" s="50" t="s">
        <v>1395</v>
      </c>
      <c r="F102" s="51"/>
      <c r="G102" s="51"/>
      <c r="H102" s="51"/>
      <c r="I102" s="80" t="s">
        <v>1396</v>
      </c>
      <c r="J102" s="50" t="s">
        <v>1397</v>
      </c>
      <c r="K102" s="51"/>
      <c r="L102" s="51"/>
      <c r="M102" s="51"/>
      <c r="N102" s="51"/>
      <c r="O102" s="51"/>
      <c r="P102" s="51"/>
      <c r="Q102" s="51"/>
      <c r="R102" s="51"/>
      <c r="S102" s="51"/>
      <c r="T102" s="51"/>
      <c r="U102" s="51"/>
      <c r="V102" s="51"/>
      <c r="W102" s="51"/>
      <c r="X102" s="51"/>
      <c r="Y102" s="51"/>
      <c r="Z102" s="51"/>
    </row>
    <row r="103">
      <c r="A103" s="50">
        <v>1491.0</v>
      </c>
      <c r="B103" s="50" t="s">
        <v>1052</v>
      </c>
      <c r="C103" s="50" t="s">
        <v>837</v>
      </c>
      <c r="D103" s="51"/>
      <c r="E103" s="51"/>
      <c r="F103" s="51"/>
      <c r="G103" s="80" t="s">
        <v>1398</v>
      </c>
      <c r="H103" s="51"/>
      <c r="I103" s="50" t="s">
        <v>1399</v>
      </c>
      <c r="J103" s="50" t="s">
        <v>1400</v>
      </c>
      <c r="K103" s="51"/>
      <c r="L103" s="51"/>
      <c r="M103" s="51"/>
      <c r="N103" s="51"/>
      <c r="O103" s="51"/>
      <c r="P103" s="51"/>
      <c r="Q103" s="51"/>
      <c r="R103" s="51"/>
      <c r="S103" s="51"/>
      <c r="T103" s="51"/>
      <c r="U103" s="51"/>
      <c r="V103" s="51"/>
      <c r="W103" s="51"/>
      <c r="X103" s="51"/>
      <c r="Y103" s="51"/>
      <c r="Z103" s="51"/>
    </row>
    <row r="104">
      <c r="A104" s="50">
        <v>912.0</v>
      </c>
      <c r="B104" s="50" t="s">
        <v>1052</v>
      </c>
      <c r="C104" s="50" t="s">
        <v>574</v>
      </c>
      <c r="D104" s="51"/>
      <c r="E104" s="51"/>
      <c r="F104" s="51"/>
      <c r="G104" s="51"/>
      <c r="H104" s="51"/>
      <c r="I104" s="50" t="s">
        <v>1401</v>
      </c>
      <c r="J104" s="50" t="s">
        <v>1402</v>
      </c>
      <c r="K104" s="51"/>
      <c r="L104" s="51"/>
      <c r="M104" s="51"/>
      <c r="N104" s="51"/>
      <c r="O104" s="51"/>
      <c r="P104" s="51"/>
      <c r="Q104" s="51"/>
      <c r="R104" s="51"/>
      <c r="S104" s="51"/>
      <c r="T104" s="51"/>
      <c r="U104" s="51"/>
      <c r="V104" s="51"/>
      <c r="W104" s="51"/>
      <c r="X104" s="51"/>
      <c r="Y104" s="51"/>
      <c r="Z104" s="51"/>
    </row>
    <row r="105">
      <c r="A105" s="50">
        <v>914.0</v>
      </c>
      <c r="B105" s="50" t="s">
        <v>1052</v>
      </c>
      <c r="C105" s="50" t="s">
        <v>767</v>
      </c>
      <c r="D105" s="50" t="s">
        <v>1403</v>
      </c>
      <c r="E105" s="51"/>
      <c r="F105" s="51"/>
      <c r="G105" s="50" t="s">
        <v>1404</v>
      </c>
      <c r="H105" s="51"/>
      <c r="I105" s="50" t="s">
        <v>1405</v>
      </c>
      <c r="J105" s="50" t="s">
        <v>1406</v>
      </c>
      <c r="K105" s="51"/>
      <c r="L105" s="51"/>
      <c r="M105" s="51"/>
      <c r="N105" s="51"/>
      <c r="O105" s="51"/>
      <c r="P105" s="51"/>
      <c r="Q105" s="51"/>
      <c r="R105" s="51"/>
      <c r="S105" s="51"/>
      <c r="T105" s="51"/>
      <c r="U105" s="51"/>
      <c r="V105" s="51"/>
      <c r="W105" s="51"/>
      <c r="X105" s="51"/>
      <c r="Y105" s="51"/>
      <c r="Z105" s="51"/>
    </row>
    <row r="106">
      <c r="A106" s="53">
        <v>1470.0</v>
      </c>
      <c r="B106" s="53" t="s">
        <v>874</v>
      </c>
      <c r="C106" s="53" t="s">
        <v>846</v>
      </c>
      <c r="D106" s="53" t="s">
        <v>1407</v>
      </c>
      <c r="E106" s="53" t="s">
        <v>1408</v>
      </c>
      <c r="F106" s="53" t="s">
        <v>1409</v>
      </c>
      <c r="G106" s="53" t="s">
        <v>1410</v>
      </c>
      <c r="H106" s="82" t="s">
        <v>1411</v>
      </c>
      <c r="I106" s="53" t="s">
        <v>1412</v>
      </c>
      <c r="J106" s="53" t="s">
        <v>1413</v>
      </c>
      <c r="K106" s="56"/>
      <c r="L106" s="56"/>
      <c r="M106" s="56"/>
      <c r="N106" s="56"/>
      <c r="O106" s="56"/>
      <c r="P106" s="56"/>
      <c r="Q106" s="56"/>
      <c r="R106" s="56"/>
      <c r="S106" s="56"/>
      <c r="T106" s="56"/>
      <c r="U106" s="56"/>
      <c r="V106" s="56"/>
      <c r="W106" s="56"/>
      <c r="X106" s="56"/>
      <c r="Y106" s="56"/>
      <c r="Z106" s="56"/>
    </row>
    <row r="107">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sheetData>
  <mergeCells count="3">
    <mergeCell ref="G54:H54"/>
    <mergeCell ref="D55:E55"/>
    <mergeCell ref="D56:H56"/>
  </mergeCells>
  <hyperlinks>
    <hyperlink r:id="rId1" location="pone-0104598-t002" ref="G5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35.43"/>
  </cols>
  <sheetData>
    <row r="1">
      <c r="A1" s="83" t="s">
        <v>0</v>
      </c>
      <c r="B1" s="84" t="s">
        <v>1414</v>
      </c>
      <c r="C1" s="84" t="s">
        <v>1415</v>
      </c>
      <c r="D1" s="84" t="s">
        <v>1416</v>
      </c>
      <c r="E1" s="84" t="s">
        <v>1417</v>
      </c>
      <c r="F1" s="84" t="s">
        <v>1418</v>
      </c>
      <c r="G1" s="84" t="s">
        <v>1419</v>
      </c>
      <c r="H1" s="84" t="s">
        <v>1420</v>
      </c>
      <c r="I1" s="84" t="s">
        <v>1421</v>
      </c>
      <c r="J1" s="84" t="s">
        <v>1422</v>
      </c>
      <c r="K1" s="84" t="s">
        <v>1423</v>
      </c>
      <c r="L1" s="85"/>
      <c r="M1" s="85"/>
      <c r="N1" s="85"/>
      <c r="O1" s="85"/>
      <c r="P1" s="85"/>
      <c r="Q1" s="85"/>
      <c r="R1" s="85"/>
      <c r="S1" s="85"/>
      <c r="T1" s="85"/>
      <c r="U1" s="85"/>
      <c r="V1" s="85"/>
      <c r="W1" s="85"/>
      <c r="X1" s="85"/>
      <c r="Y1" s="85"/>
      <c r="Z1" s="85"/>
    </row>
    <row r="2">
      <c r="A2" s="80">
        <v>840.0</v>
      </c>
      <c r="B2" s="80" t="s">
        <v>1424</v>
      </c>
      <c r="C2" s="80" t="s">
        <v>1425</v>
      </c>
      <c r="D2" s="80" t="s">
        <v>1425</v>
      </c>
      <c r="E2" s="80" t="s">
        <v>1426</v>
      </c>
      <c r="F2" s="80" t="s">
        <v>1425</v>
      </c>
      <c r="G2" s="80" t="s">
        <v>1427</v>
      </c>
      <c r="H2" s="80" t="s">
        <v>1428</v>
      </c>
      <c r="I2" s="80" t="s">
        <v>1429</v>
      </c>
      <c r="J2" s="80" t="s">
        <v>1430</v>
      </c>
      <c r="K2" s="80" t="s">
        <v>1431</v>
      </c>
      <c r="L2" s="86"/>
      <c r="M2" s="86"/>
      <c r="N2" s="86"/>
      <c r="O2" s="86"/>
      <c r="P2" s="86"/>
      <c r="Q2" s="86"/>
      <c r="R2" s="86"/>
      <c r="S2" s="86"/>
      <c r="T2" s="86"/>
      <c r="U2" s="86"/>
      <c r="V2" s="86"/>
      <c r="W2" s="86"/>
      <c r="X2" s="86"/>
      <c r="Y2" s="86"/>
      <c r="Z2" s="86"/>
    </row>
    <row r="3">
      <c r="A3" s="80">
        <v>1065.0</v>
      </c>
      <c r="B3" s="80" t="s">
        <v>1432</v>
      </c>
      <c r="C3" s="80" t="s">
        <v>1425</v>
      </c>
      <c r="D3" s="80" t="s">
        <v>1425</v>
      </c>
      <c r="E3" s="80" t="s">
        <v>1433</v>
      </c>
      <c r="F3" s="80" t="s">
        <v>1425</v>
      </c>
      <c r="G3" s="80" t="s">
        <v>1434</v>
      </c>
      <c r="H3" s="80" t="s">
        <v>1435</v>
      </c>
      <c r="I3" s="80" t="s">
        <v>1436</v>
      </c>
      <c r="J3" s="80" t="s">
        <v>1437</v>
      </c>
      <c r="K3" s="80" t="s">
        <v>1438</v>
      </c>
      <c r="L3" s="86"/>
      <c r="M3" s="86"/>
      <c r="N3" s="86"/>
      <c r="O3" s="86"/>
      <c r="P3" s="86"/>
      <c r="Q3" s="86"/>
      <c r="R3" s="86"/>
      <c r="S3" s="86"/>
      <c r="T3" s="86"/>
      <c r="U3" s="86"/>
      <c r="V3" s="86"/>
      <c r="W3" s="86"/>
      <c r="X3" s="86"/>
      <c r="Y3" s="86"/>
      <c r="Z3" s="86"/>
    </row>
    <row r="4">
      <c r="A4" s="76">
        <v>767.0</v>
      </c>
      <c r="B4" s="87" t="s">
        <v>1439</v>
      </c>
      <c r="C4" s="76" t="s">
        <v>1425</v>
      </c>
      <c r="D4" s="76" t="s">
        <v>1425</v>
      </c>
      <c r="E4" s="76" t="s">
        <v>280</v>
      </c>
      <c r="F4" s="76" t="s">
        <v>1425</v>
      </c>
      <c r="G4" s="76" t="s">
        <v>1434</v>
      </c>
      <c r="H4" s="76" t="s">
        <v>1435</v>
      </c>
      <c r="I4" s="76" t="s">
        <v>1425</v>
      </c>
      <c r="J4" s="76" t="s">
        <v>1440</v>
      </c>
      <c r="K4" s="76" t="s">
        <v>1441</v>
      </c>
      <c r="L4" s="88"/>
      <c r="M4" s="88"/>
      <c r="N4" s="88"/>
      <c r="O4" s="88"/>
      <c r="P4" s="88"/>
      <c r="Q4" s="88"/>
      <c r="R4" s="88"/>
      <c r="S4" s="88"/>
      <c r="T4" s="88"/>
      <c r="U4" s="88"/>
      <c r="V4" s="88"/>
      <c r="W4" s="88"/>
      <c r="X4" s="88"/>
      <c r="Y4" s="88"/>
      <c r="Z4" s="88"/>
    </row>
    <row r="5">
      <c r="A5" s="76">
        <v>797.0</v>
      </c>
      <c r="B5" s="76" t="s">
        <v>1442</v>
      </c>
      <c r="C5" s="76" t="s">
        <v>1425</v>
      </c>
      <c r="D5" s="76" t="s">
        <v>1425</v>
      </c>
      <c r="E5" s="76" t="s">
        <v>280</v>
      </c>
      <c r="F5" s="76" t="s">
        <v>1425</v>
      </c>
      <c r="G5" s="76" t="s">
        <v>1434</v>
      </c>
      <c r="H5" s="76" t="s">
        <v>1443</v>
      </c>
      <c r="I5" s="76" t="s">
        <v>1425</v>
      </c>
      <c r="J5" s="76" t="s">
        <v>1425</v>
      </c>
      <c r="K5" s="76" t="s">
        <v>1444</v>
      </c>
      <c r="L5" s="88"/>
      <c r="M5" s="88"/>
      <c r="N5" s="88"/>
      <c r="O5" s="88"/>
      <c r="P5" s="88"/>
      <c r="Q5" s="88"/>
      <c r="R5" s="88"/>
      <c r="S5" s="88"/>
      <c r="T5" s="88"/>
      <c r="U5" s="88"/>
      <c r="V5" s="88"/>
      <c r="W5" s="88"/>
      <c r="X5" s="88"/>
      <c r="Y5" s="88"/>
      <c r="Z5" s="88"/>
    </row>
    <row r="6">
      <c r="A6" s="80">
        <v>1269.0</v>
      </c>
      <c r="B6" s="80" t="s">
        <v>1445</v>
      </c>
      <c r="C6" s="80" t="s">
        <v>1425</v>
      </c>
      <c r="D6" s="80" t="s">
        <v>1446</v>
      </c>
      <c r="E6" s="80" t="s">
        <v>280</v>
      </c>
      <c r="F6" s="80" t="s">
        <v>1425</v>
      </c>
      <c r="G6" s="80" t="s">
        <v>1427</v>
      </c>
      <c r="H6" s="80" t="s">
        <v>1447</v>
      </c>
      <c r="I6" s="80" t="s">
        <v>1448</v>
      </c>
      <c r="J6" s="80" t="s">
        <v>1449</v>
      </c>
      <c r="K6" s="80" t="s">
        <v>1450</v>
      </c>
      <c r="L6" s="86"/>
      <c r="M6" s="86"/>
      <c r="N6" s="86"/>
      <c r="O6" s="86"/>
      <c r="P6" s="86"/>
      <c r="Q6" s="86"/>
      <c r="R6" s="86"/>
      <c r="S6" s="86"/>
      <c r="T6" s="86"/>
      <c r="U6" s="86"/>
      <c r="V6" s="86"/>
      <c r="W6" s="86"/>
      <c r="X6" s="86"/>
      <c r="Y6" s="86"/>
      <c r="Z6" s="86"/>
    </row>
    <row r="7">
      <c r="A7" s="80">
        <v>1128.0</v>
      </c>
      <c r="B7" s="80" t="s">
        <v>1451</v>
      </c>
      <c r="C7" s="80" t="s">
        <v>1425</v>
      </c>
      <c r="D7" s="80" t="s">
        <v>1425</v>
      </c>
      <c r="E7" s="80" t="s">
        <v>280</v>
      </c>
      <c r="F7" s="80" t="s">
        <v>1425</v>
      </c>
      <c r="G7" s="80" t="s">
        <v>1434</v>
      </c>
      <c r="H7" s="80" t="s">
        <v>1452</v>
      </c>
      <c r="I7" s="80" t="s">
        <v>1425</v>
      </c>
      <c r="J7" s="80" t="s">
        <v>1425</v>
      </c>
      <c r="K7" s="80" t="s">
        <v>1453</v>
      </c>
      <c r="L7" s="86"/>
      <c r="M7" s="86"/>
      <c r="N7" s="86"/>
      <c r="O7" s="86"/>
      <c r="P7" s="86"/>
      <c r="Q7" s="86"/>
      <c r="R7" s="86"/>
      <c r="S7" s="86"/>
      <c r="T7" s="86"/>
      <c r="U7" s="86"/>
      <c r="V7" s="86"/>
      <c r="W7" s="86"/>
      <c r="X7" s="86"/>
      <c r="Y7" s="86"/>
      <c r="Z7" s="86"/>
    </row>
    <row r="8">
      <c r="A8" s="80">
        <v>847.0</v>
      </c>
      <c r="B8" s="80" t="s">
        <v>1454</v>
      </c>
      <c r="C8" s="80" t="s">
        <v>1425</v>
      </c>
      <c r="D8" s="80" t="s">
        <v>1425</v>
      </c>
      <c r="E8" s="80" t="s">
        <v>280</v>
      </c>
      <c r="F8" s="80" t="s">
        <v>1425</v>
      </c>
      <c r="G8" s="80" t="s">
        <v>280</v>
      </c>
      <c r="H8" s="80" t="s">
        <v>1455</v>
      </c>
      <c r="I8" s="80" t="s">
        <v>1425</v>
      </c>
      <c r="J8" s="80" t="s">
        <v>1425</v>
      </c>
      <c r="K8" s="80" t="s">
        <v>1456</v>
      </c>
      <c r="L8" s="86"/>
      <c r="M8" s="86"/>
      <c r="N8" s="86"/>
      <c r="O8" s="86"/>
      <c r="P8" s="86"/>
      <c r="Q8" s="86"/>
      <c r="R8" s="86"/>
      <c r="S8" s="86"/>
      <c r="T8" s="86"/>
      <c r="U8" s="86"/>
      <c r="V8" s="86"/>
      <c r="W8" s="86"/>
      <c r="X8" s="86"/>
      <c r="Y8" s="86"/>
      <c r="Z8" s="86"/>
    </row>
    <row r="9">
      <c r="A9" s="76">
        <v>286.0</v>
      </c>
      <c r="B9" s="76" t="s">
        <v>1425</v>
      </c>
      <c r="C9" s="76" t="s">
        <v>1425</v>
      </c>
      <c r="D9" s="76" t="s">
        <v>1425</v>
      </c>
      <c r="E9" s="76" t="s">
        <v>1425</v>
      </c>
      <c r="F9" s="76" t="s">
        <v>1425</v>
      </c>
      <c r="G9" s="76" t="s">
        <v>1457</v>
      </c>
      <c r="H9" s="76" t="s">
        <v>1425</v>
      </c>
      <c r="I9" s="76" t="s">
        <v>1425</v>
      </c>
      <c r="J9" s="76" t="s">
        <v>1458</v>
      </c>
      <c r="K9" s="76" t="s">
        <v>1459</v>
      </c>
      <c r="L9" s="88"/>
      <c r="M9" s="88"/>
      <c r="N9" s="88"/>
      <c r="O9" s="88"/>
      <c r="P9" s="88"/>
      <c r="Q9" s="88"/>
      <c r="R9" s="88"/>
      <c r="S9" s="88"/>
      <c r="T9" s="88"/>
      <c r="U9" s="88"/>
      <c r="V9" s="88"/>
      <c r="W9" s="88"/>
      <c r="X9" s="88"/>
      <c r="Y9" s="88"/>
      <c r="Z9" s="88"/>
    </row>
    <row r="10">
      <c r="A10" s="80">
        <v>929.0</v>
      </c>
      <c r="B10" s="80" t="s">
        <v>1425</v>
      </c>
      <c r="C10" s="80" t="s">
        <v>1425</v>
      </c>
      <c r="D10" s="80" t="s">
        <v>1425</v>
      </c>
      <c r="E10" s="80" t="s">
        <v>280</v>
      </c>
      <c r="F10" s="80" t="s">
        <v>1425</v>
      </c>
      <c r="G10" s="80" t="s">
        <v>1434</v>
      </c>
      <c r="H10" s="80" t="s">
        <v>1435</v>
      </c>
      <c r="I10" s="80" t="s">
        <v>1425</v>
      </c>
      <c r="J10" s="80" t="s">
        <v>1425</v>
      </c>
      <c r="K10" s="80" t="s">
        <v>1460</v>
      </c>
      <c r="L10" s="86"/>
      <c r="M10" s="86"/>
      <c r="N10" s="86"/>
      <c r="O10" s="86"/>
      <c r="P10" s="86"/>
      <c r="Q10" s="86"/>
      <c r="R10" s="86"/>
      <c r="S10" s="86"/>
      <c r="T10" s="86"/>
      <c r="U10" s="86"/>
      <c r="V10" s="86"/>
      <c r="W10" s="86"/>
      <c r="X10" s="86"/>
      <c r="Y10" s="86"/>
      <c r="Z10" s="86"/>
    </row>
    <row r="11">
      <c r="A11" s="80">
        <v>953.0</v>
      </c>
      <c r="B11" s="80" t="s">
        <v>1425</v>
      </c>
      <c r="C11" s="80" t="s">
        <v>1425</v>
      </c>
      <c r="D11" s="80" t="s">
        <v>1425</v>
      </c>
      <c r="E11" s="80" t="s">
        <v>280</v>
      </c>
      <c r="F11" s="80" t="s">
        <v>1425</v>
      </c>
      <c r="G11" s="80" t="s">
        <v>1434</v>
      </c>
      <c r="H11" s="80" t="s">
        <v>1435</v>
      </c>
      <c r="I11" s="80" t="s">
        <v>1425</v>
      </c>
      <c r="J11" s="80" t="s">
        <v>1425</v>
      </c>
      <c r="K11" s="80" t="s">
        <v>1461</v>
      </c>
      <c r="L11" s="86"/>
      <c r="M11" s="86"/>
      <c r="N11" s="86"/>
      <c r="O11" s="86"/>
      <c r="P11" s="86"/>
      <c r="Q11" s="86"/>
      <c r="R11" s="86"/>
      <c r="S11" s="86"/>
      <c r="T11" s="86"/>
      <c r="U11" s="86"/>
      <c r="V11" s="86"/>
      <c r="W11" s="86"/>
      <c r="X11" s="86"/>
      <c r="Y11" s="86"/>
      <c r="Z11" s="86"/>
    </row>
    <row r="12">
      <c r="A12" s="89">
        <v>967.0</v>
      </c>
      <c r="B12" s="80" t="s">
        <v>1425</v>
      </c>
      <c r="C12" s="80" t="s">
        <v>1425</v>
      </c>
      <c r="D12" s="80" t="s">
        <v>1425</v>
      </c>
      <c r="E12" s="80" t="s">
        <v>280</v>
      </c>
      <c r="F12" s="80" t="s">
        <v>1425</v>
      </c>
      <c r="G12" s="80" t="s">
        <v>280</v>
      </c>
      <c r="H12" s="80" t="s">
        <v>1462</v>
      </c>
      <c r="I12" s="80" t="s">
        <v>1463</v>
      </c>
      <c r="J12" s="80" t="s">
        <v>1425</v>
      </c>
      <c r="K12" s="80" t="s">
        <v>1464</v>
      </c>
      <c r="L12" s="86"/>
      <c r="M12" s="86"/>
      <c r="N12" s="86"/>
      <c r="O12" s="86"/>
      <c r="P12" s="86"/>
      <c r="Q12" s="86"/>
      <c r="R12" s="86"/>
      <c r="S12" s="86"/>
      <c r="T12" s="86"/>
      <c r="U12" s="86"/>
      <c r="V12" s="86"/>
      <c r="W12" s="86"/>
      <c r="X12" s="86"/>
      <c r="Y12" s="86"/>
      <c r="Z12" s="86"/>
    </row>
    <row r="13">
      <c r="A13" s="89">
        <v>839.0</v>
      </c>
      <c r="B13" s="80" t="s">
        <v>1425</v>
      </c>
      <c r="C13" s="80" t="s">
        <v>1425</v>
      </c>
      <c r="D13" s="80" t="s">
        <v>1425</v>
      </c>
      <c r="E13" s="80" t="s">
        <v>280</v>
      </c>
      <c r="F13" s="80" t="s">
        <v>1425</v>
      </c>
      <c r="G13" s="80" t="s">
        <v>1434</v>
      </c>
      <c r="H13" s="80" t="s">
        <v>1435</v>
      </c>
      <c r="I13" s="80" t="s">
        <v>1425</v>
      </c>
      <c r="J13" s="80" t="s">
        <v>1425</v>
      </c>
      <c r="K13" s="80" t="s">
        <v>1465</v>
      </c>
      <c r="L13" s="86"/>
      <c r="M13" s="86"/>
      <c r="N13" s="86"/>
      <c r="O13" s="86"/>
      <c r="P13" s="86"/>
      <c r="Q13" s="86"/>
      <c r="R13" s="86"/>
      <c r="S13" s="86"/>
      <c r="T13" s="86"/>
      <c r="U13" s="86"/>
      <c r="V13" s="86"/>
      <c r="W13" s="86"/>
      <c r="X13" s="86"/>
      <c r="Y13" s="86"/>
      <c r="Z13" s="86"/>
    </row>
    <row r="14">
      <c r="A14" s="90">
        <v>1506.0</v>
      </c>
      <c r="B14" s="90" t="s">
        <v>1425</v>
      </c>
      <c r="C14" s="90" t="s">
        <v>1425</v>
      </c>
      <c r="D14" s="90" t="s">
        <v>1425</v>
      </c>
      <c r="E14" s="90" t="s">
        <v>280</v>
      </c>
      <c r="F14" s="90" t="s">
        <v>1425</v>
      </c>
      <c r="G14" s="90" t="s">
        <v>1434</v>
      </c>
      <c r="H14" s="90" t="s">
        <v>1435</v>
      </c>
      <c r="I14" s="91"/>
      <c r="J14" s="91"/>
      <c r="K14" s="91"/>
      <c r="L14" s="91"/>
      <c r="M14" s="91"/>
      <c r="N14" s="91"/>
      <c r="O14" s="91"/>
      <c r="P14" s="91"/>
      <c r="Q14" s="91"/>
      <c r="R14" s="91"/>
      <c r="S14" s="91"/>
      <c r="T14" s="91"/>
      <c r="U14" s="91"/>
      <c r="V14" s="91"/>
      <c r="W14" s="91"/>
      <c r="X14" s="91"/>
      <c r="Y14" s="91"/>
      <c r="Z14" s="91"/>
    </row>
    <row r="15">
      <c r="A15" s="80">
        <v>627.0</v>
      </c>
      <c r="B15" s="80" t="s">
        <v>1425</v>
      </c>
      <c r="C15" s="80" t="s">
        <v>1425</v>
      </c>
      <c r="D15" s="80" t="s">
        <v>1425</v>
      </c>
      <c r="E15" s="80" t="s">
        <v>1425</v>
      </c>
      <c r="F15" s="80" t="s">
        <v>1425</v>
      </c>
      <c r="G15" s="80" t="s">
        <v>280</v>
      </c>
      <c r="H15" s="80" t="s">
        <v>1435</v>
      </c>
      <c r="I15" s="80" t="s">
        <v>1425</v>
      </c>
      <c r="J15" s="80" t="s">
        <v>1425</v>
      </c>
      <c r="K15" s="80" t="s">
        <v>1466</v>
      </c>
      <c r="L15" s="86"/>
      <c r="M15" s="86"/>
      <c r="N15" s="86"/>
      <c r="O15" s="86"/>
      <c r="P15" s="86"/>
      <c r="Q15" s="86"/>
      <c r="R15" s="86"/>
      <c r="S15" s="86"/>
      <c r="T15" s="86"/>
      <c r="U15" s="86"/>
      <c r="V15" s="86"/>
      <c r="W15" s="86"/>
      <c r="X15" s="86"/>
      <c r="Y15" s="86"/>
      <c r="Z15" s="86"/>
    </row>
    <row r="16">
      <c r="A16" s="80">
        <v>1554.0</v>
      </c>
      <c r="B16" s="80" t="s">
        <v>1425</v>
      </c>
      <c r="C16" s="80" t="s">
        <v>1425</v>
      </c>
      <c r="D16" s="80" t="s">
        <v>1425</v>
      </c>
      <c r="E16" s="80" t="s">
        <v>280</v>
      </c>
      <c r="F16" s="80" t="s">
        <v>1425</v>
      </c>
      <c r="G16" s="80" t="s">
        <v>280</v>
      </c>
      <c r="H16" s="80" t="s">
        <v>1435</v>
      </c>
      <c r="I16" s="80" t="s">
        <v>1425</v>
      </c>
      <c r="J16" s="80" t="s">
        <v>1425</v>
      </c>
      <c r="K16" s="80" t="s">
        <v>1467</v>
      </c>
      <c r="L16" s="86"/>
      <c r="M16" s="86"/>
      <c r="N16" s="86"/>
      <c r="O16" s="86"/>
      <c r="P16" s="86"/>
      <c r="Q16" s="86"/>
      <c r="R16" s="86"/>
      <c r="S16" s="86"/>
      <c r="T16" s="86"/>
      <c r="U16" s="86"/>
      <c r="V16" s="86"/>
      <c r="W16" s="86"/>
      <c r="X16" s="86"/>
      <c r="Y16" s="86"/>
      <c r="Z16" s="86"/>
    </row>
    <row r="17">
      <c r="A17" s="80">
        <v>781.0</v>
      </c>
      <c r="B17" s="80" t="s">
        <v>1425</v>
      </c>
      <c r="C17" s="80" t="s">
        <v>1425</v>
      </c>
      <c r="D17" s="80" t="s">
        <v>1425</v>
      </c>
      <c r="E17" s="80" t="s">
        <v>280</v>
      </c>
      <c r="F17" s="80" t="s">
        <v>1425</v>
      </c>
      <c r="G17" s="80" t="s">
        <v>280</v>
      </c>
      <c r="H17" s="80" t="s">
        <v>1435</v>
      </c>
      <c r="I17" s="80" t="s">
        <v>1425</v>
      </c>
      <c r="J17" s="80" t="s">
        <v>1425</v>
      </c>
      <c r="K17" s="80" t="s">
        <v>1468</v>
      </c>
      <c r="L17" s="86"/>
      <c r="M17" s="86"/>
      <c r="N17" s="86"/>
      <c r="O17" s="86"/>
      <c r="P17" s="86"/>
      <c r="Q17" s="86"/>
      <c r="R17" s="86"/>
      <c r="S17" s="86"/>
      <c r="T17" s="86"/>
      <c r="U17" s="86"/>
      <c r="V17" s="86"/>
      <c r="W17" s="86"/>
      <c r="X17" s="86"/>
      <c r="Y17" s="86"/>
      <c r="Z17" s="86"/>
    </row>
    <row r="18">
      <c r="A18" s="80">
        <v>1242.0</v>
      </c>
      <c r="B18" s="80" t="s">
        <v>1425</v>
      </c>
      <c r="C18" s="80" t="s">
        <v>1425</v>
      </c>
      <c r="D18" s="80" t="s">
        <v>1425</v>
      </c>
      <c r="E18" s="80" t="s">
        <v>280</v>
      </c>
      <c r="F18" s="80" t="s">
        <v>1425</v>
      </c>
      <c r="G18" s="80" t="s">
        <v>280</v>
      </c>
      <c r="H18" s="80" t="s">
        <v>1469</v>
      </c>
      <c r="I18" s="80" t="s">
        <v>1425</v>
      </c>
      <c r="J18" s="80" t="s">
        <v>1425</v>
      </c>
      <c r="K18" s="80" t="s">
        <v>1470</v>
      </c>
      <c r="L18" s="86"/>
      <c r="M18" s="86"/>
      <c r="N18" s="86"/>
      <c r="O18" s="86"/>
      <c r="P18" s="86"/>
      <c r="Q18" s="86"/>
      <c r="R18" s="86"/>
      <c r="S18" s="86"/>
      <c r="T18" s="86"/>
      <c r="U18" s="86"/>
      <c r="V18" s="86"/>
      <c r="W18" s="86"/>
      <c r="X18" s="86"/>
      <c r="Y18" s="86"/>
      <c r="Z18" s="86"/>
    </row>
    <row r="19">
      <c r="A19" s="80">
        <v>517.0</v>
      </c>
      <c r="B19" s="80" t="s">
        <v>1425</v>
      </c>
      <c r="C19" s="80" t="s">
        <v>1425</v>
      </c>
      <c r="D19" s="80" t="s">
        <v>1425</v>
      </c>
      <c r="E19" s="80" t="s">
        <v>1425</v>
      </c>
      <c r="F19" s="80" t="s">
        <v>1425</v>
      </c>
      <c r="G19" s="80" t="s">
        <v>280</v>
      </c>
      <c r="H19" s="80" t="s">
        <v>1471</v>
      </c>
      <c r="I19" s="80" t="s">
        <v>1425</v>
      </c>
      <c r="J19" s="80" t="s">
        <v>1425</v>
      </c>
      <c r="K19" s="80" t="s">
        <v>1472</v>
      </c>
      <c r="L19" s="86"/>
      <c r="M19" s="86"/>
      <c r="N19" s="86"/>
      <c r="O19" s="86"/>
      <c r="P19" s="86"/>
      <c r="Q19" s="86"/>
      <c r="R19" s="86"/>
      <c r="S19" s="86"/>
      <c r="T19" s="86"/>
      <c r="U19" s="86"/>
      <c r="V19" s="86"/>
      <c r="W19" s="86"/>
      <c r="X19" s="86"/>
      <c r="Y19" s="86"/>
      <c r="Z19" s="86"/>
    </row>
    <row r="20">
      <c r="A20" s="90">
        <v>1225.0</v>
      </c>
      <c r="B20" s="91"/>
      <c r="C20" s="91"/>
      <c r="D20" s="91"/>
      <c r="E20" s="91"/>
      <c r="F20" s="91"/>
      <c r="G20" s="91"/>
      <c r="H20" s="91"/>
      <c r="I20" s="91"/>
      <c r="J20" s="91"/>
      <c r="K20" s="91"/>
      <c r="L20" s="91"/>
      <c r="M20" s="91"/>
      <c r="N20" s="91"/>
      <c r="O20" s="91"/>
      <c r="P20" s="91"/>
      <c r="Q20" s="91"/>
      <c r="R20" s="91"/>
      <c r="S20" s="91"/>
      <c r="T20" s="91"/>
      <c r="U20" s="91"/>
      <c r="V20" s="91"/>
      <c r="W20" s="91"/>
      <c r="X20" s="91"/>
      <c r="Y20" s="91"/>
      <c r="Z20" s="91"/>
    </row>
    <row r="21">
      <c r="A21" s="80">
        <v>1563.0</v>
      </c>
      <c r="B21" s="80" t="s">
        <v>1425</v>
      </c>
      <c r="C21" s="80" t="s">
        <v>1425</v>
      </c>
      <c r="D21" s="80" t="s">
        <v>1425</v>
      </c>
      <c r="E21" s="80" t="s">
        <v>1425</v>
      </c>
      <c r="F21" s="80" t="s">
        <v>1425</v>
      </c>
      <c r="G21" s="80" t="s">
        <v>280</v>
      </c>
      <c r="H21" s="80" t="s">
        <v>1435</v>
      </c>
      <c r="I21" s="80" t="s">
        <v>1425</v>
      </c>
      <c r="J21" s="80" t="s">
        <v>1425</v>
      </c>
      <c r="K21" s="80" t="s">
        <v>1473</v>
      </c>
      <c r="L21" s="86"/>
      <c r="M21" s="86"/>
      <c r="N21" s="86"/>
      <c r="O21" s="86"/>
      <c r="P21" s="86"/>
      <c r="Q21" s="86"/>
      <c r="R21" s="86"/>
      <c r="S21" s="86"/>
      <c r="T21" s="86"/>
      <c r="U21" s="86"/>
      <c r="V21" s="86"/>
      <c r="W21" s="86"/>
      <c r="X21" s="86"/>
      <c r="Y21" s="86"/>
      <c r="Z21" s="86"/>
    </row>
    <row r="22">
      <c r="A22" s="80">
        <v>1387.0</v>
      </c>
      <c r="B22" s="80" t="s">
        <v>1425</v>
      </c>
      <c r="C22" s="80" t="s">
        <v>1425</v>
      </c>
      <c r="D22" s="80" t="s">
        <v>1425</v>
      </c>
      <c r="E22" s="80" t="s">
        <v>1425</v>
      </c>
      <c r="F22" s="80" t="s">
        <v>1425</v>
      </c>
      <c r="G22" s="80" t="s">
        <v>280</v>
      </c>
      <c r="H22" s="80" t="s">
        <v>1435</v>
      </c>
      <c r="I22" s="80" t="s">
        <v>1425</v>
      </c>
      <c r="J22" s="80" t="s">
        <v>1425</v>
      </c>
      <c r="K22" s="80" t="s">
        <v>1474</v>
      </c>
      <c r="L22" s="86"/>
      <c r="M22" s="86"/>
      <c r="N22" s="86"/>
      <c r="O22" s="86"/>
      <c r="P22" s="86"/>
      <c r="Q22" s="86"/>
      <c r="R22" s="86"/>
      <c r="S22" s="86"/>
      <c r="T22" s="86"/>
      <c r="U22" s="86"/>
      <c r="V22" s="86"/>
      <c r="W22" s="86"/>
      <c r="X22" s="86"/>
      <c r="Y22" s="86"/>
      <c r="Z22" s="86"/>
    </row>
    <row r="23">
      <c r="A23" s="80">
        <v>636.0</v>
      </c>
      <c r="B23" s="80" t="s">
        <v>1425</v>
      </c>
      <c r="C23" s="80" t="s">
        <v>1425</v>
      </c>
      <c r="D23" s="80" t="s">
        <v>1425</v>
      </c>
      <c r="E23" s="80" t="s">
        <v>1425</v>
      </c>
      <c r="F23" s="80" t="s">
        <v>1425</v>
      </c>
      <c r="G23" s="80" t="s">
        <v>280</v>
      </c>
      <c r="H23" s="80" t="s">
        <v>1435</v>
      </c>
      <c r="I23" s="80" t="s">
        <v>1425</v>
      </c>
      <c r="J23" s="80" t="s">
        <v>1425</v>
      </c>
      <c r="K23" s="80" t="s">
        <v>1475</v>
      </c>
      <c r="L23" s="86"/>
      <c r="M23" s="86"/>
      <c r="N23" s="86"/>
      <c r="O23" s="86"/>
      <c r="P23" s="86"/>
      <c r="Q23" s="86"/>
      <c r="R23" s="86"/>
      <c r="S23" s="86"/>
      <c r="T23" s="86"/>
      <c r="U23" s="86"/>
      <c r="V23" s="86"/>
      <c r="W23" s="86"/>
      <c r="X23" s="86"/>
      <c r="Y23" s="86"/>
      <c r="Z23" s="86"/>
    </row>
    <row r="24">
      <c r="A24" s="80">
        <v>761.0</v>
      </c>
      <c r="B24" s="80" t="s">
        <v>1425</v>
      </c>
      <c r="C24" s="80" t="s">
        <v>1425</v>
      </c>
      <c r="D24" s="80" t="s">
        <v>1425</v>
      </c>
      <c r="E24" s="80" t="s">
        <v>1425</v>
      </c>
      <c r="F24" s="80" t="s">
        <v>1425</v>
      </c>
      <c r="G24" s="80" t="s">
        <v>280</v>
      </c>
      <c r="H24" s="80" t="s">
        <v>1469</v>
      </c>
      <c r="I24" s="80" t="s">
        <v>1425</v>
      </c>
      <c r="J24" s="80" t="s">
        <v>1425</v>
      </c>
      <c r="K24" s="80" t="s">
        <v>1476</v>
      </c>
      <c r="L24" s="86"/>
      <c r="M24" s="86"/>
      <c r="N24" s="86"/>
      <c r="O24" s="86"/>
      <c r="P24" s="86"/>
      <c r="Q24" s="86"/>
      <c r="R24" s="86"/>
      <c r="S24" s="86"/>
      <c r="T24" s="86"/>
      <c r="U24" s="86"/>
      <c r="V24" s="86"/>
      <c r="W24" s="86"/>
      <c r="X24" s="86"/>
      <c r="Y24" s="86"/>
      <c r="Z24" s="86"/>
    </row>
    <row r="25">
      <c r="A25" s="80">
        <v>1147.0</v>
      </c>
      <c r="B25" s="80" t="s">
        <v>1425</v>
      </c>
      <c r="C25" s="80" t="s">
        <v>1425</v>
      </c>
      <c r="D25" s="80" t="s">
        <v>1425</v>
      </c>
      <c r="E25" s="80" t="s">
        <v>1425</v>
      </c>
      <c r="F25" s="80" t="s">
        <v>1425</v>
      </c>
      <c r="G25" s="80" t="s">
        <v>280</v>
      </c>
      <c r="H25" s="80" t="s">
        <v>1477</v>
      </c>
      <c r="I25" s="80" t="s">
        <v>1425</v>
      </c>
      <c r="J25" s="80" t="s">
        <v>1425</v>
      </c>
      <c r="K25" s="80" t="s">
        <v>1478</v>
      </c>
      <c r="L25" s="86"/>
      <c r="M25" s="86"/>
      <c r="N25" s="86"/>
      <c r="O25" s="86"/>
      <c r="P25" s="86"/>
      <c r="Q25" s="86"/>
      <c r="R25" s="86"/>
      <c r="S25" s="86"/>
      <c r="T25" s="86"/>
      <c r="U25" s="86"/>
      <c r="V25" s="86"/>
      <c r="W25" s="86"/>
      <c r="X25" s="86"/>
      <c r="Y25" s="86"/>
      <c r="Z25" s="86"/>
    </row>
    <row r="26">
      <c r="A26" s="80">
        <v>818.0</v>
      </c>
      <c r="B26" s="80" t="s">
        <v>1425</v>
      </c>
      <c r="C26" s="80" t="s">
        <v>1425</v>
      </c>
      <c r="D26" s="80" t="s">
        <v>1425</v>
      </c>
      <c r="E26" s="80" t="s">
        <v>1425</v>
      </c>
      <c r="F26" s="80" t="s">
        <v>1425</v>
      </c>
      <c r="G26" s="80" t="s">
        <v>1435</v>
      </c>
      <c r="H26" s="80" t="s">
        <v>1477</v>
      </c>
      <c r="I26" s="80" t="s">
        <v>1425</v>
      </c>
      <c r="J26" s="80" t="s">
        <v>1425</v>
      </c>
      <c r="K26" s="80" t="s">
        <v>1479</v>
      </c>
      <c r="L26" s="86"/>
      <c r="M26" s="86"/>
      <c r="N26" s="86"/>
      <c r="O26" s="86"/>
      <c r="P26" s="86"/>
      <c r="Q26" s="86"/>
      <c r="R26" s="86"/>
      <c r="S26" s="86"/>
      <c r="T26" s="86"/>
      <c r="U26" s="86"/>
      <c r="V26" s="86"/>
      <c r="W26" s="86"/>
      <c r="X26" s="86"/>
      <c r="Y26" s="86"/>
      <c r="Z26" s="86"/>
    </row>
    <row r="27">
      <c r="A27" s="80">
        <v>894.0</v>
      </c>
      <c r="B27" s="80" t="s">
        <v>1425</v>
      </c>
      <c r="C27" s="80" t="s">
        <v>1425</v>
      </c>
      <c r="D27" s="80" t="s">
        <v>1425</v>
      </c>
      <c r="E27" s="80" t="s">
        <v>1425</v>
      </c>
      <c r="F27" s="80" t="s">
        <v>1425</v>
      </c>
      <c r="G27" s="80" t="s">
        <v>280</v>
      </c>
      <c r="H27" s="80" t="s">
        <v>1435</v>
      </c>
      <c r="I27" s="80" t="s">
        <v>1425</v>
      </c>
      <c r="J27" s="80" t="s">
        <v>1425</v>
      </c>
      <c r="K27" s="80" t="s">
        <v>1480</v>
      </c>
      <c r="L27" s="86"/>
      <c r="M27" s="86"/>
      <c r="N27" s="86"/>
      <c r="O27" s="86"/>
      <c r="P27" s="86"/>
      <c r="Q27" s="86"/>
      <c r="R27" s="86"/>
      <c r="S27" s="86"/>
      <c r="T27" s="86"/>
      <c r="U27" s="86"/>
      <c r="V27" s="86"/>
      <c r="W27" s="86"/>
      <c r="X27" s="86"/>
      <c r="Y27" s="86"/>
      <c r="Z27" s="86"/>
    </row>
    <row r="28">
      <c r="A28" s="80">
        <v>802.0</v>
      </c>
      <c r="B28" s="80" t="s">
        <v>1425</v>
      </c>
      <c r="C28" s="80" t="s">
        <v>1425</v>
      </c>
      <c r="D28" s="80" t="s">
        <v>1425</v>
      </c>
      <c r="E28" s="80" t="s">
        <v>1425</v>
      </c>
      <c r="F28" s="80" t="s">
        <v>1425</v>
      </c>
      <c r="G28" s="80" t="s">
        <v>280</v>
      </c>
      <c r="H28" s="80" t="s">
        <v>1435</v>
      </c>
      <c r="I28" s="80" t="s">
        <v>1425</v>
      </c>
      <c r="J28" s="80" t="s">
        <v>1425</v>
      </c>
      <c r="K28" s="80" t="s">
        <v>1481</v>
      </c>
      <c r="L28" s="86"/>
      <c r="M28" s="86"/>
      <c r="N28" s="86"/>
      <c r="O28" s="86"/>
      <c r="P28" s="86"/>
      <c r="Q28" s="86"/>
      <c r="R28" s="86"/>
      <c r="S28" s="86"/>
      <c r="T28" s="86"/>
      <c r="U28" s="86"/>
      <c r="V28" s="86"/>
      <c r="W28" s="86"/>
      <c r="X28" s="86"/>
      <c r="Y28" s="86"/>
      <c r="Z28" s="86"/>
    </row>
    <row r="29">
      <c r="A29" s="76">
        <v>102.0</v>
      </c>
      <c r="B29" s="76" t="s">
        <v>1425</v>
      </c>
      <c r="C29" s="76" t="s">
        <v>1425</v>
      </c>
      <c r="D29" s="76" t="s">
        <v>1425</v>
      </c>
      <c r="E29" s="76" t="s">
        <v>1425</v>
      </c>
      <c r="F29" s="76" t="s">
        <v>1425</v>
      </c>
      <c r="G29" s="76" t="s">
        <v>280</v>
      </c>
      <c r="H29" s="76" t="s">
        <v>1469</v>
      </c>
      <c r="I29" s="76" t="s">
        <v>1425</v>
      </c>
      <c r="J29" s="76" t="s">
        <v>1425</v>
      </c>
      <c r="K29" s="76" t="s">
        <v>1482</v>
      </c>
      <c r="L29" s="88"/>
      <c r="M29" s="88"/>
      <c r="N29" s="88"/>
      <c r="O29" s="88"/>
      <c r="P29" s="88"/>
      <c r="Q29" s="88"/>
      <c r="R29" s="88"/>
      <c r="S29" s="88"/>
      <c r="T29" s="88"/>
      <c r="U29" s="88"/>
      <c r="V29" s="88"/>
      <c r="W29" s="88"/>
      <c r="X29" s="88"/>
      <c r="Y29" s="88"/>
      <c r="Z29" s="88"/>
    </row>
    <row r="30">
      <c r="A30" s="80">
        <v>1173.0</v>
      </c>
      <c r="B30" s="80" t="s">
        <v>1425</v>
      </c>
      <c r="C30" s="80" t="s">
        <v>1425</v>
      </c>
      <c r="D30" s="80" t="s">
        <v>1425</v>
      </c>
      <c r="E30" s="80" t="s">
        <v>1425</v>
      </c>
      <c r="F30" s="80" t="s">
        <v>1425</v>
      </c>
      <c r="G30" s="80" t="s">
        <v>280</v>
      </c>
      <c r="H30" s="80" t="s">
        <v>1469</v>
      </c>
      <c r="I30" s="80" t="s">
        <v>1425</v>
      </c>
      <c r="J30" s="80" t="s">
        <v>1425</v>
      </c>
      <c r="K30" s="80" t="s">
        <v>1483</v>
      </c>
      <c r="L30" s="86"/>
      <c r="M30" s="86"/>
      <c r="N30" s="86"/>
      <c r="O30" s="86"/>
      <c r="P30" s="86"/>
      <c r="Q30" s="86"/>
      <c r="R30" s="86"/>
      <c r="S30" s="86"/>
      <c r="T30" s="86"/>
      <c r="U30" s="86"/>
      <c r="V30" s="86"/>
      <c r="W30" s="86"/>
      <c r="X30" s="86"/>
      <c r="Y30" s="86"/>
      <c r="Z30" s="86"/>
    </row>
    <row r="31">
      <c r="A31" s="92">
        <v>1411.0</v>
      </c>
      <c r="B31" s="80" t="s">
        <v>1425</v>
      </c>
      <c r="C31" s="80" t="s">
        <v>1425</v>
      </c>
      <c r="D31" s="80" t="s">
        <v>1425</v>
      </c>
      <c r="E31" s="80" t="s">
        <v>1425</v>
      </c>
      <c r="F31" s="80" t="s">
        <v>1425</v>
      </c>
      <c r="G31" s="80" t="s">
        <v>280</v>
      </c>
      <c r="H31" s="80" t="s">
        <v>1425</v>
      </c>
      <c r="I31" s="80" t="s">
        <v>1425</v>
      </c>
      <c r="J31" s="80" t="s">
        <v>1425</v>
      </c>
      <c r="K31" s="80" t="s">
        <v>1484</v>
      </c>
      <c r="L31" s="86"/>
      <c r="M31" s="86"/>
      <c r="N31" s="86"/>
      <c r="O31" s="86"/>
      <c r="P31" s="86"/>
      <c r="Q31" s="86"/>
      <c r="R31" s="86"/>
      <c r="S31" s="86"/>
      <c r="T31" s="86"/>
      <c r="U31" s="86"/>
      <c r="V31" s="86"/>
      <c r="W31" s="86"/>
      <c r="X31" s="86"/>
      <c r="Y31" s="86"/>
      <c r="Z31" s="86"/>
    </row>
    <row r="32">
      <c r="A32" s="80">
        <v>860.0</v>
      </c>
      <c r="B32" s="80" t="s">
        <v>1425</v>
      </c>
      <c r="C32" s="80" t="s">
        <v>1425</v>
      </c>
      <c r="D32" s="80" t="s">
        <v>1425</v>
      </c>
      <c r="E32" s="80" t="s">
        <v>1425</v>
      </c>
      <c r="F32" s="80" t="s">
        <v>1425</v>
      </c>
      <c r="G32" s="80" t="s">
        <v>280</v>
      </c>
      <c r="H32" s="80" t="s">
        <v>1425</v>
      </c>
      <c r="I32" s="80" t="s">
        <v>1425</v>
      </c>
      <c r="J32" s="80" t="s">
        <v>1425</v>
      </c>
      <c r="K32" s="80" t="s">
        <v>1485</v>
      </c>
      <c r="L32" s="86"/>
      <c r="M32" s="86"/>
      <c r="N32" s="86"/>
      <c r="O32" s="86"/>
      <c r="P32" s="86"/>
      <c r="Q32" s="86"/>
      <c r="R32" s="86"/>
      <c r="S32" s="86"/>
      <c r="T32" s="86"/>
      <c r="U32" s="86"/>
      <c r="V32" s="86"/>
      <c r="W32" s="86"/>
      <c r="X32" s="86"/>
      <c r="Y32" s="86"/>
      <c r="Z32" s="86"/>
    </row>
    <row r="33">
      <c r="A33" s="80">
        <v>831.0</v>
      </c>
      <c r="B33" s="80" t="s">
        <v>1425</v>
      </c>
      <c r="C33" s="80" t="s">
        <v>1425</v>
      </c>
      <c r="D33" s="80" t="s">
        <v>1425</v>
      </c>
      <c r="E33" s="80" t="s">
        <v>1425</v>
      </c>
      <c r="F33" s="80" t="s">
        <v>1425</v>
      </c>
      <c r="G33" s="80" t="s">
        <v>280</v>
      </c>
      <c r="H33" s="80" t="s">
        <v>1425</v>
      </c>
      <c r="I33" s="80" t="s">
        <v>1425</v>
      </c>
      <c r="J33" s="80" t="s">
        <v>1425</v>
      </c>
      <c r="K33" s="80" t="s">
        <v>1486</v>
      </c>
      <c r="L33" s="86"/>
      <c r="M33" s="86"/>
      <c r="N33" s="86"/>
      <c r="O33" s="86"/>
      <c r="P33" s="86"/>
      <c r="Q33" s="86"/>
      <c r="R33" s="86"/>
      <c r="S33" s="86"/>
      <c r="T33" s="86"/>
      <c r="U33" s="86"/>
      <c r="V33" s="86"/>
      <c r="W33" s="86"/>
      <c r="X33" s="86"/>
      <c r="Y33" s="86"/>
      <c r="Z33" s="86"/>
    </row>
    <row r="34">
      <c r="A34" s="76">
        <v>859.0</v>
      </c>
      <c r="B34" s="76" t="s">
        <v>1425</v>
      </c>
      <c r="C34" s="76" t="s">
        <v>1425</v>
      </c>
      <c r="D34" s="76" t="s">
        <v>1425</v>
      </c>
      <c r="E34" s="76" t="s">
        <v>1425</v>
      </c>
      <c r="F34" s="76" t="s">
        <v>1425</v>
      </c>
      <c r="G34" s="76" t="s">
        <v>280</v>
      </c>
      <c r="H34" s="76" t="s">
        <v>1425</v>
      </c>
      <c r="I34" s="76" t="s">
        <v>1425</v>
      </c>
      <c r="J34" s="76" t="s">
        <v>1425</v>
      </c>
      <c r="K34" s="76" t="s">
        <v>1487</v>
      </c>
      <c r="L34" s="88"/>
      <c r="M34" s="88"/>
      <c r="N34" s="88"/>
      <c r="O34" s="88"/>
      <c r="P34" s="88"/>
      <c r="Q34" s="88"/>
      <c r="R34" s="88"/>
      <c r="S34" s="88"/>
      <c r="T34" s="88"/>
      <c r="U34" s="88"/>
      <c r="V34" s="88"/>
      <c r="W34" s="88"/>
      <c r="X34" s="88"/>
      <c r="Y34" s="88"/>
      <c r="Z34" s="88"/>
    </row>
    <row r="35">
      <c r="A35" s="76">
        <v>952.0</v>
      </c>
      <c r="B35" s="76" t="s">
        <v>1425</v>
      </c>
      <c r="C35" s="76" t="s">
        <v>1425</v>
      </c>
      <c r="D35" s="76" t="s">
        <v>1425</v>
      </c>
      <c r="E35" s="76" t="s">
        <v>1425</v>
      </c>
      <c r="F35" s="76" t="s">
        <v>1425</v>
      </c>
      <c r="G35" s="76" t="s">
        <v>280</v>
      </c>
      <c r="H35" s="76" t="s">
        <v>1425</v>
      </c>
      <c r="I35" s="76" t="s">
        <v>1425</v>
      </c>
      <c r="J35" s="76" t="s">
        <v>1425</v>
      </c>
      <c r="K35" s="76" t="s">
        <v>1488</v>
      </c>
      <c r="L35" s="88"/>
      <c r="M35" s="88"/>
      <c r="N35" s="88"/>
      <c r="O35" s="88"/>
      <c r="P35" s="88"/>
      <c r="Q35" s="88"/>
      <c r="R35" s="88"/>
      <c r="S35" s="88"/>
      <c r="T35" s="88"/>
      <c r="U35" s="88"/>
      <c r="V35" s="88"/>
      <c r="W35" s="88"/>
      <c r="X35" s="88"/>
      <c r="Y35" s="88"/>
      <c r="Z35" s="88"/>
    </row>
    <row r="36">
      <c r="A36" s="76">
        <v>897.0</v>
      </c>
      <c r="B36" s="76" t="s">
        <v>1425</v>
      </c>
      <c r="C36" s="76" t="s">
        <v>1425</v>
      </c>
      <c r="D36" s="76" t="s">
        <v>1425</v>
      </c>
      <c r="E36" s="76" t="s">
        <v>1425</v>
      </c>
      <c r="F36" s="76" t="s">
        <v>1425</v>
      </c>
      <c r="G36" s="76" t="s">
        <v>1489</v>
      </c>
      <c r="H36" s="76" t="s">
        <v>1425</v>
      </c>
      <c r="I36" s="76" t="s">
        <v>1425</v>
      </c>
      <c r="J36" s="76" t="s">
        <v>1490</v>
      </c>
      <c r="K36" s="76" t="s">
        <v>1491</v>
      </c>
      <c r="L36" s="88"/>
      <c r="M36" s="88"/>
      <c r="N36" s="88"/>
      <c r="O36" s="88"/>
      <c r="P36" s="88"/>
      <c r="Q36" s="88"/>
      <c r="R36" s="88"/>
      <c r="S36" s="88"/>
      <c r="T36" s="88"/>
      <c r="U36" s="88"/>
      <c r="V36" s="88"/>
      <c r="W36" s="88"/>
      <c r="X36" s="88"/>
      <c r="Y36" s="88"/>
      <c r="Z36" s="88"/>
    </row>
    <row r="37">
      <c r="A37" s="80">
        <v>1374.0</v>
      </c>
      <c r="B37" s="80" t="s">
        <v>1425</v>
      </c>
      <c r="C37" s="80" t="s">
        <v>1425</v>
      </c>
      <c r="D37" s="80" t="s">
        <v>1425</v>
      </c>
      <c r="E37" s="80" t="s">
        <v>1425</v>
      </c>
      <c r="F37" s="80" t="s">
        <v>1425</v>
      </c>
      <c r="G37" s="80" t="s">
        <v>280</v>
      </c>
      <c r="H37" s="80" t="s">
        <v>1492</v>
      </c>
      <c r="I37" s="80" t="s">
        <v>1425</v>
      </c>
      <c r="J37" s="80" t="s">
        <v>1425</v>
      </c>
      <c r="K37" s="80" t="s">
        <v>1493</v>
      </c>
      <c r="L37" s="86"/>
      <c r="M37" s="86"/>
      <c r="N37" s="86"/>
      <c r="O37" s="86"/>
      <c r="P37" s="86"/>
      <c r="Q37" s="86"/>
      <c r="R37" s="86"/>
      <c r="S37" s="86"/>
      <c r="T37" s="86"/>
      <c r="U37" s="86"/>
      <c r="V37" s="86"/>
      <c r="W37" s="86"/>
      <c r="X37" s="86"/>
      <c r="Y37" s="86"/>
      <c r="Z37" s="86"/>
    </row>
    <row r="38">
      <c r="A38" s="80">
        <v>791.0</v>
      </c>
      <c r="B38" s="80" t="s">
        <v>1425</v>
      </c>
      <c r="C38" s="80" t="s">
        <v>1425</v>
      </c>
      <c r="D38" s="80" t="s">
        <v>1425</v>
      </c>
      <c r="E38" s="80" t="s">
        <v>1425</v>
      </c>
      <c r="F38" s="80" t="s">
        <v>1425</v>
      </c>
      <c r="G38" s="80" t="s">
        <v>280</v>
      </c>
      <c r="H38" s="80" t="s">
        <v>1492</v>
      </c>
      <c r="I38" s="80" t="s">
        <v>1425</v>
      </c>
      <c r="J38" s="93"/>
      <c r="K38" s="80" t="s">
        <v>1494</v>
      </c>
      <c r="L38" s="86"/>
      <c r="M38" s="86"/>
      <c r="N38" s="86"/>
      <c r="O38" s="86"/>
      <c r="P38" s="86"/>
      <c r="Q38" s="86"/>
      <c r="R38" s="86"/>
      <c r="S38" s="86"/>
      <c r="T38" s="86"/>
      <c r="U38" s="86"/>
      <c r="V38" s="86"/>
      <c r="W38" s="86"/>
      <c r="X38" s="86"/>
      <c r="Y38" s="86"/>
      <c r="Z38" s="86"/>
    </row>
    <row r="39">
      <c r="A39" s="80">
        <v>860.0</v>
      </c>
      <c r="B39" s="80" t="s">
        <v>1425</v>
      </c>
      <c r="C39" s="80" t="s">
        <v>1425</v>
      </c>
      <c r="D39" s="80" t="s">
        <v>1425</v>
      </c>
      <c r="E39" s="80" t="s">
        <v>1425</v>
      </c>
      <c r="F39" s="80" t="s">
        <v>1425</v>
      </c>
      <c r="G39" s="80" t="s">
        <v>280</v>
      </c>
      <c r="H39" s="80" t="s">
        <v>1492</v>
      </c>
      <c r="I39" s="80" t="s">
        <v>1425</v>
      </c>
      <c r="J39" s="80" t="s">
        <v>1425</v>
      </c>
      <c r="K39" s="80" t="s">
        <v>1495</v>
      </c>
      <c r="L39" s="86"/>
      <c r="M39" s="86"/>
      <c r="N39" s="86"/>
      <c r="O39" s="86"/>
      <c r="P39" s="86"/>
      <c r="Q39" s="86"/>
      <c r="R39" s="86"/>
      <c r="S39" s="86"/>
      <c r="T39" s="86"/>
      <c r="U39" s="86"/>
      <c r="V39" s="86"/>
      <c r="W39" s="86"/>
      <c r="X39" s="86"/>
      <c r="Y39" s="86"/>
      <c r="Z39" s="86"/>
    </row>
    <row r="40">
      <c r="A40" s="80">
        <v>1452.0</v>
      </c>
      <c r="B40" s="80" t="s">
        <v>1425</v>
      </c>
      <c r="C40" s="80" t="s">
        <v>1425</v>
      </c>
      <c r="D40" s="80" t="s">
        <v>1425</v>
      </c>
      <c r="E40" s="80" t="s">
        <v>1425</v>
      </c>
      <c r="F40" s="80" t="s">
        <v>1425</v>
      </c>
      <c r="G40" s="80" t="s">
        <v>280</v>
      </c>
      <c r="H40" s="80" t="s">
        <v>1492</v>
      </c>
      <c r="I40" s="80" t="s">
        <v>1425</v>
      </c>
      <c r="J40" s="80" t="s">
        <v>1425</v>
      </c>
      <c r="K40" s="80" t="s">
        <v>1496</v>
      </c>
      <c r="L40" s="86"/>
      <c r="M40" s="86"/>
      <c r="N40" s="86"/>
      <c r="O40" s="86"/>
      <c r="P40" s="86"/>
      <c r="Q40" s="86"/>
      <c r="R40" s="86"/>
      <c r="S40" s="86"/>
      <c r="T40" s="86"/>
      <c r="U40" s="86"/>
      <c r="V40" s="86"/>
      <c r="W40" s="86"/>
      <c r="X40" s="86"/>
      <c r="Y40" s="86"/>
      <c r="Z40" s="86"/>
    </row>
    <row r="41">
      <c r="A41" s="76">
        <v>486.0</v>
      </c>
      <c r="B41" s="76" t="s">
        <v>1425</v>
      </c>
      <c r="C41" s="76" t="s">
        <v>1425</v>
      </c>
      <c r="D41" s="76" t="s">
        <v>1425</v>
      </c>
      <c r="E41" s="76" t="s">
        <v>1425</v>
      </c>
      <c r="F41" s="76" t="s">
        <v>1425</v>
      </c>
      <c r="G41" s="76" t="s">
        <v>1497</v>
      </c>
      <c r="H41" s="76" t="s">
        <v>1492</v>
      </c>
      <c r="I41" s="76" t="s">
        <v>1425</v>
      </c>
      <c r="J41" s="76" t="s">
        <v>1425</v>
      </c>
      <c r="K41" s="76" t="s">
        <v>1498</v>
      </c>
      <c r="L41" s="88"/>
      <c r="M41" s="88"/>
      <c r="N41" s="88"/>
      <c r="O41" s="88"/>
      <c r="P41" s="88"/>
      <c r="Q41" s="88"/>
      <c r="R41" s="88"/>
      <c r="S41" s="88"/>
      <c r="T41" s="88"/>
      <c r="U41" s="88"/>
      <c r="V41" s="88"/>
      <c r="W41" s="88"/>
      <c r="X41" s="88"/>
      <c r="Y41" s="88"/>
      <c r="Z41" s="88"/>
    </row>
    <row r="42">
      <c r="A42" s="80">
        <v>1266.0</v>
      </c>
      <c r="B42" s="80" t="s">
        <v>1425</v>
      </c>
      <c r="C42" s="80" t="s">
        <v>1425</v>
      </c>
      <c r="D42" s="80" t="s">
        <v>1425</v>
      </c>
      <c r="E42" s="80" t="s">
        <v>1425</v>
      </c>
      <c r="F42" s="80" t="s">
        <v>1425</v>
      </c>
      <c r="G42" s="80" t="s">
        <v>280</v>
      </c>
      <c r="H42" s="80" t="s">
        <v>1492</v>
      </c>
      <c r="I42" s="80" t="s">
        <v>1425</v>
      </c>
      <c r="J42" s="80" t="s">
        <v>1425</v>
      </c>
      <c r="K42" s="80" t="s">
        <v>1499</v>
      </c>
      <c r="L42" s="86"/>
      <c r="M42" s="86"/>
      <c r="N42" s="86"/>
      <c r="O42" s="86"/>
      <c r="P42" s="86"/>
      <c r="Q42" s="86"/>
      <c r="R42" s="86"/>
      <c r="S42" s="86"/>
      <c r="T42" s="86"/>
      <c r="U42" s="86"/>
      <c r="V42" s="86"/>
      <c r="W42" s="86"/>
      <c r="X42" s="86"/>
      <c r="Y42" s="86"/>
      <c r="Z42" s="86"/>
    </row>
    <row r="43">
      <c r="A43" s="76">
        <v>801.0</v>
      </c>
      <c r="B43" s="76" t="s">
        <v>1425</v>
      </c>
      <c r="C43" s="76" t="s">
        <v>1425</v>
      </c>
      <c r="D43" s="76" t="s">
        <v>1425</v>
      </c>
      <c r="E43" s="76" t="s">
        <v>1425</v>
      </c>
      <c r="F43" s="76" t="s">
        <v>1425</v>
      </c>
      <c r="G43" s="76" t="s">
        <v>280</v>
      </c>
      <c r="H43" s="76" t="s">
        <v>1425</v>
      </c>
      <c r="I43" s="76" t="s">
        <v>1425</v>
      </c>
      <c r="J43" s="76" t="s">
        <v>1425</v>
      </c>
      <c r="K43" s="76" t="s">
        <v>1500</v>
      </c>
      <c r="L43" s="88"/>
      <c r="M43" s="88"/>
      <c r="N43" s="88"/>
      <c r="O43" s="88"/>
      <c r="P43" s="88"/>
      <c r="Q43" s="88"/>
      <c r="R43" s="88"/>
      <c r="S43" s="88"/>
      <c r="T43" s="88"/>
      <c r="U43" s="88"/>
      <c r="V43" s="88"/>
      <c r="W43" s="88"/>
      <c r="X43" s="88"/>
      <c r="Y43" s="88"/>
      <c r="Z43" s="88"/>
    </row>
    <row r="44">
      <c r="A44" s="80">
        <v>831.0</v>
      </c>
      <c r="B44" s="80" t="s">
        <v>1425</v>
      </c>
      <c r="C44" s="80" t="s">
        <v>1425</v>
      </c>
      <c r="D44" s="80" t="s">
        <v>1425</v>
      </c>
      <c r="E44" s="80" t="s">
        <v>1425</v>
      </c>
      <c r="F44" s="80" t="s">
        <v>1425</v>
      </c>
      <c r="G44" s="80" t="s">
        <v>280</v>
      </c>
      <c r="H44" s="80" t="s">
        <v>1425</v>
      </c>
      <c r="I44" s="80" t="s">
        <v>1425</v>
      </c>
      <c r="J44" s="80" t="s">
        <v>1425</v>
      </c>
      <c r="K44" s="80" t="s">
        <v>1501</v>
      </c>
      <c r="L44" s="86"/>
      <c r="M44" s="86"/>
      <c r="N44" s="86"/>
      <c r="O44" s="86"/>
      <c r="P44" s="86"/>
      <c r="Q44" s="86"/>
      <c r="R44" s="86"/>
      <c r="S44" s="86"/>
      <c r="T44" s="86"/>
      <c r="U44" s="86"/>
      <c r="V44" s="86"/>
      <c r="W44" s="86"/>
      <c r="X44" s="86"/>
      <c r="Y44" s="86"/>
      <c r="Z44" s="86"/>
    </row>
    <row r="45">
      <c r="A45" s="76">
        <v>1074.0</v>
      </c>
      <c r="B45" s="76" t="s">
        <v>1425</v>
      </c>
      <c r="C45" s="76" t="s">
        <v>1425</v>
      </c>
      <c r="D45" s="76" t="s">
        <v>1425</v>
      </c>
      <c r="E45" s="76" t="s">
        <v>1502</v>
      </c>
      <c r="F45" s="76" t="s">
        <v>1425</v>
      </c>
      <c r="G45" s="76" t="s">
        <v>280</v>
      </c>
      <c r="H45" s="76" t="s">
        <v>1425</v>
      </c>
      <c r="I45" s="76" t="s">
        <v>1425</v>
      </c>
      <c r="J45" s="76" t="s">
        <v>1425</v>
      </c>
      <c r="K45" s="76" t="s">
        <v>1503</v>
      </c>
      <c r="L45" s="88"/>
      <c r="M45" s="88"/>
      <c r="N45" s="88"/>
      <c r="O45" s="88"/>
      <c r="P45" s="88"/>
      <c r="Q45" s="88"/>
      <c r="R45" s="88"/>
      <c r="S45" s="88"/>
      <c r="T45" s="88"/>
      <c r="U45" s="88"/>
      <c r="V45" s="88"/>
      <c r="W45" s="88"/>
      <c r="X45" s="88"/>
      <c r="Y45" s="88"/>
      <c r="Z45" s="88"/>
    </row>
    <row r="46">
      <c r="A46" s="76">
        <v>1154.0</v>
      </c>
      <c r="B46" s="76" t="s">
        <v>1425</v>
      </c>
      <c r="C46" s="76" t="s">
        <v>1425</v>
      </c>
      <c r="D46" s="76" t="s">
        <v>1425</v>
      </c>
      <c r="E46" s="76" t="s">
        <v>1425</v>
      </c>
      <c r="F46" s="76" t="s">
        <v>1425</v>
      </c>
      <c r="G46" s="76" t="s">
        <v>280</v>
      </c>
      <c r="H46" s="76" t="s">
        <v>1425</v>
      </c>
      <c r="I46" s="76" t="s">
        <v>1425</v>
      </c>
      <c r="J46" s="76" t="s">
        <v>1425</v>
      </c>
      <c r="K46" s="76" t="s">
        <v>1504</v>
      </c>
      <c r="L46" s="88"/>
      <c r="M46" s="88"/>
      <c r="N46" s="88"/>
      <c r="O46" s="88"/>
      <c r="P46" s="88"/>
      <c r="Q46" s="88"/>
      <c r="R46" s="88"/>
      <c r="S46" s="88"/>
      <c r="T46" s="88"/>
      <c r="U46" s="88"/>
      <c r="V46" s="88"/>
      <c r="W46" s="88"/>
      <c r="X46" s="88"/>
      <c r="Y46" s="88"/>
      <c r="Z46" s="88"/>
    </row>
    <row r="47">
      <c r="A47" s="80">
        <v>1347.0</v>
      </c>
      <c r="B47" s="80" t="s">
        <v>1425</v>
      </c>
      <c r="C47" s="80" t="s">
        <v>1425</v>
      </c>
      <c r="D47" s="80" t="s">
        <v>1425</v>
      </c>
      <c r="E47" s="80" t="s">
        <v>1425</v>
      </c>
      <c r="F47" s="80" t="s">
        <v>1425</v>
      </c>
      <c r="G47" s="80" t="s">
        <v>280</v>
      </c>
      <c r="H47" s="80" t="s">
        <v>1425</v>
      </c>
      <c r="I47" s="80" t="s">
        <v>1425</v>
      </c>
      <c r="J47" s="80" t="s">
        <v>1425</v>
      </c>
      <c r="K47" s="94" t="s">
        <v>1505</v>
      </c>
      <c r="L47" s="86"/>
      <c r="M47" s="86"/>
      <c r="N47" s="86"/>
      <c r="O47" s="86"/>
      <c r="P47" s="86"/>
      <c r="Q47" s="86"/>
      <c r="R47" s="86"/>
      <c r="S47" s="86"/>
      <c r="T47" s="86"/>
      <c r="U47" s="86"/>
      <c r="V47" s="86"/>
      <c r="W47" s="86"/>
      <c r="X47" s="86"/>
      <c r="Y47" s="86"/>
      <c r="Z47" s="86"/>
    </row>
    <row r="48">
      <c r="A48" s="80">
        <v>1061.0</v>
      </c>
      <c r="B48" s="80" t="s">
        <v>1425</v>
      </c>
      <c r="C48" s="80" t="s">
        <v>1425</v>
      </c>
      <c r="D48" s="80" t="s">
        <v>1425</v>
      </c>
      <c r="E48" s="80" t="s">
        <v>1425</v>
      </c>
      <c r="F48" s="80" t="s">
        <v>1425</v>
      </c>
      <c r="G48" s="80" t="s">
        <v>280</v>
      </c>
      <c r="H48" s="80" t="s">
        <v>1425</v>
      </c>
      <c r="I48" s="80" t="s">
        <v>1425</v>
      </c>
      <c r="J48" s="80" t="s">
        <v>1425</v>
      </c>
      <c r="K48" s="80" t="s">
        <v>1506</v>
      </c>
      <c r="L48" s="86"/>
      <c r="M48" s="86"/>
      <c r="N48" s="86"/>
      <c r="O48" s="86"/>
      <c r="P48" s="86"/>
      <c r="Q48" s="86"/>
      <c r="R48" s="86"/>
      <c r="S48" s="86"/>
      <c r="T48" s="86"/>
      <c r="U48" s="86"/>
      <c r="V48" s="86"/>
      <c r="W48" s="86"/>
      <c r="X48" s="86"/>
      <c r="Y48" s="86"/>
      <c r="Z48" s="86"/>
    </row>
    <row r="49">
      <c r="A49" s="80">
        <v>565.0</v>
      </c>
      <c r="B49" s="80" t="s">
        <v>1425</v>
      </c>
      <c r="C49" s="80" t="s">
        <v>1425</v>
      </c>
      <c r="D49" s="80" t="s">
        <v>1425</v>
      </c>
      <c r="E49" s="80" t="s">
        <v>1425</v>
      </c>
      <c r="F49" s="80" t="s">
        <v>1425</v>
      </c>
      <c r="G49" s="80" t="s">
        <v>280</v>
      </c>
      <c r="H49" s="80" t="s">
        <v>1425</v>
      </c>
      <c r="I49" s="80" t="s">
        <v>1507</v>
      </c>
      <c r="J49" s="80" t="s">
        <v>1425</v>
      </c>
      <c r="K49" s="80" t="s">
        <v>1508</v>
      </c>
      <c r="L49" s="86"/>
      <c r="M49" s="86"/>
      <c r="N49" s="86"/>
      <c r="O49" s="86"/>
      <c r="P49" s="86"/>
      <c r="Q49" s="86"/>
      <c r="R49" s="86"/>
      <c r="S49" s="86"/>
      <c r="T49" s="86"/>
      <c r="U49" s="86"/>
      <c r="V49" s="86"/>
      <c r="W49" s="86"/>
      <c r="X49" s="86"/>
      <c r="Y49" s="86"/>
      <c r="Z49" s="86"/>
    </row>
    <row r="50">
      <c r="A50" s="80">
        <v>1053.0</v>
      </c>
      <c r="B50" s="80" t="s">
        <v>1509</v>
      </c>
      <c r="C50" s="80" t="s">
        <v>1425</v>
      </c>
      <c r="D50" s="80" t="s">
        <v>1425</v>
      </c>
      <c r="E50" s="80" t="s">
        <v>1425</v>
      </c>
      <c r="F50" s="80" t="s">
        <v>1425</v>
      </c>
      <c r="G50" s="80" t="s">
        <v>280</v>
      </c>
      <c r="H50" s="80" t="s">
        <v>1510</v>
      </c>
      <c r="I50" s="80" t="s">
        <v>1425</v>
      </c>
      <c r="J50" s="80" t="s">
        <v>1425</v>
      </c>
      <c r="K50" s="80" t="s">
        <v>1511</v>
      </c>
      <c r="L50" s="86"/>
      <c r="M50" s="86"/>
      <c r="N50" s="86"/>
      <c r="O50" s="86"/>
      <c r="P50" s="86"/>
      <c r="Q50" s="86"/>
      <c r="R50" s="86"/>
      <c r="S50" s="86"/>
      <c r="T50" s="86"/>
      <c r="U50" s="86"/>
      <c r="V50" s="86"/>
      <c r="W50" s="86"/>
      <c r="X50" s="86"/>
      <c r="Y50" s="86"/>
      <c r="Z50" s="86"/>
    </row>
    <row r="51">
      <c r="A51" s="80">
        <v>590.0</v>
      </c>
      <c r="B51" s="80" t="s">
        <v>1425</v>
      </c>
      <c r="C51" s="80" t="s">
        <v>1425</v>
      </c>
      <c r="D51" s="80" t="s">
        <v>1425</v>
      </c>
      <c r="E51" s="80" t="s">
        <v>1425</v>
      </c>
      <c r="F51" s="80" t="s">
        <v>1425</v>
      </c>
      <c r="G51" s="80" t="s">
        <v>280</v>
      </c>
      <c r="H51" s="80" t="s">
        <v>1425</v>
      </c>
      <c r="I51" s="80" t="s">
        <v>1425</v>
      </c>
      <c r="J51" s="80" t="s">
        <v>1425</v>
      </c>
      <c r="K51" s="80" t="s">
        <v>1512</v>
      </c>
      <c r="L51" s="86"/>
      <c r="M51" s="86"/>
      <c r="N51" s="86"/>
      <c r="O51" s="86"/>
      <c r="P51" s="86"/>
      <c r="Q51" s="86"/>
      <c r="R51" s="86"/>
      <c r="S51" s="86"/>
      <c r="T51" s="86"/>
      <c r="U51" s="86"/>
      <c r="V51" s="86"/>
      <c r="W51" s="86"/>
      <c r="X51" s="86"/>
      <c r="Y51" s="86"/>
      <c r="Z51" s="86"/>
    </row>
    <row r="52">
      <c r="A52" s="80">
        <v>1337.0</v>
      </c>
      <c r="B52" s="80" t="s">
        <v>1425</v>
      </c>
      <c r="C52" s="80" t="s">
        <v>1425</v>
      </c>
      <c r="D52" s="80" t="s">
        <v>1425</v>
      </c>
      <c r="E52" s="80" t="s">
        <v>1425</v>
      </c>
      <c r="F52" s="80" t="s">
        <v>1425</v>
      </c>
      <c r="G52" s="80" t="s">
        <v>280</v>
      </c>
      <c r="H52" s="80" t="s">
        <v>1425</v>
      </c>
      <c r="I52" s="80" t="s">
        <v>1425</v>
      </c>
      <c r="J52" s="80" t="s">
        <v>1425</v>
      </c>
      <c r="K52" s="80" t="s">
        <v>1513</v>
      </c>
      <c r="L52" s="86"/>
      <c r="M52" s="86"/>
      <c r="N52" s="86"/>
      <c r="O52" s="86"/>
      <c r="P52" s="86"/>
      <c r="Q52" s="86"/>
      <c r="R52" s="86"/>
      <c r="S52" s="86"/>
      <c r="T52" s="86"/>
      <c r="U52" s="86"/>
      <c r="V52" s="86"/>
      <c r="W52" s="86"/>
      <c r="X52" s="86"/>
      <c r="Y52" s="86"/>
      <c r="Z52" s="86"/>
    </row>
    <row r="53">
      <c r="A53" s="80">
        <v>1472.0</v>
      </c>
      <c r="B53" s="80" t="s">
        <v>1425</v>
      </c>
      <c r="C53" s="80" t="s">
        <v>1425</v>
      </c>
      <c r="D53" s="80" t="s">
        <v>1425</v>
      </c>
      <c r="E53" s="80" t="s">
        <v>1425</v>
      </c>
      <c r="F53" s="80" t="s">
        <v>1425</v>
      </c>
      <c r="G53" s="80" t="s">
        <v>280</v>
      </c>
      <c r="H53" s="80" t="s">
        <v>1425</v>
      </c>
      <c r="I53" s="80" t="s">
        <v>1425</v>
      </c>
      <c r="J53" s="80" t="s">
        <v>1425</v>
      </c>
      <c r="K53" s="80" t="s">
        <v>1514</v>
      </c>
      <c r="L53" s="86"/>
      <c r="M53" s="86"/>
      <c r="N53" s="86"/>
      <c r="O53" s="86"/>
      <c r="P53" s="86"/>
      <c r="Q53" s="86"/>
      <c r="R53" s="86"/>
      <c r="S53" s="86"/>
      <c r="T53" s="86"/>
      <c r="U53" s="86"/>
      <c r="V53" s="86"/>
      <c r="W53" s="86"/>
      <c r="X53" s="86"/>
      <c r="Y53" s="86"/>
      <c r="Z53" s="86"/>
    </row>
    <row r="54">
      <c r="A54" s="80">
        <v>503.0</v>
      </c>
      <c r="B54" s="80" t="s">
        <v>1425</v>
      </c>
      <c r="C54" s="80" t="s">
        <v>1425</v>
      </c>
      <c r="D54" s="80" t="s">
        <v>1425</v>
      </c>
      <c r="E54" s="80" t="s">
        <v>1425</v>
      </c>
      <c r="F54" s="80" t="s">
        <v>1425</v>
      </c>
      <c r="G54" s="80" t="s">
        <v>280</v>
      </c>
      <c r="H54" s="80" t="s">
        <v>1425</v>
      </c>
      <c r="I54" s="80" t="s">
        <v>1425</v>
      </c>
      <c r="J54" s="80" t="s">
        <v>1425</v>
      </c>
      <c r="K54" s="80" t="s">
        <v>1515</v>
      </c>
      <c r="L54" s="86"/>
      <c r="M54" s="86"/>
      <c r="N54" s="86"/>
      <c r="O54" s="86"/>
      <c r="P54" s="86"/>
      <c r="Q54" s="86"/>
      <c r="R54" s="86"/>
      <c r="S54" s="86"/>
      <c r="T54" s="86"/>
      <c r="U54" s="86"/>
      <c r="V54" s="86"/>
      <c r="W54" s="86"/>
      <c r="X54" s="86"/>
      <c r="Y54" s="86"/>
      <c r="Z54" s="86"/>
    </row>
    <row r="55">
      <c r="A55" s="80">
        <v>928.0</v>
      </c>
      <c r="B55" s="80" t="s">
        <v>1509</v>
      </c>
      <c r="C55" s="80" t="s">
        <v>1425</v>
      </c>
      <c r="D55" s="80" t="s">
        <v>1440</v>
      </c>
      <c r="E55" s="80" t="s">
        <v>1425</v>
      </c>
      <c r="F55" s="80" t="s">
        <v>1425</v>
      </c>
      <c r="G55" s="80" t="s">
        <v>280</v>
      </c>
      <c r="H55" s="80" t="s">
        <v>1425</v>
      </c>
      <c r="I55" s="80" t="s">
        <v>1440</v>
      </c>
      <c r="J55" s="80" t="s">
        <v>1440</v>
      </c>
      <c r="K55" s="80" t="s">
        <v>1516</v>
      </c>
      <c r="L55" s="86"/>
      <c r="M55" s="86"/>
      <c r="N55" s="86"/>
      <c r="O55" s="86"/>
      <c r="P55" s="86"/>
      <c r="Q55" s="86"/>
      <c r="R55" s="86"/>
      <c r="S55" s="86"/>
      <c r="T55" s="86"/>
      <c r="U55" s="86"/>
      <c r="V55" s="86"/>
      <c r="W55" s="86"/>
      <c r="X55" s="86"/>
      <c r="Y55" s="86"/>
      <c r="Z55" s="86"/>
    </row>
    <row r="56">
      <c r="A56" s="80">
        <v>766.0</v>
      </c>
      <c r="B56" s="80" t="s">
        <v>1425</v>
      </c>
      <c r="C56" s="80" t="s">
        <v>1425</v>
      </c>
      <c r="D56" s="80" t="s">
        <v>1425</v>
      </c>
      <c r="E56" s="80" t="s">
        <v>1425</v>
      </c>
      <c r="F56" s="80" t="s">
        <v>1425</v>
      </c>
      <c r="G56" s="80" t="s">
        <v>514</v>
      </c>
      <c r="H56" s="80" t="s">
        <v>1517</v>
      </c>
      <c r="I56" s="80" t="s">
        <v>1425</v>
      </c>
      <c r="J56" s="80" t="s">
        <v>1425</v>
      </c>
      <c r="K56" s="80" t="s">
        <v>1157</v>
      </c>
      <c r="L56" s="86"/>
      <c r="M56" s="86"/>
      <c r="N56" s="86"/>
      <c r="O56" s="86"/>
      <c r="P56" s="86"/>
      <c r="Q56" s="86"/>
      <c r="R56" s="86"/>
      <c r="S56" s="86"/>
      <c r="T56" s="86"/>
      <c r="U56" s="86"/>
      <c r="V56" s="86"/>
      <c r="W56" s="86"/>
      <c r="X56" s="86"/>
      <c r="Y56" s="86"/>
      <c r="Z56" s="86"/>
    </row>
    <row r="57">
      <c r="A57" s="80">
        <v>549.0</v>
      </c>
      <c r="B57" s="80" t="s">
        <v>1509</v>
      </c>
      <c r="C57" s="80" t="s">
        <v>1425</v>
      </c>
      <c r="D57" s="80" t="s">
        <v>1425</v>
      </c>
      <c r="E57" s="80" t="s">
        <v>1425</v>
      </c>
      <c r="F57" s="80" t="s">
        <v>1425</v>
      </c>
      <c r="G57" s="80" t="s">
        <v>1518</v>
      </c>
      <c r="H57" s="80" t="s">
        <v>1517</v>
      </c>
      <c r="I57" s="80" t="s">
        <v>1425</v>
      </c>
      <c r="J57" s="80" t="s">
        <v>1425</v>
      </c>
      <c r="K57" s="80" t="s">
        <v>1519</v>
      </c>
      <c r="L57" s="86"/>
      <c r="M57" s="86"/>
      <c r="N57" s="86"/>
      <c r="O57" s="86"/>
      <c r="P57" s="86"/>
      <c r="Q57" s="86"/>
      <c r="R57" s="86"/>
      <c r="S57" s="86"/>
      <c r="T57" s="86"/>
      <c r="U57" s="86"/>
      <c r="V57" s="86"/>
      <c r="W57" s="86"/>
      <c r="X57" s="86"/>
      <c r="Y57" s="86"/>
      <c r="Z57" s="86"/>
    </row>
    <row r="58">
      <c r="A58" s="80">
        <v>509.0</v>
      </c>
      <c r="B58" s="80" t="s">
        <v>1425</v>
      </c>
      <c r="C58" s="80" t="s">
        <v>1425</v>
      </c>
      <c r="D58" s="80" t="s">
        <v>1425</v>
      </c>
      <c r="E58" s="80" t="s">
        <v>1425</v>
      </c>
      <c r="F58" s="80" t="s">
        <v>1425</v>
      </c>
      <c r="G58" s="80" t="s">
        <v>1520</v>
      </c>
      <c r="H58" s="80" t="s">
        <v>1517</v>
      </c>
      <c r="I58" s="80" t="s">
        <v>1425</v>
      </c>
      <c r="J58" s="80" t="s">
        <v>1425</v>
      </c>
      <c r="K58" s="80" t="s">
        <v>1521</v>
      </c>
      <c r="L58" s="86"/>
      <c r="M58" s="86"/>
      <c r="N58" s="86"/>
      <c r="O58" s="86"/>
      <c r="P58" s="86"/>
      <c r="Q58" s="86"/>
      <c r="R58" s="86"/>
      <c r="S58" s="86"/>
      <c r="T58" s="86"/>
      <c r="U58" s="86"/>
      <c r="V58" s="86"/>
      <c r="W58" s="86"/>
      <c r="X58" s="86"/>
      <c r="Y58" s="86"/>
      <c r="Z58" s="86"/>
    </row>
    <row r="59">
      <c r="A59" s="80">
        <v>1380.0</v>
      </c>
      <c r="B59" s="80" t="s">
        <v>1425</v>
      </c>
      <c r="C59" s="80" t="s">
        <v>1425</v>
      </c>
      <c r="D59" s="80" t="s">
        <v>1425</v>
      </c>
      <c r="E59" s="80" t="s">
        <v>1425</v>
      </c>
      <c r="F59" s="80" t="s">
        <v>1425</v>
      </c>
      <c r="G59" s="80" t="s">
        <v>280</v>
      </c>
      <c r="H59" s="80" t="s">
        <v>1425</v>
      </c>
      <c r="I59" s="80" t="s">
        <v>1425</v>
      </c>
      <c r="J59" s="80" t="s">
        <v>1425</v>
      </c>
      <c r="K59" s="80" t="s">
        <v>1522</v>
      </c>
      <c r="L59" s="86"/>
      <c r="M59" s="86"/>
      <c r="N59" s="86"/>
      <c r="O59" s="86"/>
      <c r="P59" s="86"/>
      <c r="Q59" s="86"/>
      <c r="R59" s="86"/>
      <c r="S59" s="86"/>
      <c r="T59" s="86"/>
      <c r="U59" s="86"/>
      <c r="V59" s="86"/>
      <c r="W59" s="86"/>
      <c r="X59" s="86"/>
      <c r="Y59" s="86"/>
      <c r="Z59" s="86"/>
    </row>
    <row r="60">
      <c r="A60" s="80">
        <v>918.0</v>
      </c>
      <c r="B60" s="80" t="s">
        <v>1425</v>
      </c>
      <c r="C60" s="80" t="s">
        <v>1425</v>
      </c>
      <c r="D60" s="80" t="s">
        <v>1425</v>
      </c>
      <c r="E60" s="80" t="s">
        <v>1425</v>
      </c>
      <c r="F60" s="80" t="s">
        <v>1425</v>
      </c>
      <c r="G60" s="80" t="s">
        <v>280</v>
      </c>
      <c r="H60" s="80" t="s">
        <v>1425</v>
      </c>
      <c r="I60" s="80" t="s">
        <v>1425</v>
      </c>
      <c r="J60" s="80" t="s">
        <v>1425</v>
      </c>
      <c r="K60" s="80" t="s">
        <v>1523</v>
      </c>
      <c r="L60" s="86"/>
      <c r="M60" s="86"/>
      <c r="N60" s="86"/>
      <c r="O60" s="86"/>
      <c r="P60" s="86"/>
      <c r="Q60" s="86"/>
      <c r="R60" s="86"/>
      <c r="S60" s="86"/>
      <c r="T60" s="86"/>
      <c r="U60" s="86"/>
      <c r="V60" s="86"/>
      <c r="W60" s="86"/>
      <c r="X60" s="86"/>
      <c r="Y60" s="86"/>
      <c r="Z60" s="86"/>
    </row>
    <row r="61">
      <c r="A61" s="76">
        <v>327.0</v>
      </c>
      <c r="B61" s="76" t="s">
        <v>1425</v>
      </c>
      <c r="C61" s="76" t="s">
        <v>1425</v>
      </c>
      <c r="D61" s="76" t="s">
        <v>1425</v>
      </c>
      <c r="E61" s="76" t="s">
        <v>1425</v>
      </c>
      <c r="F61" s="76" t="s">
        <v>1425</v>
      </c>
      <c r="G61" s="76" t="s">
        <v>280</v>
      </c>
      <c r="H61" s="76" t="s">
        <v>1425</v>
      </c>
      <c r="I61" s="76" t="s">
        <v>1425</v>
      </c>
      <c r="J61" s="76" t="s">
        <v>1425</v>
      </c>
      <c r="K61" s="76" t="s">
        <v>1524</v>
      </c>
      <c r="L61" s="88"/>
      <c r="M61" s="88"/>
      <c r="N61" s="88"/>
      <c r="O61" s="88"/>
      <c r="P61" s="88"/>
      <c r="Q61" s="88"/>
      <c r="R61" s="88"/>
      <c r="S61" s="88"/>
      <c r="T61" s="88"/>
      <c r="U61" s="88"/>
      <c r="V61" s="88"/>
      <c r="W61" s="88"/>
      <c r="X61" s="88"/>
      <c r="Y61" s="88"/>
      <c r="Z61" s="88"/>
    </row>
    <row r="62">
      <c r="A62" s="80">
        <v>603.0</v>
      </c>
      <c r="B62" s="80" t="s">
        <v>1425</v>
      </c>
      <c r="C62" s="80" t="s">
        <v>1425</v>
      </c>
      <c r="D62" s="80" t="s">
        <v>1425</v>
      </c>
      <c r="E62" s="80" t="s">
        <v>1425</v>
      </c>
      <c r="F62" s="80" t="s">
        <v>1425</v>
      </c>
      <c r="G62" s="80" t="s">
        <v>280</v>
      </c>
      <c r="H62" s="80" t="s">
        <v>1425</v>
      </c>
      <c r="I62" s="80" t="s">
        <v>1425</v>
      </c>
      <c r="J62" s="80" t="s">
        <v>1425</v>
      </c>
      <c r="K62" s="80" t="s">
        <v>1525</v>
      </c>
      <c r="L62" s="86"/>
      <c r="M62" s="86"/>
      <c r="N62" s="86"/>
      <c r="O62" s="86"/>
      <c r="P62" s="86"/>
      <c r="Q62" s="86"/>
      <c r="R62" s="86"/>
      <c r="S62" s="86"/>
      <c r="T62" s="86"/>
      <c r="U62" s="86"/>
      <c r="V62" s="86"/>
      <c r="W62" s="86"/>
      <c r="X62" s="86"/>
      <c r="Y62" s="86"/>
      <c r="Z62" s="86"/>
    </row>
    <row r="63">
      <c r="A63" s="80">
        <v>614.0</v>
      </c>
      <c r="B63" s="80" t="s">
        <v>1425</v>
      </c>
      <c r="C63" s="80" t="s">
        <v>1425</v>
      </c>
      <c r="D63" s="80" t="s">
        <v>1425</v>
      </c>
      <c r="E63" s="80" t="s">
        <v>1425</v>
      </c>
      <c r="F63" s="80" t="s">
        <v>1425</v>
      </c>
      <c r="G63" s="80" t="s">
        <v>280</v>
      </c>
      <c r="H63" s="80" t="s">
        <v>1425</v>
      </c>
      <c r="I63" s="80" t="s">
        <v>1425</v>
      </c>
      <c r="J63" s="80" t="s">
        <v>1425</v>
      </c>
      <c r="K63" s="80" t="s">
        <v>1526</v>
      </c>
      <c r="L63" s="86"/>
      <c r="M63" s="86"/>
      <c r="N63" s="86"/>
      <c r="O63" s="86"/>
      <c r="P63" s="86"/>
      <c r="Q63" s="86"/>
      <c r="R63" s="86"/>
      <c r="S63" s="86"/>
      <c r="T63" s="86"/>
      <c r="U63" s="86"/>
      <c r="V63" s="86"/>
      <c r="W63" s="86"/>
      <c r="X63" s="86"/>
      <c r="Y63" s="86"/>
      <c r="Z63" s="86"/>
    </row>
    <row r="64">
      <c r="A64" s="80">
        <v>943.0</v>
      </c>
      <c r="B64" s="80" t="s">
        <v>1425</v>
      </c>
      <c r="C64" s="80" t="s">
        <v>1425</v>
      </c>
      <c r="D64" s="80" t="s">
        <v>1425</v>
      </c>
      <c r="E64" s="80" t="s">
        <v>1425</v>
      </c>
      <c r="F64" s="80" t="s">
        <v>1425</v>
      </c>
      <c r="G64" s="80" t="s">
        <v>280</v>
      </c>
      <c r="H64" s="80" t="s">
        <v>1425</v>
      </c>
      <c r="I64" s="80" t="s">
        <v>1425</v>
      </c>
      <c r="J64" s="80" t="s">
        <v>1425</v>
      </c>
      <c r="K64" s="80" t="s">
        <v>1527</v>
      </c>
      <c r="L64" s="86"/>
      <c r="M64" s="86"/>
      <c r="N64" s="86"/>
      <c r="O64" s="86"/>
      <c r="P64" s="86"/>
      <c r="Q64" s="86"/>
      <c r="R64" s="86"/>
      <c r="S64" s="86"/>
      <c r="T64" s="86"/>
      <c r="U64" s="86"/>
      <c r="V64" s="86"/>
      <c r="W64" s="86"/>
      <c r="X64" s="86"/>
      <c r="Y64" s="86"/>
      <c r="Z64" s="86"/>
    </row>
    <row r="65">
      <c r="A65" s="76">
        <v>436.0</v>
      </c>
      <c r="B65" s="76" t="s">
        <v>1425</v>
      </c>
      <c r="C65" s="76" t="s">
        <v>1425</v>
      </c>
      <c r="D65" s="76" t="s">
        <v>1425</v>
      </c>
      <c r="E65" s="76" t="s">
        <v>1425</v>
      </c>
      <c r="F65" s="76" t="s">
        <v>1425</v>
      </c>
      <c r="G65" s="76" t="s">
        <v>280</v>
      </c>
      <c r="H65" s="76" t="s">
        <v>1425</v>
      </c>
      <c r="I65" s="76" t="s">
        <v>1425</v>
      </c>
      <c r="J65" s="76" t="s">
        <v>1425</v>
      </c>
      <c r="K65" s="76" t="s">
        <v>1528</v>
      </c>
      <c r="L65" s="88"/>
      <c r="M65" s="88"/>
      <c r="N65" s="88"/>
      <c r="O65" s="88"/>
      <c r="P65" s="88"/>
      <c r="Q65" s="88"/>
      <c r="R65" s="88"/>
      <c r="S65" s="88"/>
      <c r="T65" s="88"/>
      <c r="U65" s="88"/>
      <c r="V65" s="88"/>
      <c r="W65" s="88"/>
      <c r="X65" s="88"/>
      <c r="Y65" s="88"/>
      <c r="Z65" s="88"/>
    </row>
    <row r="66">
      <c r="A66" s="80">
        <v>1164.0</v>
      </c>
      <c r="B66" s="80" t="s">
        <v>1425</v>
      </c>
      <c r="C66" s="80" t="s">
        <v>1425</v>
      </c>
      <c r="D66" s="80" t="s">
        <v>1425</v>
      </c>
      <c r="E66" s="80" t="s">
        <v>1425</v>
      </c>
      <c r="F66" s="80" t="s">
        <v>1425</v>
      </c>
      <c r="G66" s="80" t="s">
        <v>280</v>
      </c>
      <c r="H66" s="80" t="s">
        <v>1425</v>
      </c>
      <c r="I66" s="80" t="s">
        <v>1425</v>
      </c>
      <c r="J66" s="80" t="s">
        <v>1425</v>
      </c>
      <c r="K66" s="80" t="s">
        <v>1529</v>
      </c>
      <c r="L66" s="86"/>
      <c r="M66" s="86"/>
      <c r="N66" s="86"/>
      <c r="O66" s="86"/>
      <c r="P66" s="86"/>
      <c r="Q66" s="86"/>
      <c r="R66" s="86"/>
      <c r="S66" s="86"/>
      <c r="T66" s="86"/>
      <c r="U66" s="86"/>
      <c r="V66" s="86"/>
      <c r="W66" s="86"/>
      <c r="X66" s="86"/>
      <c r="Y66" s="86"/>
      <c r="Z66" s="86"/>
    </row>
    <row r="67">
      <c r="A67" s="76">
        <v>1072.0</v>
      </c>
      <c r="B67" s="76" t="s">
        <v>1425</v>
      </c>
      <c r="C67" s="76" t="s">
        <v>1425</v>
      </c>
      <c r="D67" s="76" t="s">
        <v>1425</v>
      </c>
      <c r="E67" s="76" t="s">
        <v>1425</v>
      </c>
      <c r="F67" s="76" t="s">
        <v>1425</v>
      </c>
      <c r="G67" s="76" t="s">
        <v>280</v>
      </c>
      <c r="H67" s="76" t="s">
        <v>1425</v>
      </c>
      <c r="I67" s="76" t="s">
        <v>1425</v>
      </c>
      <c r="J67" s="76" t="s">
        <v>1425</v>
      </c>
      <c r="K67" s="76" t="s">
        <v>1530</v>
      </c>
      <c r="L67" s="88"/>
      <c r="M67" s="88"/>
      <c r="N67" s="88"/>
      <c r="O67" s="88"/>
      <c r="P67" s="88"/>
      <c r="Q67" s="88"/>
      <c r="R67" s="88"/>
      <c r="S67" s="88"/>
      <c r="T67" s="88"/>
      <c r="U67" s="88"/>
      <c r="V67" s="88"/>
      <c r="W67" s="88"/>
      <c r="X67" s="88"/>
      <c r="Y67" s="88"/>
      <c r="Z67" s="88"/>
    </row>
    <row r="68">
      <c r="A68" s="76">
        <v>573.0</v>
      </c>
      <c r="B68" s="95" t="s">
        <v>1425</v>
      </c>
      <c r="C68" s="76" t="s">
        <v>1425</v>
      </c>
      <c r="D68" s="76" t="s">
        <v>1425</v>
      </c>
      <c r="E68" s="76" t="s">
        <v>1425</v>
      </c>
      <c r="F68" s="76" t="s">
        <v>1425</v>
      </c>
      <c r="G68" s="76" t="s">
        <v>280</v>
      </c>
      <c r="H68" s="76" t="s">
        <v>1517</v>
      </c>
      <c r="I68" s="76" t="s">
        <v>1440</v>
      </c>
      <c r="J68" s="76" t="s">
        <v>1440</v>
      </c>
      <c r="K68" s="76" t="s">
        <v>1531</v>
      </c>
      <c r="L68" s="88"/>
      <c r="M68" s="88"/>
      <c r="N68" s="88"/>
      <c r="O68" s="88"/>
      <c r="P68" s="88"/>
      <c r="Q68" s="88"/>
      <c r="R68" s="88"/>
      <c r="S68" s="88"/>
      <c r="T68" s="88"/>
      <c r="U68" s="88"/>
      <c r="V68" s="88"/>
      <c r="W68" s="88"/>
      <c r="X68" s="88"/>
      <c r="Y68" s="88"/>
      <c r="Z68" s="88"/>
    </row>
    <row r="69">
      <c r="A69" s="76">
        <v>1385.0</v>
      </c>
      <c r="B69" s="95" t="s">
        <v>1425</v>
      </c>
      <c r="C69" s="76" t="s">
        <v>1425</v>
      </c>
      <c r="D69" s="76" t="s">
        <v>1425</v>
      </c>
      <c r="E69" s="76" t="s">
        <v>1425</v>
      </c>
      <c r="F69" s="76" t="s">
        <v>1425</v>
      </c>
      <c r="G69" s="76" t="s">
        <v>280</v>
      </c>
      <c r="H69" s="76" t="s">
        <v>1517</v>
      </c>
      <c r="I69" s="76" t="s">
        <v>1425</v>
      </c>
      <c r="J69" s="76" t="s">
        <v>1425</v>
      </c>
      <c r="K69" s="76" t="s">
        <v>1532</v>
      </c>
      <c r="L69" s="88"/>
      <c r="M69" s="88"/>
      <c r="N69" s="88"/>
      <c r="O69" s="88"/>
      <c r="P69" s="88"/>
      <c r="Q69" s="88"/>
      <c r="R69" s="88"/>
      <c r="S69" s="88"/>
      <c r="T69" s="88"/>
      <c r="U69" s="88"/>
      <c r="V69" s="88"/>
      <c r="W69" s="88"/>
      <c r="X69" s="88"/>
      <c r="Y69" s="88"/>
      <c r="Z69" s="88"/>
    </row>
    <row r="70">
      <c r="A70" s="76">
        <v>626.0</v>
      </c>
      <c r="B70" s="76" t="s">
        <v>1425</v>
      </c>
      <c r="C70" s="76" t="s">
        <v>1440</v>
      </c>
      <c r="D70" s="76" t="s">
        <v>1440</v>
      </c>
      <c r="E70" s="76" t="s">
        <v>1425</v>
      </c>
      <c r="F70" s="76" t="s">
        <v>1425</v>
      </c>
      <c r="G70" s="76" t="s">
        <v>280</v>
      </c>
      <c r="H70" s="76" t="s">
        <v>1517</v>
      </c>
      <c r="I70" s="76" t="s">
        <v>1440</v>
      </c>
      <c r="J70" s="76" t="s">
        <v>1440</v>
      </c>
      <c r="K70" s="96" t="s">
        <v>1533</v>
      </c>
      <c r="L70" s="88"/>
      <c r="M70" s="88"/>
      <c r="N70" s="88"/>
      <c r="O70" s="88"/>
      <c r="P70" s="88"/>
      <c r="Q70" s="88"/>
      <c r="R70" s="88"/>
      <c r="S70" s="88"/>
      <c r="T70" s="88"/>
      <c r="U70" s="88"/>
      <c r="V70" s="88"/>
      <c r="W70" s="88"/>
      <c r="X70" s="88"/>
      <c r="Y70" s="88"/>
      <c r="Z70" s="88"/>
    </row>
    <row r="71">
      <c r="A71" s="76">
        <v>615.0</v>
      </c>
      <c r="B71" s="76" t="s">
        <v>1425</v>
      </c>
      <c r="C71" s="76" t="s">
        <v>1425</v>
      </c>
      <c r="D71" s="76" t="s">
        <v>1425</v>
      </c>
      <c r="E71" s="76" t="s">
        <v>1425</v>
      </c>
      <c r="F71" s="76" t="s">
        <v>1425</v>
      </c>
      <c r="G71" s="76" t="s">
        <v>280</v>
      </c>
      <c r="H71" s="76" t="s">
        <v>1517</v>
      </c>
      <c r="I71" s="76" t="s">
        <v>1440</v>
      </c>
      <c r="J71" s="76" t="s">
        <v>1440</v>
      </c>
      <c r="K71" s="76" t="s">
        <v>1534</v>
      </c>
      <c r="L71" s="88"/>
      <c r="M71" s="88"/>
      <c r="N71" s="88"/>
      <c r="O71" s="88"/>
      <c r="P71" s="88"/>
      <c r="Q71" s="88"/>
      <c r="R71" s="88"/>
      <c r="S71" s="88"/>
      <c r="T71" s="88"/>
      <c r="U71" s="88"/>
      <c r="V71" s="88"/>
      <c r="W71" s="88"/>
      <c r="X71" s="88"/>
      <c r="Y71" s="88"/>
      <c r="Z71" s="88"/>
    </row>
    <row r="72">
      <c r="A72" s="76">
        <v>968.0</v>
      </c>
      <c r="B72" s="76" t="s">
        <v>1425</v>
      </c>
      <c r="C72" s="76" t="s">
        <v>1425</v>
      </c>
      <c r="D72" s="76" t="s">
        <v>1425</v>
      </c>
      <c r="E72" s="76" t="s">
        <v>1425</v>
      </c>
      <c r="F72" s="76" t="s">
        <v>1425</v>
      </c>
      <c r="G72" s="76" t="s">
        <v>280</v>
      </c>
      <c r="H72" s="76" t="s">
        <v>1535</v>
      </c>
      <c r="I72" s="76" t="s">
        <v>1425</v>
      </c>
      <c r="J72" s="76" t="s">
        <v>1425</v>
      </c>
      <c r="K72" s="76" t="s">
        <v>1536</v>
      </c>
      <c r="L72" s="88"/>
      <c r="M72" s="88"/>
      <c r="N72" s="88"/>
      <c r="O72" s="88"/>
      <c r="P72" s="88"/>
      <c r="Q72" s="88"/>
      <c r="R72" s="88"/>
      <c r="S72" s="88"/>
      <c r="T72" s="88"/>
      <c r="U72" s="88"/>
      <c r="V72" s="88"/>
      <c r="W72" s="88"/>
      <c r="X72" s="88"/>
      <c r="Y72" s="88"/>
      <c r="Z72" s="88"/>
    </row>
    <row r="73">
      <c r="A73" s="76">
        <v>1224.0</v>
      </c>
      <c r="B73" s="76" t="s">
        <v>1425</v>
      </c>
      <c r="C73" s="76" t="s">
        <v>1425</v>
      </c>
      <c r="D73" s="76" t="s">
        <v>1425</v>
      </c>
      <c r="E73" s="76" t="s">
        <v>1425</v>
      </c>
      <c r="F73" s="76" t="s">
        <v>1425</v>
      </c>
      <c r="G73" s="76" t="s">
        <v>280</v>
      </c>
      <c r="H73" s="76" t="s">
        <v>1535</v>
      </c>
      <c r="I73" s="76" t="s">
        <v>1425</v>
      </c>
      <c r="J73" s="76" t="s">
        <v>1425</v>
      </c>
      <c r="K73" s="76" t="s">
        <v>1537</v>
      </c>
      <c r="L73" s="88"/>
      <c r="M73" s="88"/>
      <c r="N73" s="88"/>
      <c r="O73" s="88"/>
      <c r="P73" s="88"/>
      <c r="Q73" s="88"/>
      <c r="R73" s="88"/>
      <c r="S73" s="88"/>
      <c r="T73" s="88"/>
      <c r="U73" s="88"/>
      <c r="V73" s="88"/>
      <c r="W73" s="88"/>
      <c r="X73" s="88"/>
      <c r="Y73" s="88"/>
      <c r="Z73" s="88"/>
    </row>
    <row r="74">
      <c r="A74" s="76">
        <v>1125.0</v>
      </c>
      <c r="B74" s="76" t="s">
        <v>1425</v>
      </c>
      <c r="C74" s="76" t="s">
        <v>1425</v>
      </c>
      <c r="D74" s="76" t="s">
        <v>1425</v>
      </c>
      <c r="E74" s="76" t="s">
        <v>1425</v>
      </c>
      <c r="F74" s="76" t="s">
        <v>1425</v>
      </c>
      <c r="G74" s="76" t="s">
        <v>280</v>
      </c>
      <c r="H74" s="76" t="s">
        <v>1517</v>
      </c>
      <c r="I74" s="76" t="s">
        <v>1425</v>
      </c>
      <c r="J74" s="76" t="s">
        <v>1440</v>
      </c>
      <c r="K74" s="97" t="s">
        <v>1538</v>
      </c>
      <c r="L74" s="88"/>
      <c r="M74" s="88"/>
      <c r="N74" s="88"/>
      <c r="O74" s="88"/>
      <c r="P74" s="88"/>
      <c r="Q74" s="88"/>
      <c r="R74" s="88"/>
      <c r="S74" s="88"/>
      <c r="T74" s="88"/>
      <c r="U74" s="88"/>
      <c r="V74" s="88"/>
      <c r="W74" s="88"/>
      <c r="X74" s="88"/>
      <c r="Y74" s="88"/>
      <c r="Z74" s="88"/>
    </row>
    <row r="75">
      <c r="A75" s="76">
        <v>1376.0</v>
      </c>
      <c r="B75" s="95" t="s">
        <v>1425</v>
      </c>
      <c r="C75" s="76" t="s">
        <v>1425</v>
      </c>
      <c r="D75" s="76" t="s">
        <v>1425</v>
      </c>
      <c r="E75" s="76" t="s">
        <v>1425</v>
      </c>
      <c r="F75" s="76" t="s">
        <v>1425</v>
      </c>
      <c r="G75" s="76" t="s">
        <v>280</v>
      </c>
      <c r="H75" s="76" t="s">
        <v>1425</v>
      </c>
      <c r="I75" s="76" t="s">
        <v>1492</v>
      </c>
      <c r="J75" s="76" t="s">
        <v>1440</v>
      </c>
      <c r="K75" s="76" t="s">
        <v>1539</v>
      </c>
      <c r="L75" s="88"/>
      <c r="M75" s="88"/>
      <c r="N75" s="88"/>
      <c r="O75" s="88"/>
      <c r="P75" s="88"/>
      <c r="Q75" s="88"/>
      <c r="R75" s="88"/>
      <c r="S75" s="88"/>
      <c r="T75" s="88"/>
      <c r="U75" s="88"/>
      <c r="V75" s="88"/>
      <c r="W75" s="88"/>
      <c r="X75" s="88"/>
      <c r="Y75" s="88"/>
      <c r="Z75" s="88"/>
    </row>
    <row r="76">
      <c r="A76" s="76">
        <v>1296.0</v>
      </c>
      <c r="B76" s="76" t="s">
        <v>1425</v>
      </c>
      <c r="C76" s="76" t="s">
        <v>1425</v>
      </c>
      <c r="D76" s="76" t="s">
        <v>1425</v>
      </c>
      <c r="E76" s="76" t="s">
        <v>1425</v>
      </c>
      <c r="F76" s="76" t="s">
        <v>1425</v>
      </c>
      <c r="G76" s="76" t="s">
        <v>1540</v>
      </c>
      <c r="H76" s="76" t="s">
        <v>1425</v>
      </c>
      <c r="I76" s="76" t="s">
        <v>1425</v>
      </c>
      <c r="J76" s="76" t="s">
        <v>1425</v>
      </c>
      <c r="K76" s="76" t="s">
        <v>1541</v>
      </c>
      <c r="L76" s="88"/>
      <c r="M76" s="88"/>
      <c r="N76" s="88"/>
      <c r="O76" s="88"/>
      <c r="P76" s="88"/>
      <c r="Q76" s="88"/>
      <c r="R76" s="88"/>
      <c r="S76" s="88"/>
      <c r="T76" s="88"/>
      <c r="U76" s="88"/>
      <c r="V76" s="88"/>
      <c r="W76" s="88"/>
      <c r="X76" s="88"/>
      <c r="Y76" s="88"/>
      <c r="Z76" s="88"/>
    </row>
    <row r="77">
      <c r="A77" s="76">
        <v>903.0</v>
      </c>
      <c r="B77" s="76" t="s">
        <v>1425</v>
      </c>
      <c r="C77" s="76" t="s">
        <v>1425</v>
      </c>
      <c r="D77" s="76" t="s">
        <v>1425</v>
      </c>
      <c r="E77" s="76" t="s">
        <v>1425</v>
      </c>
      <c r="F77" s="76" t="s">
        <v>1425</v>
      </c>
      <c r="G77" s="76" t="s">
        <v>280</v>
      </c>
      <c r="H77" s="76" t="s">
        <v>1542</v>
      </c>
      <c r="I77" s="76" t="s">
        <v>1425</v>
      </c>
      <c r="J77" s="76" t="s">
        <v>1425</v>
      </c>
      <c r="K77" s="96" t="s">
        <v>1543</v>
      </c>
      <c r="L77" s="88"/>
      <c r="M77" s="88"/>
      <c r="N77" s="88"/>
      <c r="O77" s="88"/>
      <c r="P77" s="88"/>
      <c r="Q77" s="88"/>
      <c r="R77" s="88"/>
      <c r="S77" s="88"/>
      <c r="T77" s="88"/>
      <c r="U77" s="88"/>
      <c r="V77" s="88"/>
      <c r="W77" s="88"/>
      <c r="X77" s="88"/>
      <c r="Y77" s="88"/>
      <c r="Z77" s="88"/>
    </row>
    <row r="78">
      <c r="A78" s="76">
        <v>1402.0</v>
      </c>
      <c r="B78" s="76" t="s">
        <v>1425</v>
      </c>
      <c r="C78" s="76" t="s">
        <v>1425</v>
      </c>
      <c r="D78" s="76" t="s">
        <v>1425</v>
      </c>
      <c r="E78" s="76" t="s">
        <v>1425</v>
      </c>
      <c r="F78" s="76" t="s">
        <v>1425</v>
      </c>
      <c r="G78" s="76" t="s">
        <v>1544</v>
      </c>
      <c r="H78" s="76" t="s">
        <v>1517</v>
      </c>
      <c r="I78" s="76" t="s">
        <v>1545</v>
      </c>
      <c r="J78" s="76" t="s">
        <v>1425</v>
      </c>
      <c r="K78" s="96" t="s">
        <v>1546</v>
      </c>
      <c r="L78" s="88"/>
      <c r="M78" s="88"/>
      <c r="N78" s="88"/>
      <c r="O78" s="88"/>
      <c r="P78" s="88"/>
      <c r="Q78" s="88"/>
      <c r="R78" s="88"/>
      <c r="S78" s="88"/>
      <c r="T78" s="88"/>
      <c r="U78" s="88"/>
      <c r="V78" s="88"/>
      <c r="W78" s="88"/>
      <c r="X78" s="88"/>
      <c r="Y78" s="88"/>
      <c r="Z78" s="88"/>
    </row>
    <row r="79">
      <c r="A79" s="76">
        <v>936.0</v>
      </c>
      <c r="B79" s="76" t="s">
        <v>1425</v>
      </c>
      <c r="C79" s="76" t="s">
        <v>1425</v>
      </c>
      <c r="D79" s="76" t="s">
        <v>1425</v>
      </c>
      <c r="E79" s="76" t="s">
        <v>1425</v>
      </c>
      <c r="F79" s="76" t="s">
        <v>1425</v>
      </c>
      <c r="G79" s="76" t="s">
        <v>280</v>
      </c>
      <c r="H79" s="76" t="s">
        <v>1542</v>
      </c>
      <c r="I79" s="76" t="s">
        <v>1425</v>
      </c>
      <c r="J79" s="76" t="s">
        <v>1425</v>
      </c>
      <c r="K79" s="76" t="s">
        <v>1547</v>
      </c>
      <c r="L79" s="88"/>
      <c r="M79" s="88"/>
      <c r="N79" s="88"/>
      <c r="O79" s="88"/>
      <c r="P79" s="88"/>
      <c r="Q79" s="88"/>
      <c r="R79" s="88"/>
      <c r="S79" s="88"/>
      <c r="T79" s="88"/>
      <c r="U79" s="88"/>
      <c r="V79" s="88"/>
      <c r="W79" s="88"/>
      <c r="X79" s="88"/>
      <c r="Y79" s="88"/>
      <c r="Z79" s="88"/>
    </row>
    <row r="80">
      <c r="A80" s="76">
        <v>9.0</v>
      </c>
      <c r="B80" s="76" t="s">
        <v>1425</v>
      </c>
      <c r="C80" s="76" t="s">
        <v>1425</v>
      </c>
      <c r="D80" s="76" t="s">
        <v>1425</v>
      </c>
      <c r="E80" s="76" t="s">
        <v>1425</v>
      </c>
      <c r="F80" s="76" t="s">
        <v>1425</v>
      </c>
      <c r="G80" s="76" t="s">
        <v>280</v>
      </c>
      <c r="H80" s="76" t="s">
        <v>1425</v>
      </c>
      <c r="I80" s="76" t="s">
        <v>1425</v>
      </c>
      <c r="J80" s="76" t="s">
        <v>1425</v>
      </c>
      <c r="K80" s="76" t="s">
        <v>1548</v>
      </c>
      <c r="L80" s="88"/>
      <c r="M80" s="88"/>
      <c r="N80" s="88"/>
      <c r="O80" s="88"/>
      <c r="P80" s="88"/>
      <c r="Q80" s="88"/>
      <c r="R80" s="88"/>
      <c r="S80" s="88"/>
      <c r="T80" s="88"/>
      <c r="U80" s="88"/>
      <c r="V80" s="88"/>
      <c r="W80" s="88"/>
      <c r="X80" s="88"/>
      <c r="Y80" s="88"/>
      <c r="Z80" s="88"/>
    </row>
    <row r="81">
      <c r="A81" s="76">
        <v>338.0</v>
      </c>
      <c r="B81" s="76" t="s">
        <v>1425</v>
      </c>
      <c r="C81" s="76" t="s">
        <v>1425</v>
      </c>
      <c r="D81" s="76" t="s">
        <v>1425</v>
      </c>
      <c r="E81" s="76" t="s">
        <v>1425</v>
      </c>
      <c r="F81" s="76" t="s">
        <v>1425</v>
      </c>
      <c r="G81" s="76" t="s">
        <v>280</v>
      </c>
      <c r="H81" s="76" t="s">
        <v>1425</v>
      </c>
      <c r="I81" s="76" t="s">
        <v>1549</v>
      </c>
      <c r="J81" s="76" t="s">
        <v>1425</v>
      </c>
      <c r="K81" s="76" t="s">
        <v>1550</v>
      </c>
      <c r="L81" s="88"/>
      <c r="M81" s="88"/>
      <c r="N81" s="88"/>
      <c r="O81" s="88"/>
      <c r="P81" s="88"/>
      <c r="Q81" s="88"/>
      <c r="R81" s="88"/>
      <c r="S81" s="88"/>
      <c r="T81" s="88"/>
      <c r="U81" s="88"/>
      <c r="V81" s="88"/>
      <c r="W81" s="88"/>
      <c r="X81" s="88"/>
      <c r="Y81" s="88"/>
      <c r="Z81" s="88"/>
    </row>
    <row r="82">
      <c r="A82" s="80">
        <v>941.0</v>
      </c>
      <c r="B82" s="80" t="s">
        <v>1425</v>
      </c>
      <c r="C82" s="80" t="s">
        <v>1425</v>
      </c>
      <c r="D82" s="80" t="s">
        <v>1425</v>
      </c>
      <c r="E82" s="80" t="s">
        <v>1425</v>
      </c>
      <c r="F82" s="80" t="s">
        <v>1425</v>
      </c>
      <c r="G82" s="80" t="s">
        <v>280</v>
      </c>
      <c r="H82" s="80" t="s">
        <v>1425</v>
      </c>
      <c r="I82" s="80" t="s">
        <v>1425</v>
      </c>
      <c r="J82" s="80" t="s">
        <v>1425</v>
      </c>
      <c r="K82" s="80" t="s">
        <v>1551</v>
      </c>
      <c r="L82" s="86"/>
      <c r="M82" s="86"/>
      <c r="N82" s="86"/>
      <c r="O82" s="86"/>
      <c r="P82" s="86"/>
      <c r="Q82" s="86"/>
      <c r="R82" s="86"/>
      <c r="S82" s="86"/>
      <c r="T82" s="86"/>
      <c r="U82" s="86"/>
      <c r="V82" s="86"/>
      <c r="W82" s="86"/>
      <c r="X82" s="86"/>
      <c r="Y82" s="86"/>
      <c r="Z82" s="86"/>
    </row>
    <row r="83">
      <c r="A83" s="80">
        <v>711.0</v>
      </c>
      <c r="B83" s="80" t="s">
        <v>1425</v>
      </c>
      <c r="C83" s="80" t="s">
        <v>1425</v>
      </c>
      <c r="D83" s="80" t="s">
        <v>1425</v>
      </c>
      <c r="E83" s="80" t="s">
        <v>1425</v>
      </c>
      <c r="F83" s="80" t="s">
        <v>1425</v>
      </c>
      <c r="G83" s="80" t="s">
        <v>280</v>
      </c>
      <c r="H83" s="80" t="s">
        <v>1425</v>
      </c>
      <c r="I83" s="80" t="s">
        <v>1552</v>
      </c>
      <c r="J83" s="80" t="s">
        <v>1425</v>
      </c>
      <c r="K83" s="80" t="s">
        <v>1553</v>
      </c>
      <c r="L83" s="86"/>
      <c r="M83" s="86"/>
      <c r="N83" s="86"/>
      <c r="O83" s="86"/>
      <c r="P83" s="86"/>
      <c r="Q83" s="86"/>
      <c r="R83" s="86"/>
      <c r="S83" s="86"/>
      <c r="T83" s="86"/>
      <c r="U83" s="86"/>
      <c r="V83" s="86"/>
      <c r="W83" s="86"/>
      <c r="X83" s="86"/>
      <c r="Y83" s="86"/>
      <c r="Z83" s="86"/>
    </row>
    <row r="84">
      <c r="A84" s="80">
        <v>1059.0</v>
      </c>
      <c r="B84" s="98" t="s">
        <v>1425</v>
      </c>
      <c r="C84" s="98" t="s">
        <v>1425</v>
      </c>
      <c r="D84" s="98" t="s">
        <v>1425</v>
      </c>
      <c r="E84" s="98" t="s">
        <v>1425</v>
      </c>
      <c r="F84" s="98" t="s">
        <v>1425</v>
      </c>
      <c r="G84" s="98" t="s">
        <v>280</v>
      </c>
      <c r="H84" s="98" t="s">
        <v>1425</v>
      </c>
      <c r="I84" s="80" t="s">
        <v>1554</v>
      </c>
      <c r="J84" s="98" t="s">
        <v>1425</v>
      </c>
      <c r="K84" s="80" t="s">
        <v>1555</v>
      </c>
      <c r="L84" s="86"/>
      <c r="M84" s="86"/>
      <c r="N84" s="86"/>
      <c r="O84" s="86"/>
      <c r="P84" s="86"/>
      <c r="Q84" s="86"/>
      <c r="R84" s="86"/>
      <c r="S84" s="86"/>
      <c r="T84" s="86"/>
      <c r="U84" s="86"/>
      <c r="V84" s="86"/>
      <c r="W84" s="86"/>
      <c r="X84" s="86"/>
      <c r="Y84" s="86"/>
      <c r="Z84" s="86"/>
    </row>
    <row r="85">
      <c r="A85" s="76">
        <v>1077.0</v>
      </c>
      <c r="B85" s="76" t="s">
        <v>1425</v>
      </c>
      <c r="C85" s="76" t="s">
        <v>1425</v>
      </c>
      <c r="D85" s="76" t="s">
        <v>1425</v>
      </c>
      <c r="E85" s="76" t="s">
        <v>1425</v>
      </c>
      <c r="F85" s="76" t="s">
        <v>1425</v>
      </c>
      <c r="G85" s="76" t="s">
        <v>280</v>
      </c>
      <c r="H85" s="76" t="s">
        <v>1542</v>
      </c>
      <c r="I85" s="76" t="s">
        <v>1425</v>
      </c>
      <c r="J85" s="76" t="s">
        <v>1425</v>
      </c>
      <c r="K85" s="76" t="s">
        <v>1556</v>
      </c>
      <c r="L85" s="88"/>
      <c r="M85" s="88"/>
      <c r="N85" s="88"/>
      <c r="O85" s="88"/>
      <c r="P85" s="88"/>
      <c r="Q85" s="88"/>
      <c r="R85" s="88"/>
      <c r="S85" s="88"/>
      <c r="T85" s="88"/>
      <c r="U85" s="88"/>
      <c r="V85" s="88"/>
      <c r="W85" s="88"/>
      <c r="X85" s="88"/>
      <c r="Y85" s="88"/>
      <c r="Z85" s="88"/>
    </row>
    <row r="86">
      <c r="A86" s="76">
        <v>940.0</v>
      </c>
      <c r="B86" s="76" t="s">
        <v>1425</v>
      </c>
      <c r="C86" s="76" t="s">
        <v>1440</v>
      </c>
      <c r="D86" s="76" t="s">
        <v>1440</v>
      </c>
      <c r="E86" s="76" t="s">
        <v>1425</v>
      </c>
      <c r="F86" s="76" t="s">
        <v>1425</v>
      </c>
      <c r="G86" s="76" t="s">
        <v>280</v>
      </c>
      <c r="H86" s="76" t="s">
        <v>1517</v>
      </c>
      <c r="I86" s="76" t="s">
        <v>1552</v>
      </c>
      <c r="J86" s="76" t="s">
        <v>1425</v>
      </c>
      <c r="K86" s="76" t="s">
        <v>1557</v>
      </c>
      <c r="L86" s="88"/>
      <c r="M86" s="88"/>
      <c r="N86" s="88"/>
      <c r="O86" s="88"/>
      <c r="P86" s="88"/>
      <c r="Q86" s="88"/>
      <c r="R86" s="88"/>
      <c r="S86" s="88"/>
      <c r="T86" s="88"/>
      <c r="U86" s="88"/>
      <c r="V86" s="88"/>
      <c r="W86" s="88"/>
      <c r="X86" s="88"/>
      <c r="Y86" s="88"/>
      <c r="Z86" s="88"/>
    </row>
    <row r="87">
      <c r="A87" s="76">
        <v>774.0</v>
      </c>
      <c r="B87" s="76" t="s">
        <v>1425</v>
      </c>
      <c r="C87" s="76" t="s">
        <v>1440</v>
      </c>
      <c r="D87" s="76" t="s">
        <v>1425</v>
      </c>
      <c r="E87" s="76" t="s">
        <v>1552</v>
      </c>
      <c r="F87" s="76" t="s">
        <v>1425</v>
      </c>
      <c r="G87" s="76" t="s">
        <v>1544</v>
      </c>
      <c r="H87" s="76" t="s">
        <v>1517</v>
      </c>
      <c r="I87" s="76" t="s">
        <v>1552</v>
      </c>
      <c r="J87" s="76" t="s">
        <v>1440</v>
      </c>
      <c r="K87" s="76" t="s">
        <v>1558</v>
      </c>
      <c r="L87" s="88"/>
      <c r="M87" s="88"/>
      <c r="N87" s="88"/>
      <c r="O87" s="88"/>
      <c r="P87" s="88"/>
      <c r="Q87" s="88"/>
      <c r="R87" s="88"/>
      <c r="S87" s="88"/>
      <c r="T87" s="88"/>
      <c r="U87" s="88"/>
      <c r="V87" s="88"/>
      <c r="W87" s="88"/>
      <c r="X87" s="88"/>
      <c r="Y87" s="88"/>
      <c r="Z87" s="88"/>
    </row>
    <row r="88">
      <c r="A88" s="76">
        <v>1287.0</v>
      </c>
      <c r="B88" s="76" t="s">
        <v>1425</v>
      </c>
      <c r="C88" s="76" t="s">
        <v>1425</v>
      </c>
      <c r="D88" s="76" t="s">
        <v>1425</v>
      </c>
      <c r="E88" s="76" t="s">
        <v>1552</v>
      </c>
      <c r="F88" s="76" t="s">
        <v>1425</v>
      </c>
      <c r="G88" s="76" t="s">
        <v>1559</v>
      </c>
      <c r="H88" s="76" t="s">
        <v>1517</v>
      </c>
      <c r="I88" s="76" t="s">
        <v>1552</v>
      </c>
      <c r="J88" s="76" t="s">
        <v>1425</v>
      </c>
      <c r="K88" s="76" t="s">
        <v>1560</v>
      </c>
      <c r="L88" s="88"/>
      <c r="M88" s="88"/>
      <c r="N88" s="88"/>
      <c r="O88" s="88"/>
      <c r="P88" s="88"/>
      <c r="Q88" s="88"/>
      <c r="R88" s="88"/>
      <c r="S88" s="88"/>
      <c r="T88" s="88"/>
      <c r="U88" s="88"/>
      <c r="V88" s="88"/>
      <c r="W88" s="88"/>
      <c r="X88" s="88"/>
      <c r="Y88" s="88"/>
      <c r="Z88" s="88"/>
    </row>
    <row r="89">
      <c r="A89" s="80">
        <v>799.0</v>
      </c>
      <c r="B89" s="80" t="s">
        <v>1425</v>
      </c>
      <c r="C89" s="80" t="s">
        <v>1425</v>
      </c>
      <c r="D89" s="80" t="s">
        <v>1425</v>
      </c>
      <c r="E89" s="80" t="s">
        <v>1425</v>
      </c>
      <c r="F89" s="80" t="s">
        <v>1425</v>
      </c>
      <c r="G89" s="80" t="s">
        <v>280</v>
      </c>
      <c r="H89" s="80" t="s">
        <v>1425</v>
      </c>
      <c r="I89" s="80" t="s">
        <v>1425</v>
      </c>
      <c r="J89" s="80" t="s">
        <v>1425</v>
      </c>
      <c r="K89" s="80" t="s">
        <v>1561</v>
      </c>
      <c r="L89" s="86"/>
      <c r="M89" s="86"/>
      <c r="N89" s="86"/>
      <c r="O89" s="86"/>
      <c r="P89" s="86"/>
      <c r="Q89" s="86"/>
      <c r="R89" s="86"/>
      <c r="S89" s="86"/>
      <c r="T89" s="86"/>
      <c r="U89" s="86"/>
      <c r="V89" s="86"/>
      <c r="W89" s="86"/>
      <c r="X89" s="86"/>
      <c r="Y89" s="86"/>
      <c r="Z89" s="86"/>
    </row>
    <row r="90">
      <c r="A90" s="80">
        <v>1078.0</v>
      </c>
      <c r="B90" s="80" t="s">
        <v>1425</v>
      </c>
      <c r="C90" s="80" t="s">
        <v>1425</v>
      </c>
      <c r="D90" s="80" t="s">
        <v>1425</v>
      </c>
      <c r="E90" s="80" t="s">
        <v>1425</v>
      </c>
      <c r="F90" s="80" t="s">
        <v>1425</v>
      </c>
      <c r="G90" s="80" t="s">
        <v>280</v>
      </c>
      <c r="H90" s="80" t="s">
        <v>1425</v>
      </c>
      <c r="I90" s="80" t="s">
        <v>1425</v>
      </c>
      <c r="J90" s="80" t="s">
        <v>1425</v>
      </c>
      <c r="K90" s="80" t="s">
        <v>1562</v>
      </c>
      <c r="L90" s="86"/>
      <c r="M90" s="86"/>
      <c r="N90" s="86"/>
      <c r="O90" s="86"/>
      <c r="P90" s="86"/>
      <c r="Q90" s="86"/>
      <c r="R90" s="86"/>
      <c r="S90" s="86"/>
      <c r="T90" s="86"/>
      <c r="U90" s="86"/>
      <c r="V90" s="86"/>
      <c r="W90" s="86"/>
      <c r="X90" s="86"/>
      <c r="Y90" s="86"/>
      <c r="Z90" s="86"/>
    </row>
    <row r="91">
      <c r="A91" s="80">
        <v>1462.0</v>
      </c>
      <c r="B91" s="80" t="s">
        <v>1425</v>
      </c>
      <c r="C91" s="80" t="s">
        <v>1425</v>
      </c>
      <c r="D91" s="80" t="s">
        <v>1425</v>
      </c>
      <c r="E91" s="80" t="s">
        <v>1425</v>
      </c>
      <c r="F91" s="80" t="s">
        <v>1425</v>
      </c>
      <c r="G91" s="80" t="s">
        <v>280</v>
      </c>
      <c r="H91" s="80" t="s">
        <v>1425</v>
      </c>
      <c r="I91" s="80" t="s">
        <v>1425</v>
      </c>
      <c r="J91" s="80" t="s">
        <v>1425</v>
      </c>
      <c r="K91" s="80" t="s">
        <v>1563</v>
      </c>
      <c r="L91" s="86"/>
      <c r="M91" s="86"/>
      <c r="N91" s="86"/>
      <c r="O91" s="86"/>
      <c r="P91" s="86"/>
      <c r="Q91" s="86"/>
      <c r="R91" s="86"/>
      <c r="S91" s="86"/>
      <c r="T91" s="86"/>
      <c r="U91" s="86"/>
      <c r="V91" s="86"/>
      <c r="W91" s="86"/>
      <c r="X91" s="86"/>
      <c r="Y91" s="86"/>
      <c r="Z91" s="86"/>
    </row>
    <row r="92">
      <c r="A92" s="80">
        <v>1024.0</v>
      </c>
      <c r="B92" s="80" t="s">
        <v>1425</v>
      </c>
      <c r="C92" s="80" t="s">
        <v>1425</v>
      </c>
      <c r="D92" s="80" t="s">
        <v>1425</v>
      </c>
      <c r="E92" s="80" t="s">
        <v>1425</v>
      </c>
      <c r="F92" s="80" t="s">
        <v>1425</v>
      </c>
      <c r="G92" s="80" t="s">
        <v>280</v>
      </c>
      <c r="H92" s="80" t="s">
        <v>1425</v>
      </c>
      <c r="I92" s="80" t="s">
        <v>1425</v>
      </c>
      <c r="J92" s="80" t="s">
        <v>1425</v>
      </c>
      <c r="K92" s="80" t="s">
        <v>1564</v>
      </c>
      <c r="L92" s="86"/>
      <c r="M92" s="86"/>
      <c r="N92" s="86"/>
      <c r="O92" s="86"/>
      <c r="P92" s="86"/>
      <c r="Q92" s="86"/>
      <c r="R92" s="86"/>
      <c r="S92" s="86"/>
      <c r="T92" s="86"/>
      <c r="U92" s="86"/>
      <c r="V92" s="86"/>
      <c r="W92" s="86"/>
      <c r="X92" s="86"/>
      <c r="Y92" s="86"/>
      <c r="Z92" s="86"/>
    </row>
    <row r="93">
      <c r="A93" s="80">
        <v>599.0</v>
      </c>
      <c r="B93" s="80" t="s">
        <v>1425</v>
      </c>
      <c r="C93" s="80" t="s">
        <v>1425</v>
      </c>
      <c r="D93" s="80" t="s">
        <v>1425</v>
      </c>
      <c r="E93" s="80" t="s">
        <v>1425</v>
      </c>
      <c r="F93" s="80" t="s">
        <v>1425</v>
      </c>
      <c r="G93" s="80" t="s">
        <v>280</v>
      </c>
      <c r="H93" s="80" t="s">
        <v>1425</v>
      </c>
      <c r="I93" s="80" t="s">
        <v>1425</v>
      </c>
      <c r="J93" s="80" t="s">
        <v>1425</v>
      </c>
      <c r="K93" s="80" t="s">
        <v>1565</v>
      </c>
      <c r="L93" s="86"/>
      <c r="M93" s="86"/>
      <c r="N93" s="86"/>
      <c r="O93" s="86"/>
      <c r="P93" s="86"/>
      <c r="Q93" s="86"/>
      <c r="R93" s="86"/>
      <c r="S93" s="86"/>
      <c r="T93" s="86"/>
      <c r="U93" s="86"/>
      <c r="V93" s="86"/>
      <c r="W93" s="86"/>
      <c r="X93" s="86"/>
      <c r="Y93" s="86"/>
      <c r="Z93" s="86"/>
    </row>
    <row r="94">
      <c r="A94" s="80">
        <v>550.0</v>
      </c>
      <c r="B94" s="80" t="s">
        <v>1425</v>
      </c>
      <c r="C94" s="80" t="s">
        <v>1425</v>
      </c>
      <c r="D94" s="80" t="s">
        <v>1425</v>
      </c>
      <c r="E94" s="80" t="s">
        <v>1425</v>
      </c>
      <c r="F94" s="80" t="s">
        <v>1425</v>
      </c>
      <c r="G94" s="80" t="s">
        <v>1566</v>
      </c>
      <c r="H94" s="80" t="s">
        <v>1425</v>
      </c>
      <c r="I94" s="80" t="s">
        <v>1425</v>
      </c>
      <c r="J94" s="80" t="s">
        <v>1425</v>
      </c>
      <c r="K94" s="80" t="s">
        <v>1567</v>
      </c>
      <c r="L94" s="86"/>
      <c r="M94" s="86"/>
      <c r="N94" s="86"/>
      <c r="O94" s="86"/>
      <c r="P94" s="86"/>
      <c r="Q94" s="86"/>
      <c r="R94" s="86"/>
      <c r="S94" s="86"/>
      <c r="T94" s="86"/>
      <c r="U94" s="86"/>
      <c r="V94" s="86"/>
      <c r="W94" s="86"/>
      <c r="X94" s="86"/>
      <c r="Y94" s="86"/>
      <c r="Z94" s="86"/>
    </row>
    <row r="95">
      <c r="A95" s="76">
        <v>435.0</v>
      </c>
      <c r="B95" s="76" t="s">
        <v>1425</v>
      </c>
      <c r="C95" s="76" t="s">
        <v>1425</v>
      </c>
      <c r="D95" s="76" t="s">
        <v>1425</v>
      </c>
      <c r="E95" s="76" t="s">
        <v>1425</v>
      </c>
      <c r="F95" s="76" t="s">
        <v>1425</v>
      </c>
      <c r="G95" s="76" t="s">
        <v>1566</v>
      </c>
      <c r="H95" s="76" t="s">
        <v>1425</v>
      </c>
      <c r="I95" s="76" t="s">
        <v>1425</v>
      </c>
      <c r="J95" s="76" t="s">
        <v>1425</v>
      </c>
      <c r="K95" s="76" t="s">
        <v>1568</v>
      </c>
      <c r="L95" s="88"/>
      <c r="M95" s="88"/>
      <c r="N95" s="88"/>
      <c r="O95" s="88"/>
      <c r="P95" s="88"/>
      <c r="Q95" s="88"/>
      <c r="R95" s="88"/>
      <c r="S95" s="88"/>
      <c r="T95" s="88"/>
      <c r="U95" s="88"/>
      <c r="V95" s="88"/>
      <c r="W95" s="88"/>
      <c r="X95" s="88"/>
      <c r="Y95" s="88"/>
      <c r="Z95" s="88"/>
    </row>
    <row r="96">
      <c r="A96" s="80">
        <v>1206.0</v>
      </c>
      <c r="B96" s="80" t="s">
        <v>1425</v>
      </c>
      <c r="C96" s="80" t="s">
        <v>1425</v>
      </c>
      <c r="D96" s="80" t="s">
        <v>1425</v>
      </c>
      <c r="E96" s="80" t="s">
        <v>1425</v>
      </c>
      <c r="F96" s="80" t="s">
        <v>1425</v>
      </c>
      <c r="G96" s="80" t="s">
        <v>280</v>
      </c>
      <c r="H96" s="80" t="s">
        <v>1425</v>
      </c>
      <c r="I96" s="80" t="s">
        <v>1425</v>
      </c>
      <c r="J96" s="80" t="s">
        <v>1425</v>
      </c>
      <c r="K96" s="80" t="s">
        <v>1569</v>
      </c>
      <c r="L96" s="86"/>
      <c r="M96" s="86"/>
      <c r="N96" s="86"/>
      <c r="O96" s="86"/>
      <c r="P96" s="86"/>
      <c r="Q96" s="86"/>
      <c r="R96" s="86"/>
      <c r="S96" s="86"/>
      <c r="T96" s="86"/>
      <c r="U96" s="86"/>
      <c r="V96" s="86"/>
      <c r="W96" s="86"/>
      <c r="X96" s="86"/>
      <c r="Y96" s="86"/>
      <c r="Z96" s="86"/>
    </row>
    <row r="97">
      <c r="A97" s="80">
        <v>1193.0</v>
      </c>
      <c r="B97" s="80" t="s">
        <v>1425</v>
      </c>
      <c r="C97" s="80" t="s">
        <v>1425</v>
      </c>
      <c r="D97" s="80" t="s">
        <v>1425</v>
      </c>
      <c r="E97" s="80" t="s">
        <v>1425</v>
      </c>
      <c r="F97" s="80" t="s">
        <v>1425</v>
      </c>
      <c r="G97" s="80" t="s">
        <v>280</v>
      </c>
      <c r="H97" s="80" t="s">
        <v>1425</v>
      </c>
      <c r="I97" s="80" t="s">
        <v>1425</v>
      </c>
      <c r="J97" s="80" t="s">
        <v>1425</v>
      </c>
      <c r="K97" s="80" t="s">
        <v>1570</v>
      </c>
      <c r="L97" s="86"/>
      <c r="M97" s="86"/>
      <c r="N97" s="86"/>
      <c r="O97" s="86"/>
      <c r="P97" s="86"/>
      <c r="Q97" s="86"/>
      <c r="R97" s="86"/>
      <c r="S97" s="86"/>
      <c r="T97" s="86"/>
      <c r="U97" s="86"/>
      <c r="V97" s="86"/>
      <c r="W97" s="86"/>
      <c r="X97" s="86"/>
      <c r="Y97" s="86"/>
      <c r="Z97" s="86"/>
    </row>
    <row r="98">
      <c r="A98" s="76">
        <v>489.0</v>
      </c>
      <c r="B98" s="76" t="s">
        <v>1425</v>
      </c>
      <c r="C98" s="76" t="s">
        <v>1425</v>
      </c>
      <c r="D98" s="76" t="s">
        <v>1425</v>
      </c>
      <c r="E98" s="76" t="s">
        <v>1425</v>
      </c>
      <c r="F98" s="76" t="s">
        <v>1425</v>
      </c>
      <c r="G98" s="76" t="s">
        <v>280</v>
      </c>
      <c r="H98" s="76" t="s">
        <v>1425</v>
      </c>
      <c r="I98" s="76" t="s">
        <v>1425</v>
      </c>
      <c r="J98" s="76" t="s">
        <v>1425</v>
      </c>
      <c r="K98" s="76" t="s">
        <v>1571</v>
      </c>
      <c r="L98" s="88"/>
      <c r="M98" s="88"/>
      <c r="N98" s="88"/>
      <c r="O98" s="88"/>
      <c r="P98" s="88"/>
      <c r="Q98" s="88"/>
      <c r="R98" s="88"/>
      <c r="S98" s="88"/>
      <c r="T98" s="88"/>
      <c r="U98" s="88"/>
      <c r="V98" s="88"/>
      <c r="W98" s="88"/>
      <c r="X98" s="88"/>
      <c r="Y98" s="88"/>
      <c r="Z98" s="88"/>
    </row>
    <row r="99">
      <c r="A99" s="76">
        <v>266.0</v>
      </c>
      <c r="B99" s="76" t="s">
        <v>1509</v>
      </c>
      <c r="C99" s="76" t="s">
        <v>1425</v>
      </c>
      <c r="D99" s="76" t="s">
        <v>1425</v>
      </c>
      <c r="E99" s="76" t="s">
        <v>1425</v>
      </c>
      <c r="F99" s="76" t="s">
        <v>1425</v>
      </c>
      <c r="G99" s="76" t="s">
        <v>280</v>
      </c>
      <c r="H99" s="76" t="s">
        <v>1425</v>
      </c>
      <c r="I99" s="76" t="s">
        <v>1425</v>
      </c>
      <c r="J99" s="76" t="s">
        <v>1425</v>
      </c>
      <c r="K99" s="76" t="s">
        <v>1572</v>
      </c>
      <c r="L99" s="88"/>
      <c r="M99" s="88"/>
      <c r="N99" s="88"/>
      <c r="O99" s="88"/>
      <c r="P99" s="88"/>
      <c r="Q99" s="88"/>
      <c r="R99" s="88"/>
      <c r="S99" s="88"/>
      <c r="T99" s="88"/>
      <c r="U99" s="88"/>
      <c r="V99" s="88"/>
      <c r="W99" s="88"/>
      <c r="X99" s="88"/>
      <c r="Y99" s="88"/>
      <c r="Z99" s="88"/>
    </row>
    <row r="100">
      <c r="A100" s="76">
        <v>789.0</v>
      </c>
      <c r="B100" s="76" t="s">
        <v>1425</v>
      </c>
      <c r="C100" s="76" t="s">
        <v>1425</v>
      </c>
      <c r="D100" s="76" t="s">
        <v>1425</v>
      </c>
      <c r="E100" s="76" t="s">
        <v>1425</v>
      </c>
      <c r="F100" s="76" t="s">
        <v>1425</v>
      </c>
      <c r="G100" s="76" t="s">
        <v>1489</v>
      </c>
      <c r="H100" s="76" t="s">
        <v>1425</v>
      </c>
      <c r="I100" s="76" t="s">
        <v>1425</v>
      </c>
      <c r="J100" s="76" t="s">
        <v>1425</v>
      </c>
      <c r="K100" s="76" t="s">
        <v>1573</v>
      </c>
      <c r="L100" s="88"/>
      <c r="M100" s="88"/>
      <c r="N100" s="88"/>
      <c r="O100" s="88"/>
      <c r="P100" s="88"/>
      <c r="Q100" s="88"/>
      <c r="R100" s="88"/>
      <c r="S100" s="88"/>
      <c r="T100" s="88"/>
      <c r="U100" s="88"/>
      <c r="V100" s="88"/>
      <c r="W100" s="88"/>
      <c r="X100" s="88"/>
      <c r="Y100" s="88"/>
      <c r="Z100" s="88"/>
    </row>
    <row r="101">
      <c r="A101" s="80">
        <v>1334.0</v>
      </c>
      <c r="B101" s="80" t="s">
        <v>1425</v>
      </c>
      <c r="C101" s="80" t="s">
        <v>1425</v>
      </c>
      <c r="D101" s="80" t="s">
        <v>1425</v>
      </c>
      <c r="E101" s="80" t="s">
        <v>1425</v>
      </c>
      <c r="F101" s="80" t="s">
        <v>1425</v>
      </c>
      <c r="G101" s="80" t="s">
        <v>280</v>
      </c>
      <c r="H101" s="80" t="s">
        <v>1425</v>
      </c>
      <c r="I101" s="80" t="s">
        <v>1425</v>
      </c>
      <c r="J101" s="80" t="s">
        <v>1425</v>
      </c>
      <c r="K101" s="80" t="s">
        <v>1574</v>
      </c>
      <c r="L101" s="86"/>
      <c r="M101" s="86"/>
      <c r="N101" s="86"/>
      <c r="O101" s="86"/>
      <c r="P101" s="86"/>
      <c r="Q101" s="86"/>
      <c r="R101" s="86"/>
      <c r="S101" s="86"/>
      <c r="T101" s="86"/>
      <c r="U101" s="86"/>
      <c r="V101" s="86"/>
      <c r="W101" s="86"/>
      <c r="X101" s="86"/>
      <c r="Y101" s="86"/>
      <c r="Z101" s="86"/>
    </row>
    <row r="102">
      <c r="A102" s="76">
        <v>217.0</v>
      </c>
      <c r="B102" s="76" t="s">
        <v>1425</v>
      </c>
      <c r="C102" s="76" t="s">
        <v>1425</v>
      </c>
      <c r="D102" s="76" t="s">
        <v>1425</v>
      </c>
      <c r="E102" s="76" t="s">
        <v>1425</v>
      </c>
      <c r="F102" s="76" t="s">
        <v>1425</v>
      </c>
      <c r="G102" s="76" t="s">
        <v>1566</v>
      </c>
      <c r="H102" s="76" t="s">
        <v>1517</v>
      </c>
      <c r="I102" s="76" t="s">
        <v>1575</v>
      </c>
      <c r="J102" s="76" t="s">
        <v>1425</v>
      </c>
      <c r="K102" s="76" t="s">
        <v>1576</v>
      </c>
      <c r="L102" s="88"/>
      <c r="M102" s="88"/>
      <c r="N102" s="88"/>
      <c r="O102" s="88"/>
      <c r="P102" s="88"/>
      <c r="Q102" s="88"/>
      <c r="R102" s="88"/>
      <c r="S102" s="88"/>
      <c r="T102" s="88"/>
      <c r="U102" s="88"/>
      <c r="V102" s="88"/>
      <c r="W102" s="88"/>
      <c r="X102" s="88"/>
      <c r="Y102" s="88"/>
      <c r="Z102" s="88"/>
    </row>
    <row r="103">
      <c r="A103" s="80">
        <v>1141.0</v>
      </c>
      <c r="B103" s="80" t="s">
        <v>1425</v>
      </c>
      <c r="C103" s="80" t="s">
        <v>1425</v>
      </c>
      <c r="D103" s="80" t="s">
        <v>1425</v>
      </c>
      <c r="E103" s="80" t="s">
        <v>1425</v>
      </c>
      <c r="F103" s="80" t="s">
        <v>1425</v>
      </c>
      <c r="G103" s="80" t="s">
        <v>280</v>
      </c>
      <c r="H103" s="80" t="s">
        <v>1517</v>
      </c>
      <c r="I103" s="80" t="s">
        <v>1425</v>
      </c>
      <c r="J103" s="80" t="s">
        <v>1425</v>
      </c>
      <c r="K103" s="80" t="s">
        <v>1577</v>
      </c>
      <c r="L103" s="86"/>
      <c r="M103" s="86"/>
      <c r="N103" s="86"/>
      <c r="O103" s="86"/>
      <c r="P103" s="86"/>
      <c r="Q103" s="86"/>
      <c r="R103" s="86"/>
      <c r="S103" s="86"/>
      <c r="T103" s="86"/>
      <c r="U103" s="86"/>
      <c r="V103" s="86"/>
      <c r="W103" s="86"/>
      <c r="X103" s="86"/>
      <c r="Y103" s="86"/>
      <c r="Z103" s="86"/>
    </row>
    <row r="104">
      <c r="A104" s="80">
        <v>633.0</v>
      </c>
      <c r="B104" s="80" t="s">
        <v>1425</v>
      </c>
      <c r="C104" s="80" t="s">
        <v>1425</v>
      </c>
      <c r="D104" s="80" t="s">
        <v>1425</v>
      </c>
      <c r="E104" s="80" t="s">
        <v>1425</v>
      </c>
      <c r="F104" s="80" t="s">
        <v>1425</v>
      </c>
      <c r="G104" s="80" t="s">
        <v>280</v>
      </c>
      <c r="H104" s="80" t="s">
        <v>1425</v>
      </c>
      <c r="I104" s="80" t="s">
        <v>1425</v>
      </c>
      <c r="J104" s="80" t="s">
        <v>1425</v>
      </c>
      <c r="K104" s="94" t="s">
        <v>1578</v>
      </c>
      <c r="L104" s="86"/>
      <c r="M104" s="86"/>
      <c r="N104" s="86"/>
      <c r="O104" s="86"/>
      <c r="P104" s="86"/>
      <c r="Q104" s="86"/>
      <c r="R104" s="86"/>
      <c r="S104" s="86"/>
      <c r="T104" s="86"/>
      <c r="U104" s="86"/>
      <c r="V104" s="86"/>
      <c r="W104" s="86"/>
      <c r="X104" s="86"/>
      <c r="Y104" s="86"/>
      <c r="Z104" s="86"/>
    </row>
    <row r="105">
      <c r="A105" s="80">
        <v>1491.0</v>
      </c>
      <c r="B105" s="80" t="s">
        <v>1425</v>
      </c>
      <c r="C105" s="80" t="s">
        <v>1425</v>
      </c>
      <c r="D105" s="80" t="s">
        <v>1425</v>
      </c>
      <c r="E105" s="80" t="s">
        <v>1425</v>
      </c>
      <c r="F105" s="80" t="s">
        <v>1425</v>
      </c>
      <c r="G105" s="80" t="s">
        <v>280</v>
      </c>
      <c r="H105" s="80" t="s">
        <v>1517</v>
      </c>
      <c r="I105" s="80" t="s">
        <v>1425</v>
      </c>
      <c r="J105" s="80" t="s">
        <v>1425</v>
      </c>
      <c r="K105" s="80" t="s">
        <v>1579</v>
      </c>
      <c r="L105" s="86"/>
      <c r="M105" s="86"/>
      <c r="N105" s="86"/>
      <c r="O105" s="86"/>
      <c r="P105" s="86"/>
      <c r="Q105" s="86"/>
      <c r="R105" s="86"/>
      <c r="S105" s="86"/>
      <c r="T105" s="86"/>
      <c r="U105" s="86"/>
      <c r="V105" s="86"/>
      <c r="W105" s="86"/>
      <c r="X105" s="86"/>
      <c r="Y105" s="86"/>
      <c r="Z105" s="86"/>
    </row>
    <row r="106">
      <c r="A106" s="80">
        <v>912.0</v>
      </c>
      <c r="B106" s="80" t="s">
        <v>1425</v>
      </c>
      <c r="C106" s="80" t="s">
        <v>1425</v>
      </c>
      <c r="D106" s="80" t="s">
        <v>1425</v>
      </c>
      <c r="E106" s="80" t="s">
        <v>1425</v>
      </c>
      <c r="F106" s="80" t="s">
        <v>1425</v>
      </c>
      <c r="G106" s="80" t="s">
        <v>280</v>
      </c>
      <c r="H106" s="80" t="s">
        <v>1425</v>
      </c>
      <c r="I106" s="80" t="s">
        <v>1575</v>
      </c>
      <c r="J106" s="80" t="s">
        <v>1425</v>
      </c>
      <c r="K106" s="80" t="s">
        <v>1580</v>
      </c>
      <c r="L106" s="86"/>
      <c r="M106" s="86"/>
      <c r="N106" s="86"/>
      <c r="O106" s="86"/>
      <c r="P106" s="86"/>
      <c r="Q106" s="86"/>
      <c r="R106" s="86"/>
      <c r="S106" s="86"/>
      <c r="T106" s="86"/>
      <c r="U106" s="86"/>
      <c r="V106" s="86"/>
      <c r="W106" s="86"/>
      <c r="X106" s="86"/>
      <c r="Y106" s="86"/>
      <c r="Z106" s="86"/>
    </row>
    <row r="107">
      <c r="A107" s="80">
        <v>914.0</v>
      </c>
      <c r="B107" s="80" t="s">
        <v>1425</v>
      </c>
      <c r="C107" s="80" t="s">
        <v>1425</v>
      </c>
      <c r="D107" s="80" t="s">
        <v>1425</v>
      </c>
      <c r="E107" s="80" t="s">
        <v>1425</v>
      </c>
      <c r="F107" s="80" t="s">
        <v>1425</v>
      </c>
      <c r="G107" s="80" t="s">
        <v>280</v>
      </c>
      <c r="H107" s="80" t="s">
        <v>1425</v>
      </c>
      <c r="I107" s="80" t="s">
        <v>1425</v>
      </c>
      <c r="J107" s="80" t="s">
        <v>1425</v>
      </c>
      <c r="K107" s="80" t="s">
        <v>1581</v>
      </c>
      <c r="L107" s="86"/>
      <c r="M107" s="86"/>
      <c r="N107" s="86"/>
      <c r="O107" s="86"/>
      <c r="P107" s="86"/>
      <c r="Q107" s="86"/>
      <c r="R107" s="86"/>
      <c r="S107" s="86"/>
      <c r="T107" s="86"/>
      <c r="U107" s="86"/>
      <c r="V107" s="86"/>
      <c r="W107" s="86"/>
      <c r="X107" s="86"/>
      <c r="Y107" s="86"/>
      <c r="Z107" s="86"/>
    </row>
    <row r="108">
      <c r="A108" s="76">
        <v>1418.0</v>
      </c>
      <c r="B108" s="76" t="s">
        <v>1425</v>
      </c>
      <c r="C108" s="76" t="s">
        <v>1425</v>
      </c>
      <c r="D108" s="76" t="s">
        <v>1425</v>
      </c>
      <c r="E108" s="76" t="s">
        <v>1425</v>
      </c>
      <c r="F108" s="76" t="s">
        <v>1425</v>
      </c>
      <c r="G108" s="76" t="s">
        <v>280</v>
      </c>
      <c r="H108" s="76" t="s">
        <v>1517</v>
      </c>
      <c r="I108" s="76" t="s">
        <v>1425</v>
      </c>
      <c r="J108" s="76" t="s">
        <v>1440</v>
      </c>
      <c r="K108" s="76" t="s">
        <v>1582</v>
      </c>
      <c r="L108" s="88"/>
      <c r="M108" s="88"/>
      <c r="N108" s="88"/>
      <c r="O108" s="88"/>
      <c r="P108" s="88"/>
      <c r="Q108" s="88"/>
      <c r="R108" s="88"/>
      <c r="S108" s="88"/>
      <c r="T108" s="88"/>
      <c r="U108" s="88"/>
      <c r="V108" s="88"/>
      <c r="W108" s="88"/>
      <c r="X108" s="88"/>
      <c r="Y108" s="88"/>
      <c r="Z108" s="88"/>
    </row>
    <row r="109">
      <c r="A109" s="76">
        <v>1470.0</v>
      </c>
      <c r="B109" s="76" t="s">
        <v>1425</v>
      </c>
      <c r="C109" s="76" t="s">
        <v>1440</v>
      </c>
      <c r="D109" s="76" t="s">
        <v>1425</v>
      </c>
      <c r="E109" s="76" t="s">
        <v>1425</v>
      </c>
      <c r="F109" s="76" t="s">
        <v>1425</v>
      </c>
      <c r="G109" s="76" t="s">
        <v>280</v>
      </c>
      <c r="H109" s="76" t="s">
        <v>1517</v>
      </c>
      <c r="I109" s="76" t="s">
        <v>1575</v>
      </c>
      <c r="J109" s="76" t="s">
        <v>1583</v>
      </c>
      <c r="K109" s="76" t="s">
        <v>1584</v>
      </c>
      <c r="L109" s="88"/>
      <c r="M109" s="88"/>
      <c r="N109" s="88"/>
      <c r="O109" s="88"/>
      <c r="P109" s="88"/>
      <c r="Q109" s="88"/>
      <c r="R109" s="88"/>
      <c r="S109" s="88"/>
      <c r="T109" s="88"/>
      <c r="U109" s="88"/>
      <c r="V109" s="88"/>
      <c r="W109" s="88"/>
      <c r="X109" s="88"/>
      <c r="Y109" s="88"/>
      <c r="Z109" s="88"/>
    </row>
    <row r="110">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57"/>
    <col customWidth="1" min="5" max="5" width="12.71"/>
    <col customWidth="1" min="6" max="6" width="70.14"/>
  </cols>
  <sheetData>
    <row r="1">
      <c r="A1" s="99" t="s">
        <v>1585</v>
      </c>
      <c r="B1" s="99" t="s">
        <v>1586</v>
      </c>
      <c r="C1" s="99" t="s">
        <v>1587</v>
      </c>
      <c r="D1" s="99" t="s">
        <v>1588</v>
      </c>
      <c r="E1" s="100" t="s">
        <v>1589</v>
      </c>
      <c r="F1" s="99" t="s">
        <v>37</v>
      </c>
      <c r="G1" s="99" t="s">
        <v>1590</v>
      </c>
      <c r="H1" s="101"/>
      <c r="I1" s="101"/>
      <c r="J1" s="101"/>
      <c r="K1" s="101"/>
      <c r="L1" s="101"/>
      <c r="M1" s="101"/>
      <c r="N1" s="101"/>
      <c r="O1" s="101"/>
      <c r="P1" s="101"/>
      <c r="Q1" s="101"/>
      <c r="R1" s="101"/>
      <c r="S1" s="101"/>
      <c r="T1" s="101"/>
      <c r="U1" s="101"/>
      <c r="V1" s="101"/>
      <c r="W1" s="101"/>
      <c r="X1" s="101"/>
      <c r="Y1" s="101"/>
      <c r="Z1" s="101"/>
    </row>
    <row r="2">
      <c r="A2" s="102" t="s">
        <v>874</v>
      </c>
      <c r="B2" s="102" t="s">
        <v>1591</v>
      </c>
      <c r="C2" s="102">
        <v>503.0</v>
      </c>
      <c r="D2" s="102" t="s">
        <v>1592</v>
      </c>
      <c r="E2" s="103"/>
      <c r="F2" s="103"/>
      <c r="G2" s="103"/>
      <c r="H2" s="103"/>
      <c r="I2" s="103"/>
      <c r="J2" s="103"/>
      <c r="K2" s="103"/>
      <c r="L2" s="103"/>
      <c r="M2" s="103"/>
      <c r="N2" s="103"/>
      <c r="O2" s="103"/>
      <c r="P2" s="103"/>
      <c r="Q2" s="103"/>
      <c r="R2" s="103"/>
      <c r="S2" s="103"/>
      <c r="T2" s="103"/>
      <c r="U2" s="103"/>
      <c r="V2" s="103"/>
      <c r="W2" s="103"/>
      <c r="X2" s="103"/>
      <c r="Y2" s="103"/>
      <c r="Z2" s="103"/>
    </row>
    <row r="3">
      <c r="A3" s="94" t="s">
        <v>874</v>
      </c>
      <c r="B3" s="94" t="s">
        <v>1591</v>
      </c>
      <c r="C3" s="94">
        <v>509.0</v>
      </c>
      <c r="D3" s="94" t="s">
        <v>1593</v>
      </c>
    </row>
    <row r="4">
      <c r="A4" s="94" t="s">
        <v>874</v>
      </c>
      <c r="B4" s="94" t="s">
        <v>1591</v>
      </c>
      <c r="C4" s="94">
        <v>517.0</v>
      </c>
      <c r="D4" s="94" t="s">
        <v>1593</v>
      </c>
    </row>
    <row r="5">
      <c r="A5" s="94" t="s">
        <v>1594</v>
      </c>
      <c r="B5" s="94" t="s">
        <v>1591</v>
      </c>
      <c r="C5" s="94">
        <v>549.0</v>
      </c>
      <c r="D5" s="94" t="s">
        <v>1593</v>
      </c>
    </row>
    <row r="6">
      <c r="A6" s="94" t="s">
        <v>1594</v>
      </c>
      <c r="B6" s="94" t="s">
        <v>1591</v>
      </c>
      <c r="C6" s="94">
        <v>550.0</v>
      </c>
      <c r="D6" s="94" t="s">
        <v>1593</v>
      </c>
    </row>
    <row r="7">
      <c r="A7" s="94" t="s">
        <v>1594</v>
      </c>
      <c r="B7" s="94" t="s">
        <v>1591</v>
      </c>
      <c r="C7" s="94">
        <v>565.0</v>
      </c>
      <c r="D7" s="94" t="s">
        <v>1593</v>
      </c>
    </row>
    <row r="8">
      <c r="A8" s="94" t="s">
        <v>1594</v>
      </c>
      <c r="B8" s="94" t="s">
        <v>1591</v>
      </c>
      <c r="C8" s="94">
        <v>573.0</v>
      </c>
      <c r="D8" s="94" t="s">
        <v>1593</v>
      </c>
    </row>
    <row r="9">
      <c r="A9" s="94" t="s">
        <v>1594</v>
      </c>
      <c r="B9" s="94" t="s">
        <v>1591</v>
      </c>
      <c r="C9" s="94">
        <v>590.0</v>
      </c>
      <c r="D9" s="94" t="s">
        <v>1593</v>
      </c>
    </row>
    <row r="10">
      <c r="A10" s="94" t="s">
        <v>1594</v>
      </c>
      <c r="B10" s="94" t="s">
        <v>1591</v>
      </c>
      <c r="C10" s="94">
        <v>599.0</v>
      </c>
      <c r="D10" s="94" t="s">
        <v>1593</v>
      </c>
    </row>
    <row r="11">
      <c r="A11" s="94" t="s">
        <v>1594</v>
      </c>
      <c r="B11" s="94" t="s">
        <v>1591</v>
      </c>
      <c r="C11" s="94">
        <v>603.0</v>
      </c>
      <c r="D11" s="94" t="s">
        <v>1593</v>
      </c>
    </row>
    <row r="12">
      <c r="A12" s="94" t="s">
        <v>1594</v>
      </c>
      <c r="B12" s="94" t="s">
        <v>1591</v>
      </c>
      <c r="C12" s="94">
        <v>614.0</v>
      </c>
      <c r="D12" s="94" t="s">
        <v>1593</v>
      </c>
    </row>
    <row r="13">
      <c r="A13" s="94" t="s">
        <v>1594</v>
      </c>
      <c r="B13" s="94" t="s">
        <v>1591</v>
      </c>
      <c r="C13" s="94">
        <v>627.0</v>
      </c>
      <c r="D13" s="94" t="s">
        <v>1593</v>
      </c>
    </row>
    <row r="14">
      <c r="A14" s="94" t="s">
        <v>1594</v>
      </c>
      <c r="B14" s="94" t="s">
        <v>1591</v>
      </c>
      <c r="C14" s="94">
        <v>633.0</v>
      </c>
      <c r="D14" s="94" t="s">
        <v>1593</v>
      </c>
    </row>
    <row r="15">
      <c r="A15" s="94" t="s">
        <v>1594</v>
      </c>
      <c r="B15" s="94" t="s">
        <v>1591</v>
      </c>
      <c r="C15" s="94">
        <v>636.0</v>
      </c>
      <c r="D15" s="94" t="s">
        <v>1593</v>
      </c>
    </row>
    <row r="16">
      <c r="A16" s="94" t="s">
        <v>1594</v>
      </c>
      <c r="B16" s="94" t="s">
        <v>1591</v>
      </c>
      <c r="C16" s="94">
        <v>761.0</v>
      </c>
      <c r="D16" s="94" t="s">
        <v>1593</v>
      </c>
    </row>
    <row r="17">
      <c r="A17" s="94" t="s">
        <v>1594</v>
      </c>
      <c r="B17" s="94" t="s">
        <v>1591</v>
      </c>
      <c r="C17" s="94">
        <v>766.0</v>
      </c>
      <c r="D17" s="94" t="s">
        <v>1593</v>
      </c>
    </row>
    <row r="18">
      <c r="A18" s="94" t="s">
        <v>1594</v>
      </c>
      <c r="B18" s="94" t="s">
        <v>1591</v>
      </c>
      <c r="C18" s="94">
        <v>781.0</v>
      </c>
      <c r="D18" s="94" t="s">
        <v>1593</v>
      </c>
    </row>
    <row r="19">
      <c r="A19" s="94" t="s">
        <v>1594</v>
      </c>
      <c r="B19" s="94" t="s">
        <v>1591</v>
      </c>
      <c r="C19" s="94">
        <v>791.0</v>
      </c>
      <c r="D19" s="94" t="s">
        <v>1593</v>
      </c>
    </row>
    <row r="20">
      <c r="A20" s="94" t="s">
        <v>1594</v>
      </c>
      <c r="B20" s="94" t="s">
        <v>1591</v>
      </c>
      <c r="C20" s="94">
        <v>799.0</v>
      </c>
      <c r="D20" s="94" t="s">
        <v>1593</v>
      </c>
    </row>
    <row r="21">
      <c r="A21" s="94" t="s">
        <v>1594</v>
      </c>
      <c r="B21" s="94" t="s">
        <v>1591</v>
      </c>
      <c r="C21" s="94">
        <v>802.0</v>
      </c>
      <c r="D21" s="94" t="s">
        <v>1593</v>
      </c>
    </row>
    <row r="22">
      <c r="A22" s="94" t="s">
        <v>1594</v>
      </c>
      <c r="B22" s="94" t="s">
        <v>1591</v>
      </c>
      <c r="C22" s="94">
        <v>818.0</v>
      </c>
      <c r="D22" s="94" t="s">
        <v>1593</v>
      </c>
    </row>
    <row r="23">
      <c r="A23" s="94" t="s">
        <v>1594</v>
      </c>
      <c r="B23" s="94" t="s">
        <v>1591</v>
      </c>
      <c r="C23" s="94">
        <v>820.0</v>
      </c>
      <c r="D23" s="94" t="s">
        <v>1593</v>
      </c>
    </row>
    <row r="24">
      <c r="A24" s="94" t="s">
        <v>1594</v>
      </c>
      <c r="B24" s="94" t="s">
        <v>1591</v>
      </c>
      <c r="C24" s="94">
        <v>831.0</v>
      </c>
      <c r="D24" s="94" t="s">
        <v>1593</v>
      </c>
    </row>
    <row r="25">
      <c r="A25" s="94" t="s">
        <v>1594</v>
      </c>
      <c r="B25" s="94" t="s">
        <v>1591</v>
      </c>
      <c r="C25" s="94">
        <v>839.0</v>
      </c>
      <c r="D25" s="94" t="s">
        <v>1593</v>
      </c>
    </row>
    <row r="26">
      <c r="A26" s="94" t="s">
        <v>1594</v>
      </c>
      <c r="B26" s="94" t="s">
        <v>1591</v>
      </c>
      <c r="C26" s="94">
        <v>847.0</v>
      </c>
      <c r="D26" s="94" t="s">
        <v>1593</v>
      </c>
    </row>
    <row r="27">
      <c r="A27" s="94" t="s">
        <v>1594</v>
      </c>
      <c r="B27" s="94" t="s">
        <v>1591</v>
      </c>
      <c r="C27" s="94">
        <v>860.0</v>
      </c>
      <c r="D27" s="94" t="s">
        <v>1593</v>
      </c>
    </row>
    <row r="28">
      <c r="A28" s="94" t="s">
        <v>1594</v>
      </c>
      <c r="B28" s="94" t="s">
        <v>1591</v>
      </c>
      <c r="C28" s="94">
        <v>894.0</v>
      </c>
      <c r="D28" s="94" t="s">
        <v>1593</v>
      </c>
    </row>
    <row r="29">
      <c r="A29" s="94" t="s">
        <v>1594</v>
      </c>
      <c r="B29" s="94" t="s">
        <v>1591</v>
      </c>
      <c r="C29" s="94">
        <v>912.0</v>
      </c>
      <c r="D29" s="94" t="s">
        <v>1593</v>
      </c>
    </row>
    <row r="30">
      <c r="A30" s="94" t="s">
        <v>1594</v>
      </c>
      <c r="B30" s="94" t="s">
        <v>1591</v>
      </c>
      <c r="C30" s="94">
        <v>914.0</v>
      </c>
      <c r="D30" s="94" t="s">
        <v>1593</v>
      </c>
    </row>
    <row r="31">
      <c r="A31" s="94" t="s">
        <v>1594</v>
      </c>
      <c r="B31" s="94" t="s">
        <v>1591</v>
      </c>
      <c r="C31" s="94">
        <v>918.0</v>
      </c>
      <c r="D31" s="94" t="s">
        <v>1593</v>
      </c>
    </row>
    <row r="32">
      <c r="A32" s="94" t="s">
        <v>1594</v>
      </c>
      <c r="B32" s="94" t="s">
        <v>1591</v>
      </c>
      <c r="C32" s="94">
        <v>928.0</v>
      </c>
      <c r="D32" s="94" t="s">
        <v>1593</v>
      </c>
    </row>
    <row r="33">
      <c r="A33" s="94" t="s">
        <v>1594</v>
      </c>
      <c r="B33" s="94" t="s">
        <v>1591</v>
      </c>
      <c r="C33" s="94">
        <v>929.0</v>
      </c>
      <c r="D33" s="94" t="s">
        <v>1593</v>
      </c>
    </row>
    <row r="34">
      <c r="A34" s="94" t="s">
        <v>1594</v>
      </c>
      <c r="B34" s="94" t="s">
        <v>1591</v>
      </c>
      <c r="C34" s="94">
        <v>941.0</v>
      </c>
      <c r="D34" s="94" t="s">
        <v>1593</v>
      </c>
    </row>
    <row r="35">
      <c r="A35" s="94" t="s">
        <v>1594</v>
      </c>
      <c r="B35" s="94" t="s">
        <v>1591</v>
      </c>
      <c r="C35" s="94">
        <v>943.0</v>
      </c>
      <c r="D35" s="94" t="s">
        <v>1593</v>
      </c>
    </row>
    <row r="36">
      <c r="A36" s="94" t="s">
        <v>1594</v>
      </c>
      <c r="B36" s="94" t="s">
        <v>1591</v>
      </c>
      <c r="C36" s="94">
        <v>953.0</v>
      </c>
      <c r="D36" s="94" t="s">
        <v>1593</v>
      </c>
    </row>
    <row r="37">
      <c r="A37" s="94" t="s">
        <v>1594</v>
      </c>
      <c r="B37" s="94" t="s">
        <v>1591</v>
      </c>
      <c r="C37" s="94">
        <v>967.0</v>
      </c>
      <c r="D37" s="94" t="s">
        <v>1593</v>
      </c>
    </row>
    <row r="38">
      <c r="A38" s="94" t="s">
        <v>1594</v>
      </c>
      <c r="B38" s="94" t="s">
        <v>1591</v>
      </c>
      <c r="C38" s="94">
        <v>1024.0</v>
      </c>
      <c r="D38" s="94" t="s">
        <v>1593</v>
      </c>
    </row>
    <row r="39">
      <c r="A39" s="94" t="s">
        <v>1594</v>
      </c>
      <c r="B39" s="94" t="s">
        <v>1591</v>
      </c>
      <c r="C39" s="94">
        <v>1050.0</v>
      </c>
      <c r="D39" s="94" t="s">
        <v>1593</v>
      </c>
    </row>
    <row r="40">
      <c r="A40" s="94" t="s">
        <v>1594</v>
      </c>
      <c r="B40" s="94" t="s">
        <v>1591</v>
      </c>
      <c r="C40" s="94">
        <v>1053.0</v>
      </c>
      <c r="D40" s="94" t="s">
        <v>1593</v>
      </c>
    </row>
    <row r="41">
      <c r="A41" s="94" t="s">
        <v>1594</v>
      </c>
      <c r="B41" s="94" t="s">
        <v>1591</v>
      </c>
      <c r="C41" s="94">
        <v>1059.0</v>
      </c>
      <c r="D41" s="94" t="s">
        <v>1593</v>
      </c>
    </row>
    <row r="42">
      <c r="A42" s="94" t="s">
        <v>1594</v>
      </c>
      <c r="B42" s="94" t="s">
        <v>1591</v>
      </c>
      <c r="C42" s="94">
        <v>1061.0</v>
      </c>
      <c r="D42" s="94" t="s">
        <v>1593</v>
      </c>
    </row>
    <row r="43">
      <c r="A43" s="94" t="s">
        <v>1594</v>
      </c>
      <c r="B43" s="94" t="s">
        <v>1591</v>
      </c>
      <c r="C43" s="94">
        <v>1065.0</v>
      </c>
      <c r="D43" s="94" t="s">
        <v>1593</v>
      </c>
    </row>
    <row r="44">
      <c r="A44" s="94" t="s">
        <v>1594</v>
      </c>
      <c r="B44" s="94" t="s">
        <v>1591</v>
      </c>
      <c r="C44" s="94">
        <v>1078.0</v>
      </c>
      <c r="D44" s="94" t="s">
        <v>1593</v>
      </c>
    </row>
    <row r="45">
      <c r="A45" s="94" t="s">
        <v>1594</v>
      </c>
      <c r="B45" s="94" t="s">
        <v>1591</v>
      </c>
      <c r="C45" s="94">
        <v>1128.0</v>
      </c>
      <c r="D45" s="94" t="s">
        <v>1593</v>
      </c>
    </row>
    <row r="46">
      <c r="A46" s="94" t="s">
        <v>1594</v>
      </c>
      <c r="B46" s="94" t="s">
        <v>1591</v>
      </c>
      <c r="C46" s="94">
        <v>1141.0</v>
      </c>
      <c r="D46" s="94" t="s">
        <v>1593</v>
      </c>
    </row>
    <row r="47">
      <c r="A47" s="94" t="s">
        <v>1594</v>
      </c>
      <c r="B47" s="94" t="s">
        <v>1591</v>
      </c>
      <c r="C47" s="94">
        <v>1147.0</v>
      </c>
      <c r="D47" s="94" t="s">
        <v>1593</v>
      </c>
    </row>
    <row r="48">
      <c r="A48" s="94" t="s">
        <v>1594</v>
      </c>
      <c r="B48" s="94" t="s">
        <v>1591</v>
      </c>
      <c r="C48" s="94">
        <v>1164.0</v>
      </c>
      <c r="D48" s="94" t="s">
        <v>1593</v>
      </c>
    </row>
    <row r="49">
      <c r="A49" s="94" t="s">
        <v>1594</v>
      </c>
      <c r="B49" s="94" t="s">
        <v>1591</v>
      </c>
      <c r="C49" s="94">
        <v>1173.0</v>
      </c>
      <c r="D49" s="94" t="s">
        <v>1593</v>
      </c>
    </row>
    <row r="50">
      <c r="A50" s="94" t="s">
        <v>1594</v>
      </c>
      <c r="B50" s="94" t="s">
        <v>1591</v>
      </c>
      <c r="C50" s="94">
        <v>1193.0</v>
      </c>
      <c r="D50" s="94" t="s">
        <v>1593</v>
      </c>
    </row>
    <row r="51">
      <c r="A51" s="94" t="s">
        <v>1594</v>
      </c>
      <c r="B51" s="94" t="s">
        <v>1591</v>
      </c>
      <c r="C51" s="94">
        <v>1206.0</v>
      </c>
      <c r="D51" s="94" t="s">
        <v>1593</v>
      </c>
    </row>
    <row r="52">
      <c r="A52" s="94" t="s">
        <v>1594</v>
      </c>
      <c r="B52" s="94" t="s">
        <v>1591</v>
      </c>
      <c r="C52" s="94">
        <v>1224.0</v>
      </c>
      <c r="D52" s="94" t="s">
        <v>1593</v>
      </c>
    </row>
    <row r="53">
      <c r="A53" s="94" t="s">
        <v>1594</v>
      </c>
      <c r="B53" s="94" t="s">
        <v>1591</v>
      </c>
      <c r="C53" s="94">
        <v>1225.0</v>
      </c>
      <c r="D53" s="94" t="s">
        <v>1593</v>
      </c>
    </row>
    <row r="54">
      <c r="A54" s="94" t="s">
        <v>1594</v>
      </c>
      <c r="B54" s="94" t="s">
        <v>1591</v>
      </c>
      <c r="C54" s="94">
        <v>1242.0</v>
      </c>
      <c r="D54" s="94" t="s">
        <v>1593</v>
      </c>
    </row>
    <row r="55">
      <c r="A55" s="94" t="s">
        <v>1594</v>
      </c>
      <c r="B55" s="94" t="s">
        <v>1591</v>
      </c>
      <c r="C55" s="94">
        <v>1266.0</v>
      </c>
      <c r="D55" s="94" t="s">
        <v>1593</v>
      </c>
    </row>
    <row r="56">
      <c r="A56" s="94" t="s">
        <v>860</v>
      </c>
      <c r="B56" s="94" t="s">
        <v>1595</v>
      </c>
      <c r="C56" s="94">
        <v>1506.0</v>
      </c>
      <c r="D56" s="94" t="s">
        <v>1593</v>
      </c>
      <c r="F56" s="94"/>
    </row>
    <row r="57">
      <c r="A57" s="94" t="s">
        <v>860</v>
      </c>
      <c r="B57" s="94" t="s">
        <v>1596</v>
      </c>
      <c r="C57" s="94">
        <v>1225.0</v>
      </c>
      <c r="D57" s="94" t="s">
        <v>1593</v>
      </c>
      <c r="F57" s="94"/>
    </row>
    <row r="58">
      <c r="A58" s="104" t="s">
        <v>1052</v>
      </c>
      <c r="B58" s="104" t="s">
        <v>1597</v>
      </c>
      <c r="C58" s="104">
        <v>1418.0</v>
      </c>
      <c r="D58" s="104" t="s">
        <v>1593</v>
      </c>
      <c r="E58" s="105"/>
      <c r="F58" s="104" t="s">
        <v>1598</v>
      </c>
      <c r="G58" s="105"/>
      <c r="H58" s="105"/>
      <c r="I58" s="105"/>
      <c r="J58" s="105"/>
      <c r="K58" s="105"/>
      <c r="L58" s="105"/>
      <c r="M58" s="105"/>
      <c r="N58" s="105"/>
      <c r="O58" s="105"/>
      <c r="P58" s="105"/>
      <c r="Q58" s="105"/>
      <c r="R58" s="105"/>
      <c r="S58" s="105"/>
      <c r="T58" s="105"/>
      <c r="U58" s="105"/>
      <c r="V58" s="105"/>
      <c r="W58" s="105"/>
      <c r="X58" s="105"/>
      <c r="Y58" s="105"/>
      <c r="Z58" s="105"/>
    </row>
    <row r="59">
      <c r="A59" s="94" t="s">
        <v>1599</v>
      </c>
      <c r="B59" s="94" t="s">
        <v>1600</v>
      </c>
      <c r="C59" s="106" t="s">
        <v>1601</v>
      </c>
      <c r="D59" s="94" t="s">
        <v>1593</v>
      </c>
      <c r="F59" s="94" t="s">
        <v>1602</v>
      </c>
    </row>
    <row r="60">
      <c r="A60" s="94" t="s">
        <v>1599</v>
      </c>
      <c r="B60" s="94" t="s">
        <v>1603</v>
      </c>
      <c r="C60" s="106" t="s">
        <v>1601</v>
      </c>
      <c r="D60" s="94" t="s">
        <v>1593</v>
      </c>
      <c r="F60" s="94" t="s">
        <v>1604</v>
      </c>
    </row>
    <row r="61">
      <c r="A61" s="107" t="s">
        <v>1605</v>
      </c>
      <c r="B61" s="107" t="s">
        <v>1595</v>
      </c>
      <c r="C61" s="107">
        <v>573.0</v>
      </c>
      <c r="D61" s="107" t="s">
        <v>1606</v>
      </c>
      <c r="E61" s="107" t="s">
        <v>1425</v>
      </c>
      <c r="F61" s="108"/>
      <c r="G61" s="108"/>
      <c r="H61" s="108"/>
      <c r="I61" s="108"/>
      <c r="J61" s="108"/>
      <c r="K61" s="108"/>
      <c r="L61" s="108"/>
      <c r="M61" s="108"/>
      <c r="N61" s="108"/>
      <c r="O61" s="108"/>
      <c r="P61" s="108"/>
      <c r="Q61" s="108"/>
      <c r="R61" s="108"/>
      <c r="S61" s="108"/>
      <c r="T61" s="108"/>
      <c r="U61" s="108"/>
      <c r="V61" s="108"/>
      <c r="W61" s="108"/>
      <c r="X61" s="108"/>
      <c r="Y61" s="108"/>
      <c r="Z61" s="108"/>
    </row>
    <row r="62">
      <c r="A62" s="107" t="s">
        <v>1605</v>
      </c>
      <c r="B62" s="107" t="s">
        <v>1591</v>
      </c>
      <c r="C62" s="107">
        <v>1418.0</v>
      </c>
      <c r="D62" s="107" t="s">
        <v>1606</v>
      </c>
      <c r="E62" s="107" t="s">
        <v>1425</v>
      </c>
      <c r="F62" s="108"/>
      <c r="G62" s="108"/>
      <c r="H62" s="108"/>
      <c r="I62" s="108"/>
      <c r="J62" s="108"/>
      <c r="K62" s="108"/>
      <c r="L62" s="108"/>
      <c r="M62" s="108"/>
      <c r="N62" s="108"/>
      <c r="O62" s="108"/>
      <c r="P62" s="108"/>
      <c r="Q62" s="108"/>
      <c r="R62" s="108"/>
      <c r="S62" s="108"/>
      <c r="T62" s="108"/>
      <c r="U62" s="108"/>
      <c r="V62" s="108"/>
      <c r="W62" s="108"/>
      <c r="X62" s="108"/>
      <c r="Y62" s="108"/>
      <c r="Z62" s="108"/>
    </row>
    <row r="63">
      <c r="A63" s="107" t="s">
        <v>1605</v>
      </c>
      <c r="B63" s="107" t="s">
        <v>1591</v>
      </c>
      <c r="C63" s="107">
        <v>626.0</v>
      </c>
      <c r="D63" s="107" t="s">
        <v>1606</v>
      </c>
      <c r="E63" s="107" t="s">
        <v>1425</v>
      </c>
      <c r="F63" s="107"/>
      <c r="G63" s="108"/>
      <c r="H63" s="108"/>
      <c r="I63" s="108"/>
      <c r="J63" s="108"/>
      <c r="K63" s="108"/>
      <c r="L63" s="108"/>
      <c r="M63" s="108"/>
      <c r="N63" s="108"/>
      <c r="O63" s="108"/>
      <c r="P63" s="108"/>
      <c r="Q63" s="108"/>
      <c r="R63" s="108"/>
      <c r="S63" s="108"/>
      <c r="T63" s="108"/>
      <c r="U63" s="108"/>
      <c r="V63" s="108"/>
      <c r="W63" s="108"/>
      <c r="X63" s="108"/>
      <c r="Y63" s="108"/>
      <c r="Z63" s="108"/>
    </row>
    <row r="64">
      <c r="A64" s="107" t="s">
        <v>1605</v>
      </c>
      <c r="B64" s="107" t="s">
        <v>1607</v>
      </c>
      <c r="C64" s="107">
        <v>789.0</v>
      </c>
      <c r="D64" s="107" t="s">
        <v>1606</v>
      </c>
      <c r="E64" s="107" t="s">
        <v>1425</v>
      </c>
      <c r="F64" s="108"/>
      <c r="G64" s="108"/>
      <c r="H64" s="108"/>
      <c r="I64" s="108"/>
      <c r="J64" s="108"/>
      <c r="K64" s="108"/>
      <c r="L64" s="108"/>
      <c r="M64" s="108"/>
      <c r="N64" s="108"/>
      <c r="O64" s="108"/>
      <c r="P64" s="108"/>
      <c r="Q64" s="108"/>
      <c r="R64" s="108"/>
      <c r="S64" s="108"/>
      <c r="T64" s="108"/>
      <c r="U64" s="108"/>
      <c r="V64" s="108"/>
      <c r="W64" s="108"/>
      <c r="X64" s="108"/>
      <c r="Y64" s="108"/>
      <c r="Z64" s="108"/>
    </row>
    <row r="65">
      <c r="A65" s="107" t="s">
        <v>874</v>
      </c>
      <c r="B65" s="107" t="s">
        <v>1591</v>
      </c>
      <c r="C65" s="107">
        <v>774.0</v>
      </c>
      <c r="D65" s="107" t="s">
        <v>1606</v>
      </c>
      <c r="E65" s="107" t="s">
        <v>1425</v>
      </c>
      <c r="F65" s="108"/>
      <c r="G65" s="108"/>
      <c r="H65" s="108"/>
      <c r="I65" s="108"/>
      <c r="J65" s="108"/>
      <c r="K65" s="108"/>
      <c r="L65" s="108"/>
      <c r="M65" s="108"/>
      <c r="N65" s="108"/>
      <c r="O65" s="108"/>
      <c r="P65" s="108"/>
      <c r="Q65" s="108"/>
      <c r="R65" s="108"/>
      <c r="S65" s="108"/>
      <c r="T65" s="108"/>
      <c r="U65" s="108"/>
      <c r="V65" s="108"/>
      <c r="W65" s="108"/>
      <c r="X65" s="108"/>
      <c r="Y65" s="108"/>
      <c r="Z65" s="108"/>
    </row>
    <row r="66">
      <c r="A66" s="107" t="s">
        <v>1605</v>
      </c>
      <c r="B66" s="107" t="s">
        <v>1591</v>
      </c>
      <c r="C66" s="107">
        <v>767.0</v>
      </c>
      <c r="D66" s="107" t="s">
        <v>1606</v>
      </c>
      <c r="E66" s="107" t="s">
        <v>1425</v>
      </c>
      <c r="F66" s="108"/>
      <c r="G66" s="108"/>
      <c r="H66" s="108"/>
      <c r="I66" s="108"/>
      <c r="J66" s="108"/>
      <c r="K66" s="108"/>
      <c r="L66" s="108"/>
      <c r="M66" s="108"/>
      <c r="N66" s="108"/>
      <c r="O66" s="108"/>
      <c r="P66" s="108"/>
      <c r="Q66" s="108"/>
      <c r="R66" s="108"/>
      <c r="S66" s="108"/>
      <c r="T66" s="108"/>
      <c r="U66" s="108"/>
      <c r="V66" s="108"/>
      <c r="W66" s="108"/>
      <c r="X66" s="108"/>
      <c r="Y66" s="108"/>
      <c r="Z66" s="108"/>
    </row>
    <row r="67">
      <c r="A67" s="109" t="s">
        <v>1605</v>
      </c>
      <c r="B67" s="109" t="s">
        <v>1591</v>
      </c>
      <c r="C67" s="110">
        <v>797.0</v>
      </c>
      <c r="D67" s="107" t="s">
        <v>1606</v>
      </c>
      <c r="E67" s="107" t="s">
        <v>1425</v>
      </c>
      <c r="F67" s="108"/>
      <c r="G67" s="108"/>
      <c r="H67" s="108"/>
      <c r="I67" s="108"/>
      <c r="J67" s="108"/>
      <c r="K67" s="108"/>
      <c r="L67" s="108"/>
      <c r="M67" s="108"/>
      <c r="N67" s="108"/>
      <c r="O67" s="108"/>
      <c r="P67" s="108"/>
      <c r="Q67" s="108"/>
      <c r="R67" s="108"/>
      <c r="S67" s="108"/>
      <c r="T67" s="108"/>
      <c r="U67" s="108"/>
      <c r="V67" s="108"/>
      <c r="W67" s="108"/>
      <c r="X67" s="108"/>
      <c r="Y67" s="108"/>
      <c r="Z67" s="108"/>
    </row>
    <row r="68">
      <c r="A68" s="107" t="s">
        <v>1605</v>
      </c>
      <c r="B68" s="107" t="s">
        <v>1608</v>
      </c>
      <c r="C68" s="107">
        <v>1470.0</v>
      </c>
      <c r="D68" s="107" t="s">
        <v>1606</v>
      </c>
      <c r="E68" s="107" t="s">
        <v>1425</v>
      </c>
      <c r="F68" s="108"/>
      <c r="G68" s="108"/>
      <c r="H68" s="108"/>
      <c r="I68" s="108"/>
      <c r="J68" s="108"/>
      <c r="K68" s="108"/>
      <c r="L68" s="108"/>
      <c r="M68" s="108"/>
      <c r="N68" s="108"/>
      <c r="O68" s="108"/>
      <c r="P68" s="108"/>
      <c r="Q68" s="108"/>
      <c r="R68" s="108"/>
      <c r="S68" s="108"/>
      <c r="T68" s="108"/>
      <c r="U68" s="108"/>
      <c r="V68" s="108"/>
      <c r="W68" s="108"/>
      <c r="X68" s="108"/>
      <c r="Y68" s="108"/>
      <c r="Z68" s="108"/>
    </row>
    <row r="69">
      <c r="A69" s="107" t="s">
        <v>1605</v>
      </c>
      <c r="B69" s="107" t="s">
        <v>1595</v>
      </c>
      <c r="C69" s="107">
        <v>897.0</v>
      </c>
      <c r="D69" s="107" t="s">
        <v>1606</v>
      </c>
      <c r="E69" s="107" t="s">
        <v>1425</v>
      </c>
      <c r="F69" s="108"/>
      <c r="G69" s="108"/>
      <c r="H69" s="108"/>
      <c r="I69" s="108"/>
      <c r="J69" s="108"/>
      <c r="K69" s="108"/>
      <c r="L69" s="108"/>
      <c r="M69" s="108"/>
      <c r="N69" s="108"/>
      <c r="O69" s="108"/>
      <c r="P69" s="108"/>
      <c r="Q69" s="108"/>
      <c r="R69" s="108"/>
      <c r="S69" s="108"/>
      <c r="T69" s="108"/>
      <c r="U69" s="108"/>
      <c r="V69" s="108"/>
      <c r="W69" s="108"/>
      <c r="X69" s="108"/>
      <c r="Y69" s="108"/>
      <c r="Z69" s="108"/>
    </row>
    <row r="70">
      <c r="A70" s="107" t="s">
        <v>1605</v>
      </c>
      <c r="B70" s="107" t="s">
        <v>1591</v>
      </c>
      <c r="C70" s="107">
        <v>801.0</v>
      </c>
      <c r="D70" s="107" t="s">
        <v>1606</v>
      </c>
      <c r="E70" s="107" t="s">
        <v>1425</v>
      </c>
      <c r="F70" s="108"/>
      <c r="G70" s="108"/>
      <c r="H70" s="108"/>
      <c r="I70" s="108"/>
      <c r="J70" s="108"/>
      <c r="K70" s="108"/>
      <c r="L70" s="108"/>
      <c r="M70" s="108"/>
      <c r="N70" s="108"/>
      <c r="O70" s="108"/>
      <c r="P70" s="108"/>
      <c r="Q70" s="108"/>
      <c r="R70" s="108"/>
      <c r="S70" s="108"/>
      <c r="T70" s="108"/>
      <c r="U70" s="108"/>
      <c r="V70" s="108"/>
      <c r="W70" s="108"/>
      <c r="X70" s="108"/>
      <c r="Y70" s="108"/>
      <c r="Z70" s="108"/>
    </row>
    <row r="71">
      <c r="A71" s="107" t="s">
        <v>1605</v>
      </c>
      <c r="B71" s="107" t="s">
        <v>1595</v>
      </c>
      <c r="C71" s="107">
        <v>615.0</v>
      </c>
      <c r="D71" s="107" t="s">
        <v>1606</v>
      </c>
      <c r="E71" s="107" t="s">
        <v>1425</v>
      </c>
      <c r="F71" s="108"/>
      <c r="G71" s="108"/>
      <c r="H71" s="108"/>
      <c r="I71" s="108"/>
      <c r="J71" s="108"/>
      <c r="K71" s="108"/>
      <c r="L71" s="108"/>
      <c r="M71" s="108"/>
      <c r="N71" s="108"/>
      <c r="O71" s="108"/>
      <c r="P71" s="108"/>
      <c r="Q71" s="108"/>
      <c r="R71" s="108"/>
      <c r="S71" s="108"/>
      <c r="T71" s="108"/>
      <c r="U71" s="108"/>
      <c r="V71" s="108"/>
      <c r="W71" s="108"/>
      <c r="X71" s="108"/>
      <c r="Y71" s="108"/>
      <c r="Z71" s="108"/>
    </row>
    <row r="72">
      <c r="A72" s="107" t="s">
        <v>1605</v>
      </c>
      <c r="B72" s="107" t="s">
        <v>1595</v>
      </c>
      <c r="C72" s="107">
        <v>859.0</v>
      </c>
      <c r="D72" s="107" t="s">
        <v>1606</v>
      </c>
      <c r="E72" s="107" t="s">
        <v>1425</v>
      </c>
      <c r="F72" s="108"/>
      <c r="G72" s="108"/>
      <c r="H72" s="108"/>
      <c r="I72" s="108"/>
      <c r="J72" s="108"/>
      <c r="K72" s="108"/>
      <c r="L72" s="108"/>
      <c r="M72" s="108"/>
      <c r="N72" s="108"/>
      <c r="O72" s="108"/>
      <c r="P72" s="108"/>
      <c r="Q72" s="108"/>
      <c r="R72" s="108"/>
      <c r="S72" s="108"/>
      <c r="T72" s="108"/>
      <c r="U72" s="108"/>
      <c r="V72" s="108"/>
      <c r="W72" s="108"/>
      <c r="X72" s="108"/>
      <c r="Y72" s="108"/>
      <c r="Z72" s="108"/>
    </row>
    <row r="73">
      <c r="A73" s="107" t="s">
        <v>1605</v>
      </c>
      <c r="B73" s="107" t="s">
        <v>1591</v>
      </c>
      <c r="C73" s="107">
        <v>903.0</v>
      </c>
      <c r="D73" s="107" t="s">
        <v>1606</v>
      </c>
      <c r="E73" s="107" t="s">
        <v>1425</v>
      </c>
      <c r="F73" s="108"/>
      <c r="G73" s="108"/>
      <c r="H73" s="108"/>
      <c r="I73" s="108"/>
      <c r="J73" s="108"/>
      <c r="K73" s="108"/>
      <c r="L73" s="108"/>
      <c r="M73" s="108"/>
      <c r="N73" s="108"/>
      <c r="O73" s="108"/>
      <c r="P73" s="108"/>
      <c r="Q73" s="108"/>
      <c r="R73" s="108"/>
      <c r="S73" s="108"/>
      <c r="T73" s="108"/>
      <c r="U73" s="108"/>
      <c r="V73" s="108"/>
      <c r="W73" s="108"/>
      <c r="X73" s="108"/>
      <c r="Y73" s="108"/>
      <c r="Z73" s="108"/>
    </row>
    <row r="74">
      <c r="A74" s="107" t="s">
        <v>1605</v>
      </c>
      <c r="B74" s="107" t="s">
        <v>1595</v>
      </c>
      <c r="C74" s="107">
        <v>936.0</v>
      </c>
      <c r="D74" s="107" t="s">
        <v>1606</v>
      </c>
      <c r="E74" s="107" t="s">
        <v>1425</v>
      </c>
      <c r="F74" s="108"/>
      <c r="G74" s="108"/>
      <c r="H74" s="108"/>
      <c r="I74" s="108"/>
      <c r="J74" s="108"/>
      <c r="K74" s="108"/>
      <c r="L74" s="108"/>
      <c r="M74" s="108"/>
      <c r="N74" s="108"/>
      <c r="O74" s="108"/>
      <c r="P74" s="108"/>
      <c r="Q74" s="108"/>
      <c r="R74" s="108"/>
      <c r="S74" s="108"/>
      <c r="T74" s="108"/>
      <c r="U74" s="108"/>
      <c r="V74" s="108"/>
      <c r="W74" s="108"/>
      <c r="X74" s="108"/>
      <c r="Y74" s="108"/>
      <c r="Z74" s="108"/>
    </row>
    <row r="75">
      <c r="A75" s="107" t="s">
        <v>1605</v>
      </c>
      <c r="B75" s="107" t="s">
        <v>1591</v>
      </c>
      <c r="C75" s="107">
        <v>940.0</v>
      </c>
      <c r="D75" s="107" t="s">
        <v>1606</v>
      </c>
      <c r="E75" s="107" t="s">
        <v>1425</v>
      </c>
      <c r="F75" s="108"/>
      <c r="G75" s="108"/>
      <c r="H75" s="108"/>
      <c r="I75" s="108"/>
      <c r="J75" s="108"/>
      <c r="K75" s="108"/>
      <c r="L75" s="108"/>
      <c r="M75" s="108"/>
      <c r="N75" s="108"/>
      <c r="O75" s="108"/>
      <c r="P75" s="108"/>
      <c r="Q75" s="108"/>
      <c r="R75" s="108"/>
      <c r="S75" s="108"/>
      <c r="T75" s="108"/>
      <c r="U75" s="108"/>
      <c r="V75" s="108"/>
      <c r="W75" s="108"/>
      <c r="X75" s="108"/>
      <c r="Y75" s="108"/>
      <c r="Z75" s="108"/>
    </row>
    <row r="76">
      <c r="A76" s="107" t="s">
        <v>1605</v>
      </c>
      <c r="B76" s="107" t="s">
        <v>1591</v>
      </c>
      <c r="C76" s="107">
        <v>1402.0</v>
      </c>
      <c r="D76" s="107" t="s">
        <v>1606</v>
      </c>
      <c r="E76" s="107" t="s">
        <v>1425</v>
      </c>
      <c r="F76" s="108"/>
      <c r="G76" s="108"/>
      <c r="H76" s="108"/>
      <c r="I76" s="108"/>
      <c r="J76" s="108"/>
      <c r="K76" s="108"/>
      <c r="L76" s="108"/>
      <c r="M76" s="108"/>
      <c r="N76" s="108"/>
      <c r="O76" s="108"/>
      <c r="P76" s="108"/>
      <c r="Q76" s="108"/>
      <c r="R76" s="108"/>
      <c r="S76" s="108"/>
      <c r="T76" s="108"/>
      <c r="U76" s="108"/>
      <c r="V76" s="108"/>
      <c r="W76" s="108"/>
      <c r="X76" s="108"/>
      <c r="Y76" s="108"/>
      <c r="Z76" s="108"/>
    </row>
    <row r="77">
      <c r="A77" s="107" t="s">
        <v>1605</v>
      </c>
      <c r="B77" s="107" t="s">
        <v>1591</v>
      </c>
      <c r="C77" s="107">
        <v>1072.0</v>
      </c>
      <c r="D77" s="107" t="s">
        <v>1606</v>
      </c>
      <c r="E77" s="107" t="s">
        <v>1425</v>
      </c>
      <c r="F77" s="108"/>
      <c r="G77" s="108"/>
      <c r="H77" s="108"/>
      <c r="I77" s="108"/>
      <c r="J77" s="108"/>
      <c r="K77" s="108"/>
      <c r="L77" s="108"/>
      <c r="M77" s="108"/>
      <c r="N77" s="108"/>
      <c r="O77" s="108"/>
      <c r="P77" s="108"/>
      <c r="Q77" s="108"/>
      <c r="R77" s="108"/>
      <c r="S77" s="108"/>
      <c r="T77" s="108"/>
      <c r="U77" s="108"/>
      <c r="V77" s="108"/>
      <c r="W77" s="108"/>
      <c r="X77" s="108"/>
      <c r="Y77" s="108"/>
      <c r="Z77" s="108"/>
    </row>
    <row r="78">
      <c r="A78" s="107" t="s">
        <v>1605</v>
      </c>
      <c r="B78" s="107" t="s">
        <v>1601</v>
      </c>
      <c r="C78" s="107">
        <v>952.0</v>
      </c>
      <c r="D78" s="107" t="s">
        <v>1606</v>
      </c>
      <c r="E78" s="107" t="s">
        <v>1425</v>
      </c>
      <c r="F78" s="108"/>
      <c r="G78" s="108"/>
      <c r="H78" s="108"/>
      <c r="I78" s="108"/>
      <c r="J78" s="108"/>
      <c r="K78" s="108"/>
      <c r="L78" s="108"/>
      <c r="M78" s="108"/>
      <c r="N78" s="108"/>
      <c r="O78" s="108"/>
      <c r="P78" s="108"/>
      <c r="Q78" s="108"/>
      <c r="R78" s="108"/>
      <c r="S78" s="108"/>
      <c r="T78" s="108"/>
      <c r="U78" s="108"/>
      <c r="V78" s="108"/>
      <c r="W78" s="108"/>
      <c r="X78" s="108"/>
      <c r="Y78" s="108"/>
      <c r="Z78" s="108"/>
    </row>
    <row r="79">
      <c r="A79" s="107" t="s">
        <v>1605</v>
      </c>
      <c r="B79" s="107" t="s">
        <v>1591</v>
      </c>
      <c r="C79" s="107">
        <v>968.0</v>
      </c>
      <c r="D79" s="107" t="s">
        <v>1606</v>
      </c>
      <c r="E79" s="107" t="s">
        <v>1425</v>
      </c>
      <c r="F79" s="108"/>
      <c r="G79" s="108"/>
      <c r="H79" s="108"/>
      <c r="I79" s="108"/>
      <c r="J79" s="108"/>
      <c r="K79" s="108"/>
      <c r="L79" s="108"/>
      <c r="M79" s="108"/>
      <c r="N79" s="108"/>
      <c r="O79" s="108"/>
      <c r="P79" s="108"/>
      <c r="Q79" s="108"/>
      <c r="R79" s="108"/>
      <c r="S79" s="108"/>
      <c r="T79" s="108"/>
      <c r="U79" s="108"/>
      <c r="V79" s="108"/>
      <c r="W79" s="108"/>
      <c r="X79" s="108"/>
      <c r="Y79" s="108"/>
      <c r="Z79" s="108"/>
    </row>
    <row r="80">
      <c r="A80" s="107" t="s">
        <v>1605</v>
      </c>
      <c r="B80" s="107" t="s">
        <v>1591</v>
      </c>
      <c r="C80" s="107">
        <v>1077.0</v>
      </c>
      <c r="D80" s="107" t="s">
        <v>1606</v>
      </c>
      <c r="E80" s="107" t="s">
        <v>1425</v>
      </c>
      <c r="F80" s="108"/>
      <c r="G80" s="108"/>
      <c r="H80" s="108"/>
      <c r="I80" s="108"/>
      <c r="J80" s="108"/>
      <c r="K80" s="108"/>
      <c r="L80" s="108"/>
      <c r="M80" s="108"/>
      <c r="N80" s="108"/>
      <c r="O80" s="108"/>
      <c r="P80" s="108"/>
      <c r="Q80" s="108"/>
      <c r="R80" s="108"/>
      <c r="S80" s="108"/>
      <c r="T80" s="108"/>
      <c r="U80" s="108"/>
      <c r="V80" s="108"/>
      <c r="W80" s="108"/>
      <c r="X80" s="108"/>
      <c r="Y80" s="108"/>
      <c r="Z80" s="108"/>
    </row>
    <row r="81">
      <c r="A81" s="107" t="s">
        <v>1605</v>
      </c>
      <c r="B81" s="107" t="s">
        <v>1601</v>
      </c>
      <c r="C81" s="107">
        <v>1154.0</v>
      </c>
      <c r="D81" s="107" t="s">
        <v>1606</v>
      </c>
      <c r="E81" s="107" t="s">
        <v>1425</v>
      </c>
      <c r="F81" s="108"/>
      <c r="G81" s="108"/>
      <c r="H81" s="108"/>
      <c r="I81" s="108"/>
      <c r="J81" s="108"/>
      <c r="K81" s="108"/>
      <c r="L81" s="108"/>
      <c r="M81" s="108"/>
      <c r="N81" s="108"/>
      <c r="O81" s="108"/>
      <c r="P81" s="108"/>
      <c r="Q81" s="108"/>
      <c r="R81" s="108"/>
      <c r="S81" s="108"/>
      <c r="T81" s="108"/>
      <c r="U81" s="108"/>
      <c r="V81" s="108"/>
      <c r="W81" s="108"/>
      <c r="X81" s="108"/>
      <c r="Y81" s="108"/>
      <c r="Z81" s="108"/>
    </row>
    <row r="82">
      <c r="A82" s="107" t="s">
        <v>874</v>
      </c>
      <c r="B82" s="107" t="s">
        <v>1591</v>
      </c>
      <c r="C82" s="107">
        <v>1125.0</v>
      </c>
      <c r="D82" s="107" t="s">
        <v>1606</v>
      </c>
      <c r="E82" s="107" t="s">
        <v>1425</v>
      </c>
      <c r="F82" s="107"/>
      <c r="G82" s="108"/>
      <c r="H82" s="108"/>
      <c r="I82" s="108"/>
      <c r="J82" s="108"/>
      <c r="K82" s="108"/>
      <c r="L82" s="108"/>
      <c r="M82" s="108"/>
      <c r="N82" s="108"/>
      <c r="O82" s="108"/>
      <c r="P82" s="108"/>
      <c r="Q82" s="108"/>
      <c r="R82" s="108"/>
      <c r="S82" s="108"/>
      <c r="T82" s="108"/>
      <c r="U82" s="108"/>
      <c r="V82" s="108"/>
      <c r="W82" s="108"/>
      <c r="X82" s="108"/>
      <c r="Y82" s="108"/>
      <c r="Z82" s="108"/>
    </row>
    <row r="83">
      <c r="A83" s="107" t="s">
        <v>874</v>
      </c>
      <c r="B83" s="107" t="s">
        <v>1609</v>
      </c>
      <c r="C83" s="107">
        <v>711.0</v>
      </c>
      <c r="D83" s="107" t="s">
        <v>1606</v>
      </c>
      <c r="E83" s="107" t="s">
        <v>1425</v>
      </c>
      <c r="F83" s="107"/>
      <c r="G83" s="108"/>
      <c r="H83" s="108"/>
      <c r="I83" s="108"/>
      <c r="J83" s="108"/>
      <c r="K83" s="108"/>
      <c r="L83" s="108"/>
      <c r="M83" s="108"/>
      <c r="N83" s="108"/>
      <c r="O83" s="108"/>
      <c r="P83" s="108"/>
      <c r="Q83" s="108"/>
      <c r="R83" s="108"/>
      <c r="S83" s="108"/>
      <c r="T83" s="108"/>
      <c r="U83" s="108"/>
      <c r="V83" s="108"/>
      <c r="W83" s="108"/>
      <c r="X83" s="108"/>
      <c r="Y83" s="108"/>
      <c r="Z83" s="108"/>
    </row>
    <row r="84">
      <c r="A84" s="107" t="s">
        <v>1605</v>
      </c>
      <c r="B84" s="107" t="s">
        <v>1610</v>
      </c>
      <c r="C84" s="107">
        <v>1074.0</v>
      </c>
      <c r="D84" s="107" t="s">
        <v>1606</v>
      </c>
      <c r="E84" s="107" t="s">
        <v>1425</v>
      </c>
      <c r="F84" s="107"/>
      <c r="G84" s="108"/>
      <c r="H84" s="108"/>
      <c r="I84" s="108"/>
      <c r="J84" s="108"/>
      <c r="K84" s="108"/>
      <c r="L84" s="108"/>
      <c r="M84" s="108"/>
      <c r="N84" s="108"/>
      <c r="O84" s="108"/>
      <c r="P84" s="108"/>
      <c r="Q84" s="108"/>
      <c r="R84" s="108"/>
      <c r="S84" s="108"/>
      <c r="T84" s="108"/>
      <c r="U84" s="108"/>
      <c r="V84" s="108"/>
      <c r="W84" s="108"/>
      <c r="X84" s="108"/>
      <c r="Y84" s="108"/>
      <c r="Z84" s="108"/>
    </row>
    <row r="85">
      <c r="A85" s="107" t="s">
        <v>1605</v>
      </c>
      <c r="B85" s="107" t="s">
        <v>1601</v>
      </c>
      <c r="C85" s="107">
        <v>1376.0</v>
      </c>
      <c r="D85" s="107" t="s">
        <v>1606</v>
      </c>
      <c r="E85" s="107" t="s">
        <v>1425</v>
      </c>
      <c r="F85" s="108"/>
      <c r="G85" s="108"/>
      <c r="H85" s="108"/>
      <c r="I85" s="108"/>
      <c r="J85" s="108"/>
      <c r="K85" s="108"/>
      <c r="L85" s="108"/>
      <c r="M85" s="108"/>
      <c r="N85" s="108"/>
      <c r="O85" s="108"/>
      <c r="P85" s="108"/>
      <c r="Q85" s="108"/>
      <c r="R85" s="108"/>
      <c r="S85" s="108"/>
      <c r="T85" s="108"/>
      <c r="U85" s="108"/>
      <c r="V85" s="108"/>
      <c r="W85" s="108"/>
      <c r="X85" s="108"/>
      <c r="Y85" s="108"/>
      <c r="Z85" s="108"/>
    </row>
    <row r="86">
      <c r="A86" s="107" t="s">
        <v>1605</v>
      </c>
      <c r="B86" s="107" t="s">
        <v>1591</v>
      </c>
      <c r="C86" s="107">
        <v>1287.0</v>
      </c>
      <c r="D86" s="107" t="s">
        <v>1606</v>
      </c>
      <c r="E86" s="107" t="s">
        <v>1425</v>
      </c>
      <c r="F86" s="108"/>
      <c r="G86" s="108"/>
      <c r="H86" s="108"/>
      <c r="I86" s="108"/>
      <c r="J86" s="108"/>
      <c r="K86" s="108"/>
      <c r="L86" s="108"/>
      <c r="M86" s="108"/>
      <c r="N86" s="108"/>
      <c r="O86" s="108"/>
      <c r="P86" s="108"/>
      <c r="Q86" s="108"/>
      <c r="R86" s="108"/>
      <c r="S86" s="108"/>
      <c r="T86" s="108"/>
      <c r="U86" s="108"/>
      <c r="V86" s="108"/>
      <c r="W86" s="108"/>
      <c r="X86" s="108"/>
      <c r="Y86" s="108"/>
      <c r="Z86" s="108"/>
    </row>
    <row r="87">
      <c r="A87" s="107" t="s">
        <v>1052</v>
      </c>
      <c r="B87" s="107" t="s">
        <v>1610</v>
      </c>
      <c r="C87" s="107">
        <v>338.0</v>
      </c>
      <c r="D87" s="107" t="s">
        <v>1606</v>
      </c>
      <c r="E87" s="107" t="s">
        <v>1425</v>
      </c>
      <c r="F87" s="107"/>
      <c r="G87" s="108"/>
      <c r="H87" s="108"/>
      <c r="I87" s="108"/>
      <c r="J87" s="108"/>
      <c r="K87" s="108"/>
      <c r="L87" s="108"/>
      <c r="M87" s="108"/>
      <c r="N87" s="108"/>
      <c r="O87" s="108"/>
      <c r="P87" s="108"/>
      <c r="Q87" s="108"/>
      <c r="R87" s="108"/>
      <c r="S87" s="108"/>
      <c r="T87" s="108"/>
      <c r="U87" s="108"/>
      <c r="V87" s="108"/>
      <c r="W87" s="108"/>
      <c r="X87" s="108"/>
      <c r="Y87" s="108"/>
      <c r="Z87" s="108"/>
    </row>
    <row r="88">
      <c r="A88" s="107" t="s">
        <v>1052</v>
      </c>
      <c r="B88" s="107" t="s">
        <v>1597</v>
      </c>
      <c r="C88" s="107">
        <v>1074.0</v>
      </c>
      <c r="D88" s="107" t="s">
        <v>1606</v>
      </c>
      <c r="E88" s="107" t="s">
        <v>1425</v>
      </c>
      <c r="F88" s="107" t="s">
        <v>1611</v>
      </c>
      <c r="G88" s="107" t="s">
        <v>1612</v>
      </c>
      <c r="H88" s="108"/>
      <c r="I88" s="108"/>
      <c r="J88" s="108"/>
      <c r="K88" s="108"/>
      <c r="L88" s="108"/>
      <c r="M88" s="108"/>
      <c r="N88" s="108"/>
      <c r="O88" s="108"/>
      <c r="P88" s="108"/>
      <c r="Q88" s="108"/>
      <c r="R88" s="108"/>
      <c r="S88" s="108"/>
      <c r="T88" s="108"/>
      <c r="U88" s="108"/>
      <c r="V88" s="108"/>
      <c r="W88" s="108"/>
      <c r="X88" s="108"/>
      <c r="Y88" s="108"/>
      <c r="Z88" s="108"/>
    </row>
    <row r="89">
      <c r="A89" s="107" t="s">
        <v>1052</v>
      </c>
      <c r="B89" s="107" t="s">
        <v>1597</v>
      </c>
      <c r="C89" s="107">
        <v>1224.0</v>
      </c>
      <c r="D89" s="107" t="s">
        <v>1606</v>
      </c>
      <c r="E89" s="107" t="s">
        <v>1425</v>
      </c>
      <c r="F89" s="107" t="s">
        <v>1613</v>
      </c>
      <c r="G89" s="107" t="s">
        <v>1614</v>
      </c>
      <c r="H89" s="108"/>
      <c r="I89" s="108"/>
      <c r="J89" s="108"/>
      <c r="K89" s="108"/>
      <c r="L89" s="108"/>
      <c r="M89" s="108"/>
      <c r="N89" s="108"/>
      <c r="O89" s="108"/>
      <c r="P89" s="108"/>
      <c r="Q89" s="108"/>
      <c r="R89" s="108"/>
      <c r="S89" s="108"/>
      <c r="T89" s="108"/>
      <c r="U89" s="108"/>
      <c r="V89" s="108"/>
      <c r="W89" s="108"/>
      <c r="X89" s="108"/>
      <c r="Y89" s="108"/>
      <c r="Z89" s="108"/>
    </row>
    <row r="90">
      <c r="A90" s="107" t="s">
        <v>1052</v>
      </c>
      <c r="B90" s="107" t="s">
        <v>1597</v>
      </c>
      <c r="C90" s="107">
        <v>968.0</v>
      </c>
      <c r="D90" s="107" t="s">
        <v>1606</v>
      </c>
      <c r="E90" s="107" t="s">
        <v>1425</v>
      </c>
      <c r="F90" s="107" t="s">
        <v>1615</v>
      </c>
      <c r="G90" s="107" t="s">
        <v>1616</v>
      </c>
      <c r="H90" s="108"/>
      <c r="I90" s="108"/>
      <c r="J90" s="108"/>
      <c r="K90" s="108"/>
      <c r="L90" s="108"/>
      <c r="M90" s="108"/>
      <c r="N90" s="108"/>
      <c r="O90" s="108"/>
      <c r="P90" s="108"/>
      <c r="Q90" s="108"/>
      <c r="R90" s="108"/>
      <c r="S90" s="108"/>
      <c r="T90" s="108"/>
      <c r="U90" s="108"/>
      <c r="V90" s="108"/>
      <c r="W90" s="108"/>
      <c r="X90" s="108"/>
      <c r="Y90" s="108"/>
      <c r="Z90" s="108"/>
    </row>
    <row r="91">
      <c r="A91" s="107" t="s">
        <v>1052</v>
      </c>
      <c r="B91" s="107" t="s">
        <v>1597</v>
      </c>
      <c r="C91" s="107">
        <v>626.0</v>
      </c>
      <c r="D91" s="107" t="s">
        <v>1606</v>
      </c>
      <c r="E91" s="107" t="s">
        <v>1425</v>
      </c>
      <c r="F91" s="107" t="s">
        <v>1617</v>
      </c>
      <c r="G91" s="107" t="s">
        <v>1618</v>
      </c>
      <c r="H91" s="108"/>
      <c r="I91" s="108"/>
      <c r="J91" s="108"/>
      <c r="K91" s="108"/>
      <c r="L91" s="108"/>
      <c r="M91" s="108"/>
      <c r="N91" s="108"/>
      <c r="O91" s="108"/>
      <c r="P91" s="108"/>
      <c r="Q91" s="108"/>
      <c r="R91" s="108"/>
      <c r="S91" s="108"/>
      <c r="T91" s="108"/>
      <c r="U91" s="108"/>
      <c r="V91" s="108"/>
      <c r="W91" s="108"/>
      <c r="X91" s="108"/>
      <c r="Y91" s="108"/>
      <c r="Z91" s="108"/>
    </row>
    <row r="92">
      <c r="A92" s="107" t="s">
        <v>1605</v>
      </c>
      <c r="B92" s="107" t="s">
        <v>1595</v>
      </c>
      <c r="C92" s="107">
        <v>1385.0</v>
      </c>
      <c r="D92" s="107" t="s">
        <v>1606</v>
      </c>
      <c r="E92" s="107" t="s">
        <v>1425</v>
      </c>
      <c r="F92" s="108"/>
      <c r="G92" s="108"/>
      <c r="H92" s="108"/>
      <c r="I92" s="108"/>
      <c r="J92" s="108"/>
      <c r="K92" s="108"/>
      <c r="L92" s="108"/>
      <c r="M92" s="108"/>
      <c r="N92" s="108"/>
      <c r="O92" s="108"/>
      <c r="P92" s="108"/>
      <c r="Q92" s="108"/>
      <c r="R92" s="108"/>
      <c r="S92" s="108"/>
      <c r="T92" s="108"/>
      <c r="U92" s="108"/>
      <c r="V92" s="108"/>
      <c r="W92" s="108"/>
      <c r="X92" s="108"/>
      <c r="Y92" s="108"/>
      <c r="Z92" s="108"/>
    </row>
    <row r="93">
      <c r="A93" s="107" t="s">
        <v>1605</v>
      </c>
      <c r="B93" s="107" t="s">
        <v>1597</v>
      </c>
      <c r="C93" s="107">
        <v>1296.0</v>
      </c>
      <c r="D93" s="107" t="s">
        <v>1606</v>
      </c>
      <c r="E93" s="107" t="s">
        <v>1425</v>
      </c>
      <c r="F93" s="107" t="s">
        <v>1619</v>
      </c>
      <c r="G93" s="108"/>
      <c r="H93" s="108"/>
      <c r="I93" s="108"/>
      <c r="J93" s="108"/>
      <c r="K93" s="108"/>
      <c r="L93" s="108"/>
      <c r="M93" s="108"/>
      <c r="N93" s="108"/>
      <c r="O93" s="108"/>
      <c r="P93" s="108"/>
      <c r="Q93" s="108"/>
      <c r="R93" s="108"/>
      <c r="S93" s="108"/>
      <c r="T93" s="108"/>
      <c r="U93" s="108"/>
      <c r="V93" s="108"/>
      <c r="W93" s="108"/>
      <c r="X93" s="108"/>
      <c r="Y93" s="108"/>
      <c r="Z93" s="108"/>
    </row>
    <row r="94">
      <c r="A94" s="107" t="s">
        <v>874</v>
      </c>
      <c r="B94" s="107" t="s">
        <v>1591</v>
      </c>
      <c r="C94" s="107">
        <v>9.0</v>
      </c>
      <c r="D94" s="107" t="s">
        <v>1606</v>
      </c>
      <c r="E94" s="107" t="s">
        <v>1425</v>
      </c>
      <c r="F94" s="107"/>
      <c r="G94" s="108"/>
      <c r="H94" s="108"/>
      <c r="I94" s="108"/>
      <c r="J94" s="108"/>
      <c r="K94" s="108"/>
      <c r="L94" s="108"/>
      <c r="M94" s="108"/>
      <c r="N94" s="108"/>
      <c r="O94" s="108"/>
      <c r="P94" s="108"/>
      <c r="Q94" s="108"/>
      <c r="R94" s="108"/>
      <c r="S94" s="108"/>
      <c r="T94" s="108"/>
      <c r="U94" s="108"/>
      <c r="V94" s="108"/>
      <c r="W94" s="108"/>
      <c r="X94" s="108"/>
      <c r="Y94" s="108"/>
      <c r="Z94" s="108"/>
    </row>
    <row r="95">
      <c r="A95" s="107" t="s">
        <v>874</v>
      </c>
      <c r="B95" s="107" t="s">
        <v>1620</v>
      </c>
      <c r="C95" s="107">
        <v>102.0</v>
      </c>
      <c r="D95" s="107" t="s">
        <v>1606</v>
      </c>
      <c r="E95" s="107" t="s">
        <v>1425</v>
      </c>
      <c r="F95" s="107"/>
      <c r="G95" s="108"/>
      <c r="H95" s="108"/>
      <c r="I95" s="108"/>
      <c r="J95" s="108"/>
      <c r="K95" s="108"/>
      <c r="L95" s="108"/>
      <c r="M95" s="108"/>
      <c r="N95" s="108"/>
      <c r="O95" s="108"/>
      <c r="P95" s="108"/>
      <c r="Q95" s="108"/>
      <c r="R95" s="108"/>
      <c r="S95" s="108"/>
      <c r="T95" s="108"/>
      <c r="U95" s="108"/>
      <c r="V95" s="108"/>
      <c r="W95" s="108"/>
      <c r="X95" s="108"/>
      <c r="Y95" s="108"/>
      <c r="Z95" s="108"/>
    </row>
    <row r="96">
      <c r="A96" s="107" t="s">
        <v>1605</v>
      </c>
      <c r="B96" s="107" t="s">
        <v>1621</v>
      </c>
      <c r="C96" s="107">
        <v>217.0</v>
      </c>
      <c r="D96" s="107" t="s">
        <v>1606</v>
      </c>
      <c r="E96" s="107" t="s">
        <v>1425</v>
      </c>
      <c r="F96" s="107"/>
      <c r="G96" s="108"/>
      <c r="H96" s="108"/>
      <c r="I96" s="108"/>
      <c r="J96" s="108"/>
      <c r="K96" s="108"/>
      <c r="L96" s="108"/>
      <c r="M96" s="108"/>
      <c r="N96" s="108"/>
      <c r="O96" s="108"/>
      <c r="P96" s="108"/>
      <c r="Q96" s="108"/>
      <c r="R96" s="108"/>
      <c r="S96" s="108"/>
      <c r="T96" s="108"/>
      <c r="U96" s="108"/>
      <c r="V96" s="108"/>
      <c r="W96" s="108"/>
      <c r="X96" s="108"/>
      <c r="Y96" s="108"/>
      <c r="Z96" s="108"/>
    </row>
    <row r="97">
      <c r="A97" s="107" t="s">
        <v>1605</v>
      </c>
      <c r="B97" s="107" t="s">
        <v>1591</v>
      </c>
      <c r="C97" s="107">
        <v>266.0</v>
      </c>
      <c r="D97" s="107" t="s">
        <v>1606</v>
      </c>
      <c r="E97" s="107" t="s">
        <v>1425</v>
      </c>
      <c r="F97" s="107"/>
      <c r="G97" s="108"/>
      <c r="H97" s="108"/>
      <c r="I97" s="108"/>
      <c r="J97" s="108"/>
      <c r="K97" s="108"/>
      <c r="L97" s="108"/>
      <c r="M97" s="108"/>
      <c r="N97" s="108"/>
      <c r="O97" s="108"/>
      <c r="P97" s="108"/>
      <c r="Q97" s="108"/>
      <c r="R97" s="108"/>
      <c r="S97" s="108"/>
      <c r="T97" s="108"/>
      <c r="U97" s="108"/>
      <c r="V97" s="108"/>
      <c r="W97" s="108"/>
      <c r="X97" s="108"/>
      <c r="Y97" s="108"/>
      <c r="Z97" s="108"/>
    </row>
    <row r="98">
      <c r="A98" s="107" t="s">
        <v>1605</v>
      </c>
      <c r="B98" s="107" t="s">
        <v>1591</v>
      </c>
      <c r="C98" s="107">
        <v>286.0</v>
      </c>
      <c r="D98" s="107" t="s">
        <v>1606</v>
      </c>
      <c r="E98" s="107" t="s">
        <v>1425</v>
      </c>
      <c r="F98" s="107"/>
      <c r="G98" s="108"/>
      <c r="H98" s="108"/>
      <c r="I98" s="108"/>
      <c r="J98" s="108"/>
      <c r="K98" s="108"/>
      <c r="L98" s="108"/>
      <c r="M98" s="108"/>
      <c r="N98" s="108"/>
      <c r="O98" s="108"/>
      <c r="P98" s="108"/>
      <c r="Q98" s="108"/>
      <c r="R98" s="108"/>
      <c r="S98" s="108"/>
      <c r="T98" s="108"/>
      <c r="U98" s="108"/>
      <c r="V98" s="108"/>
      <c r="W98" s="108"/>
      <c r="X98" s="108"/>
      <c r="Y98" s="108"/>
      <c r="Z98" s="108"/>
    </row>
    <row r="99">
      <c r="A99" s="107" t="s">
        <v>1605</v>
      </c>
      <c r="B99" s="107" t="s">
        <v>1591</v>
      </c>
      <c r="C99" s="107">
        <v>327.0</v>
      </c>
      <c r="D99" s="107" t="s">
        <v>1606</v>
      </c>
      <c r="E99" s="107" t="s">
        <v>1425</v>
      </c>
      <c r="F99" s="107"/>
      <c r="G99" s="108"/>
      <c r="H99" s="108"/>
      <c r="I99" s="108"/>
      <c r="J99" s="108"/>
      <c r="K99" s="108"/>
      <c r="L99" s="108"/>
      <c r="M99" s="108"/>
      <c r="N99" s="108"/>
      <c r="O99" s="108"/>
      <c r="P99" s="108"/>
      <c r="Q99" s="108"/>
      <c r="R99" s="108"/>
      <c r="S99" s="108"/>
      <c r="T99" s="108"/>
      <c r="U99" s="108"/>
      <c r="V99" s="108"/>
      <c r="W99" s="108"/>
      <c r="X99" s="108"/>
      <c r="Y99" s="108"/>
      <c r="Z99" s="108"/>
    </row>
    <row r="100">
      <c r="A100" s="107" t="s">
        <v>1605</v>
      </c>
      <c r="B100" s="107" t="s">
        <v>1591</v>
      </c>
      <c r="C100" s="107">
        <v>435.0</v>
      </c>
      <c r="D100" s="107" t="s">
        <v>1606</v>
      </c>
      <c r="E100" s="107" t="s">
        <v>1425</v>
      </c>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c r="A101" s="107" t="s">
        <v>874</v>
      </c>
      <c r="B101" s="107" t="s">
        <v>1591</v>
      </c>
      <c r="C101" s="107">
        <v>436.0</v>
      </c>
      <c r="D101" s="107" t="s">
        <v>1606</v>
      </c>
      <c r="E101" s="107" t="s">
        <v>1425</v>
      </c>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c r="A102" s="107" t="s">
        <v>874</v>
      </c>
      <c r="B102" s="107" t="s">
        <v>1591</v>
      </c>
      <c r="C102" s="107">
        <v>486.0</v>
      </c>
      <c r="D102" s="107" t="s">
        <v>1606</v>
      </c>
      <c r="E102" s="107" t="s">
        <v>1425</v>
      </c>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c r="A103" s="107" t="s">
        <v>874</v>
      </c>
      <c r="B103" s="107" t="s">
        <v>1591</v>
      </c>
      <c r="C103" s="107">
        <v>489.0</v>
      </c>
      <c r="D103" s="107" t="s">
        <v>1606</v>
      </c>
      <c r="E103" s="107" t="s">
        <v>1425</v>
      </c>
      <c r="F103" s="108"/>
      <c r="G103" s="108"/>
      <c r="H103" s="108"/>
      <c r="I103" s="108"/>
      <c r="J103" s="108"/>
      <c r="K103" s="108"/>
      <c r="L103" s="108"/>
      <c r="M103" s="108"/>
      <c r="N103" s="108"/>
      <c r="O103" s="108"/>
      <c r="P103" s="108"/>
      <c r="Q103" s="108"/>
      <c r="R103" s="108"/>
      <c r="S103" s="108"/>
      <c r="T103" s="108"/>
      <c r="U103" s="108"/>
      <c r="V103" s="108"/>
      <c r="W103" s="108"/>
      <c r="X103" s="108"/>
      <c r="Y103" s="108"/>
      <c r="Z103" s="10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43"/>
  </cols>
  <sheetData>
    <row r="1">
      <c r="A1" s="111" t="s">
        <v>1622</v>
      </c>
    </row>
    <row r="2">
      <c r="A2" s="107" t="s">
        <v>1623</v>
      </c>
    </row>
    <row r="3">
      <c r="A3" s="104" t="s">
        <v>1624</v>
      </c>
    </row>
    <row r="4">
      <c r="A4" s="112" t="s">
        <v>1625</v>
      </c>
    </row>
    <row r="5">
      <c r="A5" s="102" t="s">
        <v>1626</v>
      </c>
    </row>
    <row r="6">
      <c r="A6" s="113" t="s">
        <v>1627</v>
      </c>
    </row>
  </sheetData>
  <drawing r:id="rId1"/>
</worksheet>
</file>