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egam\Unitec\Master en Finanzas\masterFinanzasFinanzasGerenciales\Semana 3\"/>
    </mc:Choice>
  </mc:AlternateContent>
  <xr:revisionPtr revIDLastSave="0" documentId="13_ncr:1_{69526FA2-E0FB-4CBD-B5EC-9F4E87433ADB}" xr6:coauthVersionLast="47" xr6:coauthVersionMax="47" xr10:uidLastSave="{00000000-0000-0000-0000-000000000000}"/>
  <bookViews>
    <workbookView xWindow="-110" yWindow="-110" windowWidth="25820" windowHeight="14020" xr2:uid="{00000000-000D-0000-FFFF-FFFF00000000}"/>
  </bookViews>
  <sheets>
    <sheet name="Portada" sheetId="6" r:id="rId1"/>
    <sheet name="PREGUNTAS DE TEORÍA" sheetId="1" r:id="rId2"/>
    <sheet name="TAREA P3-15" sheetId="2" r:id="rId3"/>
    <sheet name="TAREA P3-16" sheetId="3" r:id="rId4"/>
    <sheet name="TAREA 00" sheetId="4" r:id="rId5"/>
    <sheet name="CASO INTEGRADOR"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43" i="5" l="1"/>
  <c r="U40" i="5"/>
  <c r="U37" i="5"/>
  <c r="U32" i="5"/>
  <c r="U31" i="5"/>
  <c r="U30" i="5"/>
  <c r="V26" i="5"/>
  <c r="U26" i="5" s="1"/>
  <c r="U28" i="5" s="1"/>
  <c r="V11" i="5"/>
  <c r="U11" i="5" s="1"/>
  <c r="V10" i="5"/>
  <c r="U10" i="5"/>
  <c r="U8" i="5"/>
  <c r="V7" i="5"/>
  <c r="U7" i="5"/>
  <c r="U27" i="5" s="1"/>
  <c r="L41" i="4"/>
  <c r="M41" i="4" s="1"/>
  <c r="N41" i="4" s="1"/>
  <c r="O41" i="4" s="1"/>
  <c r="P41" i="4" s="1"/>
  <c r="N39" i="4"/>
  <c r="M39" i="4"/>
  <c r="L39" i="4"/>
  <c r="P38" i="4"/>
  <c r="O38" i="4"/>
  <c r="N38" i="4"/>
  <c r="M38" i="4"/>
  <c r="L38" i="4"/>
  <c r="K38" i="4"/>
  <c r="J38" i="4"/>
  <c r="I38" i="4"/>
  <c r="P37" i="4"/>
  <c r="O37" i="4"/>
  <c r="N37" i="4"/>
  <c r="M37" i="4"/>
  <c r="L37" i="4"/>
  <c r="K37" i="4"/>
  <c r="J37" i="4"/>
  <c r="I37" i="4"/>
  <c r="P36" i="4"/>
  <c r="O36" i="4"/>
  <c r="N36" i="4"/>
  <c r="M36" i="4"/>
  <c r="L36" i="4"/>
  <c r="K36" i="4"/>
  <c r="J36" i="4"/>
  <c r="I36" i="4"/>
  <c r="I44" i="4" s="1"/>
  <c r="P35" i="4"/>
  <c r="P32" i="4"/>
  <c r="O32" i="4"/>
  <c r="N32" i="4"/>
  <c r="O35" i="4" s="1"/>
  <c r="M32" i="4"/>
  <c r="N35" i="4" s="1"/>
  <c r="N44" i="4" s="1"/>
  <c r="N49" i="4" s="1"/>
  <c r="L32" i="4"/>
  <c r="M35" i="4" s="1"/>
  <c r="K32" i="4"/>
  <c r="L35" i="4" s="1"/>
  <c r="L44" i="4" s="1"/>
  <c r="L49" i="4" s="1"/>
  <c r="J32" i="4"/>
  <c r="K35" i="4" s="1"/>
  <c r="K44" i="4" s="1"/>
  <c r="K49" i="4" s="1"/>
  <c r="I32" i="4"/>
  <c r="J35" i="4" s="1"/>
  <c r="J44" i="4" s="1"/>
  <c r="P28" i="4"/>
  <c r="P48" i="4" s="1"/>
  <c r="I28" i="4"/>
  <c r="P27" i="4"/>
  <c r="O27" i="4"/>
  <c r="O28" i="4" s="1"/>
  <c r="O48" i="4" s="1"/>
  <c r="N27" i="4"/>
  <c r="M27" i="4"/>
  <c r="L27" i="4"/>
  <c r="K27" i="4"/>
  <c r="P26" i="4"/>
  <c r="O26" i="4"/>
  <c r="N26" i="4"/>
  <c r="M26" i="4"/>
  <c r="L26" i="4"/>
  <c r="K26" i="4"/>
  <c r="K28" i="4" s="1"/>
  <c r="K48" i="4" s="1"/>
  <c r="K51" i="4" s="1"/>
  <c r="J26" i="4"/>
  <c r="P25" i="4"/>
  <c r="O25" i="4"/>
  <c r="N25" i="4"/>
  <c r="N28" i="4" s="1"/>
  <c r="N48" i="4" s="1"/>
  <c r="M25" i="4"/>
  <c r="M28" i="4" s="1"/>
  <c r="M48" i="4" s="1"/>
  <c r="L25" i="4"/>
  <c r="L28" i="4" s="1"/>
  <c r="L48" i="4" s="1"/>
  <c r="K25" i="4"/>
  <c r="J25" i="4"/>
  <c r="J28" i="4" s="1"/>
  <c r="I25" i="4"/>
  <c r="N41" i="2"/>
  <c r="M28" i="2"/>
  <c r="M30" i="2" s="1"/>
  <c r="M26" i="2"/>
  <c r="N25" i="2"/>
  <c r="M25" i="2"/>
  <c r="M24" i="2"/>
  <c r="Q22" i="2"/>
  <c r="N8" i="2"/>
  <c r="M8" i="2" s="1"/>
  <c r="N5" i="2"/>
  <c r="M5" i="2"/>
  <c r="M6" i="2" s="1"/>
  <c r="M9" i="2" s="1"/>
  <c r="K53" i="4" l="1"/>
  <c r="L50" i="4"/>
  <c r="M44" i="4"/>
  <c r="M49" i="4" s="1"/>
  <c r="O44" i="4"/>
  <c r="O49" i="4" s="1"/>
  <c r="U34" i="5"/>
  <c r="M11" i="2"/>
  <c r="Q23" i="2" s="1"/>
  <c r="Q26" i="2" s="1"/>
  <c r="L51" i="4"/>
  <c r="P44" i="4"/>
  <c r="P49" i="4" s="1"/>
  <c r="U13" i="5"/>
  <c r="U15" i="5" s="1"/>
  <c r="U17" i="5" s="1"/>
  <c r="U19" i="5" l="1"/>
  <c r="U20" i="5" s="1"/>
  <c r="U49" i="5" s="1"/>
  <c r="U50" i="5" s="1"/>
  <c r="U52" i="5" s="1"/>
  <c r="U54" i="5" s="1"/>
  <c r="M13" i="2"/>
  <c r="M15" i="2" s="1"/>
  <c r="Q31" i="2" s="1"/>
  <c r="Q33" i="2" s="1"/>
  <c r="M50" i="4"/>
  <c r="M51" i="4" s="1"/>
  <c r="L53" i="4"/>
  <c r="N50" i="4" l="1"/>
  <c r="N51" i="4" s="1"/>
  <c r="M53" i="4"/>
  <c r="O50" i="4" l="1"/>
  <c r="O51" i="4" s="1"/>
  <c r="N53" i="4"/>
  <c r="P50" i="4" l="1"/>
  <c r="P51" i="4" s="1"/>
  <c r="P53" i="4" s="1"/>
  <c r="O53" i="4"/>
</calcChain>
</file>

<file path=xl/sharedStrings.xml><?xml version="1.0" encoding="utf-8"?>
<sst xmlns="http://schemas.openxmlformats.org/spreadsheetml/2006/main" count="198" uniqueCount="138">
  <si>
    <t>TAREA GRUPAL</t>
  </si>
  <si>
    <t>ESTADOS FINANCIEROS PROFORMA - SEMANA 3</t>
  </si>
  <si>
    <t>FINANZAS GERENCIALES</t>
  </si>
  <si>
    <t xml:space="preserve">VALOR DE LA TAREA </t>
  </si>
  <si>
    <t>PUNTOS</t>
  </si>
  <si>
    <t xml:space="preserve">FECHA DE ENTREGA DE LA TAREA </t>
  </si>
  <si>
    <t>VIERNES</t>
  </si>
  <si>
    <t>PREGUNTAS</t>
  </si>
  <si>
    <t>3-8. ¿Qué es el proceso de la planificación financiera? Compare los planes financieros a largo plazo (estratégicos) con los planes financieros a corto plazo (operativos).</t>
  </si>
  <si>
    <t>R=/</t>
  </si>
  <si>
    <t>La planificación financiera es un aspecto importante de las operaciones de la empresa porque proporciona rutas que guían, coordinan y controlan las acciones de la empresa para lograr sus objetivos. Dos aspectos clave del proceso de la planificación financiera son la Planificación de Efectivo y la Planificación de Utilidades.</t>
  </si>
  <si>
    <t>3-9 ¿Cuáles son los tres estados que son resultado del proceso de planificación financiera a corto plazo (operativa)?</t>
  </si>
  <si>
    <t>El presupuesto de caja, o pronóstico de caja , es un estado de las entradas y salidas de efectivo planeadas de la empresa.</t>
  </si>
  <si>
    <r>
      <rPr>
        <sz val="11"/>
        <color rgb="FF000000"/>
        <rFont val="Calibri, sans-serif"/>
      </rPr>
      <t xml:space="preserve">El presupuesto de </t>
    </r>
    <r>
      <rPr>
        <b/>
        <sz val="11"/>
        <color rgb="FF000000"/>
        <rFont val="Calibri, sans-serif"/>
      </rPr>
      <t xml:space="preserve">efectivo¹ </t>
    </r>
    <r>
      <rPr>
        <sz val="11"/>
        <color rgb="FF000000"/>
        <rFont val="Calibri, sans-serif"/>
      </rPr>
      <t>, una herramienta útil para determinar el momento de efectivo los ingresos y egresos durante un período determinado.</t>
    </r>
  </si>
  <si>
    <t>El presupuesto mensual cubriendo un período de 1 año.</t>
  </si>
  <si>
    <t>1) comantario de aporte:</t>
  </si>
  <si>
    <t>"para el presupuesto de efectivo, necesitamos previamente un pronóstico de venta, el cual nos servirá también en nuestro presupuesto mensual."</t>
  </si>
  <si>
    <t>3-10 ¿Cuál es el propósito del presupuesto de caja? ¿Qué papel desempeña el pronóstico de ventas en su preparación?</t>
  </si>
  <si>
    <t>El presupuesto de caja, o pronóstico de caja, es un estado de entradas y salidas de efectivo planeadas de la empresa. Se utiliza para calcular sus requerimientos de efectivo a corto plazo, dedicando especial atención a la planeación de los excedentes y faltantes de efectivo.</t>
  </si>
  <si>
    <t>De acuerdo con el pronóstico de ventas, el gerente financiero calcula los flujos de efectivo mensuales generados por los ingresos de ventas proyectadas y los desembolsos relacionados con la producción, el inventario y las ventas. El gerente también determina el nivel requerido de activos fijos y el monto de financiamiento (si lo hay) necesario para apoyar el nivel proyec- tado de ventas y producción</t>
  </si>
  <si>
    <t>3-11 Describa brevemente el formato básico del presupuesto de caja.</t>
  </si>
  <si>
    <t>Entradas de efectivo</t>
  </si>
  <si>
    <t>Menos: Desembolsos de efectivo</t>
  </si>
  <si>
    <t>Flujo de efectivo neto Más: Efectivo inicial</t>
  </si>
  <si>
    <t>Efectivo final</t>
  </si>
  <si>
    <t>Menos: Saldo de efectivo mínimo</t>
  </si>
  <si>
    <t>Financiamiento total requerido Saldo de efectivo excedente</t>
  </si>
  <si>
    <t>3-12 ¿Cómo pueden usarse los “últimos rubros” del presupuesto de caja para determinar el financiamiento a corto plazo y las necesidades de inversión de la empresa?</t>
  </si>
  <si>
    <t>Si los "últimos rubros" son excedentes deben ser invertidos y si se encuentran en déficit deberán ser financiados.</t>
  </si>
  <si>
    <t>3-13 ¿Cuál es la causa de la incertidumbre del presupuesto de caja y cuáles son las dos técnicas que se utilizan para enfrentar esta incertidumbre?</t>
  </si>
  <si>
    <t>Además del cálculo cuidadoso de las entradas del presupuesto de caja, existen dos maneras de enfrentar la incertidumbre de este presupuesto. Una es elaborar varios pre- supuestos de caja, con base en tres pronósticos: pesimista, el más probable y optimista. A partir de estos niveles de flujo de efectivo, el gerente financiero determina el monto del financiamiento necesario para cubrir la situación más adversa. El uso de varios pre- supuestos de caja, con base en diferentes escenarios, también debe dar al gerente financiero una idea del riesgo de las diferentes alternativas. Este análisis de sensibi- lidad, o enfoque de “¿qué pasaría si...?”, se usa con frecuencia para analizar los flujos de efectivo en diversas circunstancias. Desde luego, el uso de hojas de cálculo elec- trónicas simplifica el proceso de realizar el análisis de sensibilidad.</t>
  </si>
  <si>
    <t>3-14 ¿Cuál es el propósito de los estados proforma? ¿Qué entradas se requieren para elaborarlos usando los métodos simplificados?</t>
  </si>
  <si>
    <t>Los estados financieros proforma permiten visualizar de manera cuantitativa el resultado de la ejecución de los planes y prever situaciones que puedan presentarse en el futuro y en forma externa, sirven de base para tomar decisiones de crédito y/o inversión.</t>
  </si>
  <si>
    <t>3-15 ¿Cómo se usa el método del porcentaje de ventas para elaborar estados de resultados proforma?</t>
  </si>
  <si>
    <t>El método del porcentaje de ventas es un método sencillo para desarrollar un estado de resultados pro forma. Pronostica las ventas y después expresa los diversos rubros del estado de resultados como porcentajes de las ventas proyectadas. Es probable que los porcentajes usados correspondan a los porcentajes de ventas de esos rubros en el año anterior.</t>
  </si>
  <si>
    <t>3-16 ¿Por qué la presencia de costos fijos hace que falle el método del porcentaje de ventas al elaborar estados de resultados proforma? ¿Qué otro método es mejor?</t>
  </si>
  <si>
    <t>La mejor forma de ajustar la presencia de costos fijos al elaborar un estado de resultados pro forma es clasificar los costos y gastos históricos de la empresa en componentes fijos y variables. Los rendimientos potenciales, así como los riesgos resultantes del uso de costos fijos (operativos y financieros) para crear “apalancamientos”</t>
  </si>
  <si>
    <t>3.17 Describa el método crítico para la elaboración simplificada del balance general proforma.</t>
  </si>
  <si>
    <t xml:space="preserve"> El método crítico,  se calculan los valores de ciertas cuentas del balance general, y el financiamiento externo de la empresa se usa como una cifra de equilibrio o “ajuste”. El método crítico es una versión mejorada del método de porcentaje de ventas para la elaboración del balance general pro forma. Como el método crítico solo requiere un poco más de información y produce mejores estimaciones que cualquier método de porcentaje de ventas.</t>
  </si>
  <si>
    <t>3.18 ¿Cuál es la importancia de la cifra de “ajuste” o el financiamiento externo requerido? Distinga entre estrategias relacionadas con los valores positivos y valores negativos del financiamiento externo requerido.</t>
  </si>
  <si>
    <r>
      <rPr>
        <sz val="11"/>
        <color rgb="FF000000"/>
        <rFont val="Calibri, sans-serif"/>
      </rPr>
      <t xml:space="preserve">Una cifra de “ajuste”, denominada financiamiento externo requerido se utiliza </t>
    </r>
    <r>
      <rPr>
        <sz val="11"/>
        <color rgb="FF000000"/>
        <rFont val="Calibri, sans-serif"/>
      </rPr>
      <t>para equilibrar el estado financiero. Esto
significa que la empresa deberá obtener  financiamiento externo adicional para apoyar el aumento del nivel de ventas.</t>
    </r>
  </si>
  <si>
    <t>3-19 ¿Cuáles son las dos debilidades básicas de los métodos simplificados para la elaboración de los estados proforma?</t>
  </si>
  <si>
    <t>Las debilidades resi- den en dos suposiciones: 1. que la condición financiera pasada de la empresa es un indica- dor exacto de su futuro y 2. que ciertas variables (como el efectivo, las cuentas por cobrar y los inventarios) son forzadas a adquirir ciertos valores “deseados”</t>
  </si>
  <si>
    <t>3-20 ¿Cuál es el objetivo del administrador financiero al evaluar los estados proforma?</t>
  </si>
  <si>
    <t>Red Queen Restaurants</t>
  </si>
  <si>
    <t>Estado de Resultados Proyectado del Año 2007</t>
  </si>
  <si>
    <t>que finaliza del 31 de diciembre</t>
  </si>
  <si>
    <t>Ingresos por Ventas</t>
  </si>
  <si>
    <t>Costo de los Bienes Vendidos</t>
  </si>
  <si>
    <t>Utilidad Bruta</t>
  </si>
  <si>
    <t>Gastos Operativos</t>
  </si>
  <si>
    <t>Utilidad Neta Antes de Impuestos</t>
  </si>
  <si>
    <t>Impuestos</t>
  </si>
  <si>
    <t>Utilidad Neta después de Impuestos</t>
  </si>
  <si>
    <t>Dividendos en Efectivo</t>
  </si>
  <si>
    <t>Ganancias Retenidas</t>
  </si>
  <si>
    <t>Balance General Proyectado</t>
  </si>
  <si>
    <t>31 de Diciembre 2007</t>
  </si>
  <si>
    <t>Activos</t>
  </si>
  <si>
    <t>Pasivo y Patrimonio</t>
  </si>
  <si>
    <t>Efectivo</t>
  </si>
  <si>
    <t>Cuentas por Pagar</t>
  </si>
  <si>
    <t>Valores Negociables</t>
  </si>
  <si>
    <t>Impuestos por Pagar</t>
  </si>
  <si>
    <t>Cuentas por Cobrar</t>
  </si>
  <si>
    <t>Otros Pasivos Corrientes</t>
  </si>
  <si>
    <t>Inventario</t>
  </si>
  <si>
    <t>Financiamiento Requerido</t>
  </si>
  <si>
    <t>Total Activos Corrientes</t>
  </si>
  <si>
    <t>Total Pasivos Corrientes</t>
  </si>
  <si>
    <t>Activos Fijos Netos</t>
  </si>
  <si>
    <t>Deuda a Largo Plazo</t>
  </si>
  <si>
    <t>Total Activos</t>
  </si>
  <si>
    <t>Acciones Comunes</t>
  </si>
  <si>
    <t>Total Pasivo y Patrimonio</t>
  </si>
  <si>
    <t>Activos Fijo Neto</t>
  </si>
  <si>
    <t>Depreciación</t>
  </si>
  <si>
    <t>Compra</t>
  </si>
  <si>
    <t>Dependiendo del tipo de impacto que esta informacion, tomemos el caso de un gran impacto negativo al mercado, seria etico alertar a los instrumentos financieros para en busca de mitigar el golpe. 
Ahora, si esta informacion es analizada de manera positiva, saber de dicho impacto puede causar  una ventaja competitiva que podria reflejar altos incrementos de rentabilidad, lo cual no es etico pero ocurre mucho en el mundo financiero.
Por ejemplo, algunos corredores de hedge funds se vieron muy benificados al tener retornos hasta de un 487% en la rentabilidad1 de sus inversiones.
referencia:
1) ejemplo: Scion Capital - 2005, descubrieron el inminente colapso del mercado de bienes y raices debido al incremento en las tasas de intereses en los prestamos para alquileres con tasa ajustables, dichos prestamos eran de alto riesgo generando un mercado insteable.
https://en.wikipedia.org/wiki/Subprime_mortgage_crisis
https://www.scionasset.com/</t>
  </si>
  <si>
    <t>EJERCICIO 00 ESTADOS FINNACIEROS PROFORMA</t>
  </si>
  <si>
    <t>SE PIDE:</t>
  </si>
  <si>
    <t>Presupuesto de Ventas</t>
  </si>
  <si>
    <t>Mayo</t>
  </si>
  <si>
    <t>Junio</t>
  </si>
  <si>
    <t>Julio</t>
  </si>
  <si>
    <t>Agosto</t>
  </si>
  <si>
    <t>Septiembre</t>
  </si>
  <si>
    <t>Octubre</t>
  </si>
  <si>
    <t>Noviembre</t>
  </si>
  <si>
    <t>Diciembre</t>
  </si>
  <si>
    <t>Ventas</t>
  </si>
  <si>
    <t>% Cobro en Mismo Mes</t>
  </si>
  <si>
    <t>75% Siguientes Mes</t>
  </si>
  <si>
    <t>13% Segundo Mes</t>
  </si>
  <si>
    <t>Total Entradas de Efectivo</t>
  </si>
  <si>
    <t>Compras de Inventario</t>
  </si>
  <si>
    <t>Compras</t>
  </si>
  <si>
    <t>Presupuesto de Compras</t>
  </si>
  <si>
    <t>Pago</t>
  </si>
  <si>
    <t>Sueldos y Salarios</t>
  </si>
  <si>
    <t>Pagos de Arrendamiento</t>
  </si>
  <si>
    <t>Gastos en Publicidad</t>
  </si>
  <si>
    <t>Gastos de Investigación y Desarrollo</t>
  </si>
  <si>
    <t>Prepago del Seguro</t>
  </si>
  <si>
    <t>Gastos Varios</t>
  </si>
  <si>
    <t>Propiedad, Planta y Equipo</t>
  </si>
  <si>
    <t>Total Desembolsos de Efectivo</t>
  </si>
  <si>
    <t>Presupuesto de Caja</t>
  </si>
  <si>
    <t>Entradas de Efectivo</t>
  </si>
  <si>
    <t>Salidas de Efectivo</t>
  </si>
  <si>
    <t>Saldo Inicial de Caja</t>
  </si>
  <si>
    <t>Flujo de Caja</t>
  </si>
  <si>
    <t>Excedente/ Faltante de Caja Acumulativo</t>
  </si>
  <si>
    <t>Martin Manufacturing Company</t>
  </si>
  <si>
    <t>Estado de Pérdidas y Ganancias Proyectado del año 2007</t>
  </si>
  <si>
    <t>Que finaliza el 31 de diciembre</t>
  </si>
  <si>
    <t>Gastos de Ventas</t>
  </si>
  <si>
    <t>Gastos Generales y Administrativo</t>
  </si>
  <si>
    <t>Gastos por Depreciación</t>
  </si>
  <si>
    <t>Total Gastos Operativos</t>
  </si>
  <si>
    <t>Utilidad Operativa</t>
  </si>
  <si>
    <t>Gastos por Intereses</t>
  </si>
  <si>
    <t>Utilidad Antes de Impuesto</t>
  </si>
  <si>
    <t>Utilidad Neta Después de Impuestos</t>
  </si>
  <si>
    <t>Activo Corrientes</t>
  </si>
  <si>
    <t>Total Activo Corriente</t>
  </si>
  <si>
    <t>Activos Fijos Brutos</t>
  </si>
  <si>
    <t>Depreciación Acumulada</t>
  </si>
  <si>
    <t>Activos Totales</t>
  </si>
  <si>
    <t>Pasivos Corrientes</t>
  </si>
  <si>
    <t>Documentos por Pagar</t>
  </si>
  <si>
    <t>Deudas Acumuladas</t>
  </si>
  <si>
    <t>Total Pasivos</t>
  </si>
  <si>
    <t>Patrimonio de los Accionistas</t>
  </si>
  <si>
    <t>Acciones Preferentes</t>
  </si>
  <si>
    <t>Capital Pagado Acicional</t>
  </si>
  <si>
    <t>Total Patrimonio</t>
  </si>
  <si>
    <t>Después de analizar los estados pro forma, el gerente financiero podrá tomar medidas para ajustar las operaciones planeadas con la finalidad de alcanzar las metas financieras a corto plazo. Por ejemplo, si las utilidades proyectadas en el estado de resultados pro forma son demasiado bajas, se podrían iniciar diversas acciones relacionadas con los precios y/o la disminución de costos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</si>
</sst>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d/m/yyyy"/>
  </numFmts>
  <fonts count="18">
    <font>
      <sz val="11"/>
      <color theme="1"/>
      <name val="Calibri"/>
      <scheme val="minor"/>
    </font>
    <font>
      <b/>
      <sz val="16"/>
      <color theme="0"/>
      <name val="Calibri"/>
    </font>
    <font>
      <sz val="11"/>
      <name val="Calibri"/>
    </font>
    <font>
      <b/>
      <sz val="20"/>
      <color theme="0"/>
      <name val="Calibri"/>
    </font>
    <font>
      <b/>
      <sz val="16"/>
      <color rgb="FFFF0000"/>
      <name val="Calibri"/>
    </font>
    <font>
      <b/>
      <sz val="11"/>
      <color rgb="FF000000"/>
      <name val="Calibri"/>
    </font>
    <font>
      <sz val="11"/>
      <color rgb="FF000000"/>
      <name val="Calibri"/>
    </font>
    <font>
      <i/>
      <sz val="11"/>
      <color rgb="FF000000"/>
      <name val="Calibri"/>
    </font>
    <font>
      <sz val="11"/>
      <color theme="1"/>
      <name val="Calibri"/>
      <scheme val="minor"/>
    </font>
    <font>
      <i/>
      <sz val="11"/>
      <color theme="1"/>
      <name val="Sabon"/>
    </font>
    <font>
      <b/>
      <sz val="11"/>
      <color theme="1"/>
      <name val="Calibri"/>
    </font>
    <font>
      <sz val="11"/>
      <color theme="1"/>
      <name val="Calibri"/>
    </font>
    <font>
      <u/>
      <sz val="11"/>
      <color theme="1"/>
      <name val="Calibri"/>
    </font>
    <font>
      <u/>
      <sz val="11"/>
      <color theme="1"/>
      <name val="Calibri"/>
    </font>
    <font>
      <sz val="14"/>
      <color theme="1"/>
      <name val="Calibri"/>
    </font>
    <font>
      <b/>
      <sz val="16"/>
      <color rgb="FF7030A0"/>
      <name val="Calibri"/>
    </font>
    <font>
      <sz val="11"/>
      <color rgb="FF000000"/>
      <name val="Calibri, sans-serif"/>
    </font>
    <font>
      <b/>
      <sz val="11"/>
      <color rgb="FF000000"/>
      <name val="Calibri, sans-serif"/>
    </font>
  </fonts>
  <fills count="3">
    <fill>
      <patternFill patternType="none"/>
    </fill>
    <fill>
      <patternFill patternType="gray125"/>
    </fill>
    <fill>
      <patternFill patternType="solid">
        <fgColor rgb="FF00B0F0"/>
        <bgColor rgb="FF00B0F0"/>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4">
    <xf numFmtId="0" fontId="0" fillId="0" borderId="0" xfId="0" applyFont="1" applyAlignment="1"/>
    <xf numFmtId="0" fontId="1" fillId="2" borderId="4" xfId="0" applyFont="1" applyFill="1" applyBorder="1" applyAlignment="1">
      <alignment horizontal="center"/>
    </xf>
    <xf numFmtId="0" fontId="3" fillId="2" borderId="4" xfId="0" applyFont="1" applyFill="1" applyBorder="1" applyAlignment="1">
      <alignment horizontal="center"/>
    </xf>
    <xf numFmtId="164" fontId="3" fillId="2" borderId="4" xfId="0" applyNumberFormat="1" applyFont="1" applyFill="1" applyBorder="1" applyAlignment="1">
      <alignment horizontal="center"/>
    </xf>
    <xf numFmtId="0" fontId="4" fillId="0" borderId="0" xfId="0" applyFont="1" applyAlignment="1"/>
    <xf numFmtId="0" fontId="4" fillId="0" borderId="0" xfId="0" applyFont="1"/>
    <xf numFmtId="0" fontId="5" fillId="0" borderId="0" xfId="0" applyFont="1" applyAlignment="1"/>
    <xf numFmtId="0" fontId="6" fillId="0" borderId="0" xfId="0" applyFont="1"/>
    <xf numFmtId="0" fontId="5" fillId="0" borderId="0" xfId="0" applyFont="1"/>
    <xf numFmtId="0" fontId="6" fillId="0" borderId="0" xfId="0" applyFont="1" applyAlignment="1"/>
    <xf numFmtId="0" fontId="8" fillId="0" borderId="0" xfId="0" applyFont="1" applyAlignment="1">
      <alignment vertical="top" wrapText="1"/>
    </xf>
    <xf numFmtId="0" fontId="10" fillId="0" borderId="0" xfId="0" applyFont="1" applyAlignment="1">
      <alignment horizontal="center"/>
    </xf>
    <xf numFmtId="0" fontId="11" fillId="0" borderId="0" xfId="0" applyFont="1"/>
    <xf numFmtId="0" fontId="8" fillId="0" borderId="0" xfId="0" applyFont="1"/>
    <xf numFmtId="43" fontId="11" fillId="0" borderId="0" xfId="0" applyNumberFormat="1" applyFont="1"/>
    <xf numFmtId="43" fontId="12" fillId="0" borderId="0" xfId="0" applyNumberFormat="1" applyFont="1"/>
    <xf numFmtId="0" fontId="10" fillId="0" borderId="0" xfId="0" applyFont="1"/>
    <xf numFmtId="43" fontId="11" fillId="0" borderId="0" xfId="0" applyNumberFormat="1" applyFont="1" applyAlignment="1">
      <alignment horizontal="left"/>
    </xf>
    <xf numFmtId="43" fontId="13" fillId="0" borderId="0" xfId="0" applyNumberFormat="1" applyFont="1" applyAlignment="1">
      <alignment horizontal="left"/>
    </xf>
    <xf numFmtId="0" fontId="14" fillId="0" borderId="0" xfId="0" applyFont="1" applyAlignment="1">
      <alignment vertical="top"/>
    </xf>
    <xf numFmtId="43" fontId="10" fillId="0" borderId="0" xfId="0" applyNumberFormat="1" applyFont="1"/>
    <xf numFmtId="0" fontId="8" fillId="0" borderId="0" xfId="0" applyFont="1" applyAlignment="1">
      <alignment vertical="top" wrapText="1"/>
    </xf>
    <xf numFmtId="0" fontId="0" fillId="0" borderId="0" xfId="0" applyFont="1" applyAlignment="1"/>
    <xf numFmtId="0" fontId="6" fillId="0" borderId="0" xfId="0" applyFont="1" applyAlignment="1">
      <alignment wrapText="1"/>
    </xf>
    <xf numFmtId="0" fontId="6" fillId="0" borderId="0" xfId="0" applyFont="1" applyAlignment="1">
      <alignment horizontal="left" vertical="top" wrapText="1"/>
    </xf>
    <xf numFmtId="0" fontId="9" fillId="0" borderId="0" xfId="0" applyFont="1" applyAlignment="1">
      <alignment wrapText="1"/>
    </xf>
    <xf numFmtId="0" fontId="7" fillId="0" borderId="0" xfId="0" applyFont="1" applyAlignment="1">
      <alignment horizontal="left" vertical="top"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0" fillId="0" borderId="0" xfId="0" applyFont="1" applyAlignment="1">
      <alignment horizontal="center"/>
    </xf>
    <xf numFmtId="0" fontId="14" fillId="0" borderId="0" xfId="0" applyFont="1" applyAlignment="1">
      <alignment horizontal="left" vertical="top" wrapText="1"/>
    </xf>
    <xf numFmtId="0" fontId="4" fillId="0" borderId="0" xfId="0" applyFont="1" applyAlignment="1">
      <alignment horizontal="center"/>
    </xf>
    <xf numFmtId="0" fontId="1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457200</xdr:colOff>
      <xdr:row>42</xdr:row>
      <xdr:rowOff>0</xdr:rowOff>
    </xdr:to>
    <xdr:pic>
      <xdr:nvPicPr>
        <xdr:cNvPr id="2" name="Picture 1">
          <a:extLst>
            <a:ext uri="{FF2B5EF4-FFF2-40B4-BE49-F238E27FC236}">
              <a16:creationId xmlns:a16="http://schemas.microsoft.com/office/drawing/2014/main" id="{B4711EA5-3C0B-4AD1-BB09-38DDC6C40A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943600" cy="7680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114300</xdr:colOff>
      <xdr:row>34</xdr:row>
      <xdr:rowOff>95250</xdr:rowOff>
    </xdr:from>
    <xdr:ext cx="4857750" cy="666750"/>
    <xdr:sp macro="" textlink="">
      <xdr:nvSpPr>
        <xdr:cNvPr id="3" name="Shape 3">
          <a:extLst>
            <a:ext uri="{FF2B5EF4-FFF2-40B4-BE49-F238E27FC236}">
              <a16:creationId xmlns:a16="http://schemas.microsoft.com/office/drawing/2014/main" id="{00000000-0008-0000-0100-000003000000}"/>
            </a:ext>
          </a:extLst>
        </xdr:cNvPr>
        <xdr:cNvSpPr txBox="1"/>
      </xdr:nvSpPr>
      <xdr:spPr>
        <a:xfrm>
          <a:off x="2917125" y="3446625"/>
          <a:ext cx="4857750" cy="666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Para poder financiar el incremento en sus activos y el aumento en ventas que se tiene proyectado para el año 2007, la empresa estará requiriendo un financiamiento de $141,250.00.</a:t>
          </a:r>
          <a:endParaRPr sz="1100"/>
        </a:p>
      </xdr:txBody>
    </xdr:sp>
    <xdr:clientData fLocksWithSheet="0"/>
  </xdr:oneCellAnchor>
  <xdr:oneCellAnchor>
    <xdr:from>
      <xdr:col>0</xdr:col>
      <xdr:colOff>0</xdr:colOff>
      <xdr:row>3</xdr:row>
      <xdr:rowOff>76200</xdr:rowOff>
    </xdr:from>
    <xdr:ext cx="4743450" cy="53149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30</xdr:row>
      <xdr:rowOff>28575</xdr:rowOff>
    </xdr:from>
    <xdr:ext cx="4591050" cy="2524125"/>
    <xdr:pic>
      <xdr:nvPicPr>
        <xdr:cNvPr id="4" name="image10.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44</xdr:row>
      <xdr:rowOff>19050</xdr:rowOff>
    </xdr:from>
    <xdr:ext cx="4295775" cy="847725"/>
    <xdr:pic>
      <xdr:nvPicPr>
        <xdr:cNvPr id="5" name="image8.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4</xdr:row>
      <xdr:rowOff>0</xdr:rowOff>
    </xdr:from>
    <xdr:ext cx="4962525" cy="110490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209550</xdr:colOff>
      <xdr:row>55</xdr:row>
      <xdr:rowOff>28575</xdr:rowOff>
    </xdr:from>
    <xdr:ext cx="6953250" cy="1685925"/>
    <xdr:sp macro="" textlink="">
      <xdr:nvSpPr>
        <xdr:cNvPr id="4" name="Shape 4">
          <a:extLst>
            <a:ext uri="{FF2B5EF4-FFF2-40B4-BE49-F238E27FC236}">
              <a16:creationId xmlns:a16="http://schemas.microsoft.com/office/drawing/2014/main" id="{00000000-0008-0000-0300-000004000000}"/>
            </a:ext>
          </a:extLst>
        </xdr:cNvPr>
        <xdr:cNvSpPr txBox="1"/>
      </xdr:nvSpPr>
      <xdr:spPr>
        <a:xfrm>
          <a:off x="1874138" y="2941800"/>
          <a:ext cx="6943725" cy="16764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Según los cálculos realizados, la empresa tiene un faltante de caja significativo a partir del mes de agosto, mismo que se extiende a lo largo de todo el año. En el caso del faltante de caja, la empresa debería de buscar financiamiento para cubrir el efectivo que requieren. La empresa podría conseguir dinero a través de la adquisición de deudas, ya sean préstamos o bonos, también podría llevar a cabo una nueva emisión de acciones. La empresa podría replantearse su estrategia de ventas en busca de incrementar su margen de contribución.  En caso que tenga un excedente de caja puede invertirlo para obtener rendimientos. </a:t>
          </a:r>
          <a:endParaRPr sz="1100"/>
        </a:p>
      </xdr:txBody>
    </xdr:sp>
    <xdr:clientData fLocksWithSheet="0"/>
  </xdr:oneCellAnchor>
  <xdr:oneCellAnchor>
    <xdr:from>
      <xdr:col>0</xdr:col>
      <xdr:colOff>447675</xdr:colOff>
      <xdr:row>3</xdr:row>
      <xdr:rowOff>9525</xdr:rowOff>
    </xdr:from>
    <xdr:ext cx="3448050" cy="640080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9525</xdr:colOff>
      <xdr:row>4</xdr:row>
      <xdr:rowOff>66675</xdr:rowOff>
    </xdr:from>
    <xdr:ext cx="2857500" cy="2381250"/>
    <xdr:pic>
      <xdr:nvPicPr>
        <xdr:cNvPr id="3" name="image1.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18</xdr:col>
      <xdr:colOff>495300</xdr:colOff>
      <xdr:row>55</xdr:row>
      <xdr:rowOff>28575</xdr:rowOff>
    </xdr:from>
    <xdr:ext cx="4152900" cy="1390650"/>
    <xdr:sp macro="" textlink="">
      <xdr:nvSpPr>
        <xdr:cNvPr id="5" name="Shape 5">
          <a:extLst>
            <a:ext uri="{FF2B5EF4-FFF2-40B4-BE49-F238E27FC236}">
              <a16:creationId xmlns:a16="http://schemas.microsoft.com/office/drawing/2014/main" id="{00000000-0008-0000-0400-000005000000}"/>
            </a:ext>
          </a:extLst>
        </xdr:cNvPr>
        <xdr:cNvSpPr txBox="1"/>
      </xdr:nvSpPr>
      <xdr:spPr>
        <a:xfrm>
          <a:off x="3269550" y="3089438"/>
          <a:ext cx="4152900" cy="13811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Si, Martin Manufacturing requiere de $198,132.46 para poder financiar el aumento de activos producto del proyecto de modernización. </a:t>
          </a:r>
          <a:endParaRPr sz="1100"/>
        </a:p>
      </xdr:txBody>
    </xdr:sp>
    <xdr:clientData fLocksWithSheet="0"/>
  </xdr:oneCellAnchor>
  <xdr:oneCellAnchor>
    <xdr:from>
      <xdr:col>0</xdr:col>
      <xdr:colOff>0</xdr:colOff>
      <xdr:row>4</xdr:row>
      <xdr:rowOff>19050</xdr:rowOff>
    </xdr:from>
    <xdr:ext cx="4371975" cy="5324475"/>
    <xdr:pic>
      <xdr:nvPicPr>
        <xdr:cNvPr id="2" name="image6.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31</xdr:row>
      <xdr:rowOff>85725</xdr:rowOff>
    </xdr:from>
    <xdr:ext cx="4362450" cy="1076325"/>
    <xdr:pic>
      <xdr:nvPicPr>
        <xdr:cNvPr id="3" name="image4.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523875</xdr:colOff>
      <xdr:row>3</xdr:row>
      <xdr:rowOff>104775</xdr:rowOff>
    </xdr:from>
    <xdr:ext cx="4429125" cy="5762625"/>
    <xdr:pic>
      <xdr:nvPicPr>
        <xdr:cNvPr id="4" name="image5.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533400</xdr:colOff>
      <xdr:row>32</xdr:row>
      <xdr:rowOff>161925</xdr:rowOff>
    </xdr:from>
    <xdr:ext cx="3676650" cy="6257925"/>
    <xdr:pic>
      <xdr:nvPicPr>
        <xdr:cNvPr id="6" name="image9.png">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E8BC-9F8F-40DE-AA1E-BFAAE5F578E0}">
  <sheetPr>
    <pageSetUpPr fitToPage="1"/>
  </sheetPr>
  <dimension ref="A1"/>
  <sheetViews>
    <sheetView tabSelected="1" zoomScale="62" zoomScaleNormal="62" workbookViewId="0">
      <selection activeCell="Y32" sqref="Y32"/>
    </sheetView>
  </sheetViews>
  <sheetFormatPr defaultRowHeight="14.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R1013"/>
  <sheetViews>
    <sheetView workbookViewId="0">
      <selection activeCell="A76" sqref="A76:O76"/>
    </sheetView>
  </sheetViews>
  <sheetFormatPr defaultColWidth="14.453125" defaultRowHeight="15" customHeight="1"/>
  <cols>
    <col min="1" max="8" width="8.6328125" customWidth="1"/>
    <col min="9" max="9" width="15.453125" customWidth="1"/>
    <col min="10" max="10" width="19.6328125" customWidth="1"/>
    <col min="11" max="26" width="8.6328125" customWidth="1"/>
  </cols>
  <sheetData>
    <row r="2" spans="1:15" ht="21">
      <c r="A2" s="27" t="s">
        <v>0</v>
      </c>
      <c r="B2" s="28"/>
      <c r="C2" s="28"/>
      <c r="D2" s="28"/>
      <c r="E2" s="28"/>
      <c r="F2" s="28"/>
      <c r="G2" s="28"/>
      <c r="H2" s="28"/>
      <c r="I2" s="28"/>
      <c r="J2" s="29"/>
    </row>
    <row r="3" spans="1:15" ht="21">
      <c r="A3" s="27" t="s">
        <v>1</v>
      </c>
      <c r="B3" s="28"/>
      <c r="C3" s="28"/>
      <c r="D3" s="28"/>
      <c r="E3" s="28"/>
      <c r="F3" s="28"/>
      <c r="G3" s="28"/>
      <c r="H3" s="28"/>
      <c r="I3" s="28"/>
      <c r="J3" s="29"/>
    </row>
    <row r="4" spans="1:15" ht="21">
      <c r="A4" s="27" t="s">
        <v>2</v>
      </c>
      <c r="B4" s="28"/>
      <c r="C4" s="28"/>
      <c r="D4" s="28"/>
      <c r="E4" s="28"/>
      <c r="F4" s="28"/>
      <c r="G4" s="28"/>
      <c r="H4" s="28"/>
      <c r="I4" s="28"/>
      <c r="J4" s="29"/>
    </row>
    <row r="5" spans="1:15" ht="21">
      <c r="A5" s="27" t="s">
        <v>3</v>
      </c>
      <c r="B5" s="28"/>
      <c r="C5" s="28"/>
      <c r="D5" s="28"/>
      <c r="E5" s="28"/>
      <c r="F5" s="28"/>
      <c r="G5" s="28"/>
      <c r="H5" s="29"/>
      <c r="I5" s="1">
        <v>4</v>
      </c>
      <c r="J5" s="1" t="s">
        <v>4</v>
      </c>
    </row>
    <row r="6" spans="1:15" ht="26">
      <c r="A6" s="27" t="s">
        <v>5</v>
      </c>
      <c r="B6" s="28"/>
      <c r="C6" s="28"/>
      <c r="D6" s="28"/>
      <c r="E6" s="28"/>
      <c r="F6" s="28"/>
      <c r="G6" s="28"/>
      <c r="H6" s="29"/>
      <c r="I6" s="2" t="s">
        <v>6</v>
      </c>
      <c r="J6" s="3">
        <v>44638</v>
      </c>
    </row>
    <row r="8" spans="1:15" ht="21">
      <c r="A8" s="4" t="s">
        <v>7</v>
      </c>
    </row>
    <row r="9" spans="1:15" ht="21">
      <c r="A9" s="5"/>
    </row>
    <row r="10" spans="1:15" ht="14.5">
      <c r="A10" s="6" t="s">
        <v>8</v>
      </c>
    </row>
    <row r="11" spans="1:15" ht="14.5">
      <c r="A11" s="6" t="s">
        <v>9</v>
      </c>
    </row>
    <row r="12" spans="1:15" ht="29.25" customHeight="1">
      <c r="A12" s="24" t="s">
        <v>10</v>
      </c>
      <c r="B12" s="22"/>
      <c r="C12" s="22"/>
      <c r="D12" s="22"/>
      <c r="E12" s="22"/>
      <c r="F12" s="22"/>
      <c r="G12" s="22"/>
      <c r="H12" s="22"/>
      <c r="I12" s="22"/>
      <c r="J12" s="22"/>
      <c r="K12" s="22"/>
      <c r="L12" s="22"/>
      <c r="M12" s="22"/>
      <c r="N12" s="22"/>
      <c r="O12" s="22"/>
    </row>
    <row r="13" spans="1:15" ht="14.5">
      <c r="A13" s="7"/>
    </row>
    <row r="14" spans="1:15" ht="14.5">
      <c r="A14" s="6" t="s">
        <v>11</v>
      </c>
    </row>
    <row r="15" spans="1:15" ht="14.5">
      <c r="A15" s="8"/>
    </row>
    <row r="16" spans="1:15" ht="14.5">
      <c r="A16" s="6" t="s">
        <v>9</v>
      </c>
    </row>
    <row r="17" spans="1:15" ht="14.5">
      <c r="A17" s="24" t="s">
        <v>12</v>
      </c>
      <c r="B17" s="22"/>
      <c r="C17" s="22"/>
      <c r="D17" s="22"/>
      <c r="E17" s="22"/>
      <c r="F17" s="22"/>
      <c r="G17" s="22"/>
      <c r="H17" s="22"/>
      <c r="I17" s="22"/>
      <c r="J17" s="22"/>
      <c r="K17" s="22"/>
      <c r="L17" s="22"/>
      <c r="M17" s="22"/>
      <c r="N17" s="22"/>
      <c r="O17" s="22"/>
    </row>
    <row r="18" spans="1:15" ht="14.5">
      <c r="A18" s="7"/>
    </row>
    <row r="19" spans="1:15" ht="14.5">
      <c r="A19" s="24" t="s">
        <v>13</v>
      </c>
      <c r="B19" s="22"/>
      <c r="C19" s="22"/>
      <c r="D19" s="22"/>
      <c r="E19" s="22"/>
      <c r="F19" s="22"/>
      <c r="G19" s="22"/>
      <c r="H19" s="22"/>
      <c r="I19" s="22"/>
      <c r="J19" s="22"/>
      <c r="K19" s="22"/>
      <c r="L19" s="22"/>
      <c r="M19" s="22"/>
      <c r="N19" s="22"/>
      <c r="O19" s="22"/>
    </row>
    <row r="20" spans="1:15" ht="14.5">
      <c r="A20" s="7"/>
    </row>
    <row r="21" spans="1:15" ht="15.75" customHeight="1">
      <c r="A21" s="24" t="s">
        <v>14</v>
      </c>
      <c r="B21" s="22"/>
      <c r="C21" s="22"/>
      <c r="D21" s="22"/>
      <c r="E21" s="22"/>
      <c r="F21" s="22"/>
      <c r="G21" s="22"/>
      <c r="H21" s="22"/>
      <c r="I21" s="22"/>
      <c r="J21" s="22"/>
      <c r="K21" s="22"/>
      <c r="L21" s="22"/>
      <c r="M21" s="22"/>
      <c r="N21" s="22"/>
      <c r="O21" s="22"/>
    </row>
    <row r="22" spans="1:15" ht="15.75" customHeight="1">
      <c r="A22" s="9"/>
      <c r="B22" s="9"/>
      <c r="C22" s="9"/>
    </row>
    <row r="23" spans="1:15" ht="15.75" customHeight="1">
      <c r="A23" s="24" t="s">
        <v>15</v>
      </c>
      <c r="B23" s="22"/>
      <c r="C23" s="22"/>
    </row>
    <row r="24" spans="1:15" ht="15.75" customHeight="1">
      <c r="A24" s="26" t="s">
        <v>16</v>
      </c>
      <c r="B24" s="22"/>
      <c r="C24" s="22"/>
      <c r="D24" s="22"/>
      <c r="E24" s="22"/>
      <c r="F24" s="22"/>
      <c r="G24" s="22"/>
      <c r="H24" s="22"/>
      <c r="I24" s="22"/>
      <c r="J24" s="22"/>
      <c r="K24" s="22"/>
      <c r="L24" s="22"/>
      <c r="M24" s="22"/>
      <c r="N24" s="22"/>
      <c r="O24" s="22"/>
    </row>
    <row r="25" spans="1:15" ht="15.75" customHeight="1">
      <c r="A25" s="7"/>
    </row>
    <row r="26" spans="1:15" ht="15.75" customHeight="1">
      <c r="A26" s="6" t="s">
        <v>17</v>
      </c>
    </row>
    <row r="27" spans="1:15" ht="15.75" customHeight="1">
      <c r="A27" s="6" t="s">
        <v>9</v>
      </c>
    </row>
    <row r="28" spans="1:15" ht="30" customHeight="1">
      <c r="A28" s="21" t="s">
        <v>18</v>
      </c>
      <c r="B28" s="22"/>
      <c r="C28" s="22"/>
      <c r="D28" s="22"/>
      <c r="E28" s="22"/>
      <c r="F28" s="22"/>
      <c r="G28" s="22"/>
      <c r="H28" s="22"/>
      <c r="I28" s="22"/>
      <c r="J28" s="22"/>
      <c r="K28" s="22"/>
      <c r="L28" s="22"/>
    </row>
    <row r="29" spans="1:15" ht="15.75" customHeight="1">
      <c r="A29" s="10"/>
      <c r="B29" s="10"/>
      <c r="C29" s="10"/>
      <c r="D29" s="10"/>
      <c r="E29" s="10"/>
      <c r="F29" s="10"/>
      <c r="G29" s="10"/>
      <c r="H29" s="10"/>
      <c r="I29" s="10"/>
      <c r="J29" s="10"/>
      <c r="K29" s="10"/>
      <c r="L29" s="10"/>
    </row>
    <row r="30" spans="1:15" ht="15.75" customHeight="1">
      <c r="A30" s="21" t="s">
        <v>19</v>
      </c>
      <c r="B30" s="22"/>
      <c r="C30" s="22"/>
      <c r="D30" s="22"/>
      <c r="E30" s="22"/>
      <c r="F30" s="22"/>
      <c r="G30" s="22"/>
      <c r="H30" s="22"/>
      <c r="I30" s="22"/>
      <c r="J30" s="22"/>
      <c r="K30" s="22"/>
      <c r="L30" s="22"/>
    </row>
    <row r="31" spans="1:15" ht="15.75" customHeight="1">
      <c r="A31" s="6"/>
    </row>
    <row r="32" spans="1:15" ht="15.75" customHeight="1">
      <c r="A32" s="6" t="s">
        <v>20</v>
      </c>
    </row>
    <row r="33" spans="1:15" ht="15.75" customHeight="1">
      <c r="A33" s="6" t="s">
        <v>9</v>
      </c>
    </row>
    <row r="34" spans="1:15" ht="15.75" customHeight="1">
      <c r="A34" s="23" t="s">
        <v>21</v>
      </c>
      <c r="B34" s="22"/>
      <c r="C34" s="22"/>
      <c r="D34" s="22"/>
      <c r="E34" s="22"/>
      <c r="F34" s="22"/>
      <c r="G34" s="22"/>
      <c r="H34" s="22"/>
      <c r="I34" s="22"/>
      <c r="J34" s="22"/>
      <c r="K34" s="22"/>
      <c r="L34" s="22"/>
      <c r="M34" s="22"/>
      <c r="N34" s="22"/>
      <c r="O34" s="22"/>
    </row>
    <row r="35" spans="1:15" ht="15.75" customHeight="1">
      <c r="A35" s="23" t="s">
        <v>22</v>
      </c>
      <c r="B35" s="22"/>
      <c r="C35" s="22"/>
      <c r="D35" s="22"/>
      <c r="E35" s="22"/>
      <c r="F35" s="22"/>
      <c r="G35" s="22"/>
      <c r="H35" s="22"/>
      <c r="I35" s="22"/>
      <c r="J35" s="22"/>
      <c r="K35" s="22"/>
      <c r="L35" s="22"/>
      <c r="M35" s="22"/>
      <c r="N35" s="22"/>
      <c r="O35" s="22"/>
    </row>
    <row r="36" spans="1:15" ht="15.75" customHeight="1">
      <c r="A36" s="23" t="s">
        <v>23</v>
      </c>
      <c r="B36" s="22"/>
      <c r="C36" s="22"/>
      <c r="D36" s="22"/>
      <c r="E36" s="22"/>
      <c r="F36" s="22"/>
      <c r="G36" s="22"/>
      <c r="H36" s="22"/>
      <c r="I36" s="22"/>
      <c r="J36" s="22"/>
      <c r="K36" s="22"/>
      <c r="L36" s="22"/>
      <c r="M36" s="22"/>
      <c r="N36" s="22"/>
      <c r="O36" s="22"/>
    </row>
    <row r="37" spans="1:15" ht="15.75" customHeight="1">
      <c r="A37" s="23" t="s">
        <v>24</v>
      </c>
      <c r="B37" s="22"/>
      <c r="C37" s="22"/>
      <c r="D37" s="22"/>
      <c r="E37" s="22"/>
      <c r="F37" s="22"/>
      <c r="G37" s="22"/>
      <c r="H37" s="22"/>
      <c r="I37" s="22"/>
      <c r="J37" s="22"/>
      <c r="K37" s="22"/>
      <c r="L37" s="22"/>
      <c r="M37" s="22"/>
      <c r="N37" s="22"/>
      <c r="O37" s="22"/>
    </row>
    <row r="38" spans="1:15" ht="15.75" customHeight="1">
      <c r="A38" s="23" t="s">
        <v>25</v>
      </c>
      <c r="B38" s="22"/>
      <c r="C38" s="22"/>
      <c r="D38" s="22"/>
      <c r="E38" s="22"/>
      <c r="F38" s="22"/>
      <c r="G38" s="22"/>
      <c r="H38" s="22"/>
      <c r="I38" s="22"/>
      <c r="J38" s="22"/>
      <c r="K38" s="22"/>
      <c r="L38" s="22"/>
      <c r="M38" s="22"/>
      <c r="N38" s="22"/>
      <c r="O38" s="22"/>
    </row>
    <row r="39" spans="1:15" ht="15.75" customHeight="1">
      <c r="A39" s="23" t="s">
        <v>26</v>
      </c>
      <c r="B39" s="22"/>
      <c r="C39" s="22"/>
      <c r="D39" s="22"/>
      <c r="E39" s="22"/>
      <c r="F39" s="22"/>
      <c r="G39" s="22"/>
      <c r="H39" s="22"/>
      <c r="I39" s="22"/>
      <c r="J39" s="22"/>
      <c r="K39" s="22"/>
      <c r="L39" s="22"/>
      <c r="M39" s="22"/>
      <c r="N39" s="22"/>
      <c r="O39" s="22"/>
    </row>
    <row r="40" spans="1:15" ht="15.75" customHeight="1">
      <c r="A40" s="6"/>
    </row>
    <row r="41" spans="1:15" ht="15.75" customHeight="1">
      <c r="A41" s="6" t="s">
        <v>27</v>
      </c>
    </row>
    <row r="42" spans="1:15" ht="15.75" customHeight="1">
      <c r="A42" s="6" t="s">
        <v>9</v>
      </c>
    </row>
    <row r="43" spans="1:15" ht="15.75" customHeight="1">
      <c r="A43" s="21" t="s">
        <v>28</v>
      </c>
      <c r="B43" s="22"/>
      <c r="C43" s="22"/>
      <c r="D43" s="22"/>
      <c r="E43" s="22"/>
      <c r="F43" s="22"/>
      <c r="G43" s="22"/>
      <c r="H43" s="22"/>
      <c r="I43" s="22"/>
      <c r="J43" s="22"/>
      <c r="K43" s="22"/>
      <c r="L43" s="22"/>
      <c r="M43" s="22"/>
      <c r="N43" s="22"/>
      <c r="O43" s="22"/>
    </row>
    <row r="44" spans="1:15" ht="15.75" customHeight="1">
      <c r="A44" s="8"/>
    </row>
    <row r="45" spans="1:15" ht="15.75" customHeight="1">
      <c r="A45" s="6" t="s">
        <v>29</v>
      </c>
    </row>
    <row r="46" spans="1:15" ht="15.75" customHeight="1">
      <c r="A46" s="6" t="s">
        <v>9</v>
      </c>
    </row>
    <row r="47" spans="1:15" ht="89.25" customHeight="1">
      <c r="A47" s="21" t="s">
        <v>30</v>
      </c>
      <c r="B47" s="22"/>
      <c r="C47" s="22"/>
      <c r="D47" s="22"/>
      <c r="E47" s="22"/>
      <c r="F47" s="22"/>
      <c r="G47" s="22"/>
      <c r="H47" s="22"/>
      <c r="I47" s="22"/>
      <c r="J47" s="22"/>
      <c r="K47" s="22"/>
      <c r="L47" s="22"/>
      <c r="M47" s="22"/>
      <c r="N47" s="22"/>
      <c r="O47" s="22"/>
    </row>
    <row r="48" spans="1:15" ht="15.75" customHeight="1">
      <c r="A48" s="8"/>
    </row>
    <row r="49" spans="1:15" ht="15.75" customHeight="1">
      <c r="A49" s="6" t="s">
        <v>31</v>
      </c>
    </row>
    <row r="50" spans="1:15" ht="15.75" customHeight="1">
      <c r="A50" s="6" t="s">
        <v>9</v>
      </c>
    </row>
    <row r="51" spans="1:15" ht="32.4" customHeight="1">
      <c r="A51" s="21" t="s">
        <v>32</v>
      </c>
      <c r="B51" s="22"/>
      <c r="C51" s="22"/>
      <c r="D51" s="22"/>
      <c r="E51" s="22"/>
      <c r="F51" s="22"/>
      <c r="G51" s="22"/>
      <c r="H51" s="22"/>
      <c r="I51" s="22"/>
      <c r="J51" s="22"/>
      <c r="K51" s="22"/>
      <c r="L51" s="22"/>
      <c r="M51" s="22"/>
      <c r="N51" s="22"/>
      <c r="O51" s="22"/>
    </row>
    <row r="52" spans="1:15" ht="15.75" customHeight="1">
      <c r="A52" s="8"/>
    </row>
    <row r="53" spans="1:15" ht="15.75" customHeight="1">
      <c r="A53" s="6" t="s">
        <v>33</v>
      </c>
    </row>
    <row r="54" spans="1:15" ht="15.75" customHeight="1">
      <c r="A54" s="6" t="s">
        <v>9</v>
      </c>
    </row>
    <row r="55" spans="1:15" ht="66.75" customHeight="1">
      <c r="A55" s="21" t="s">
        <v>34</v>
      </c>
      <c r="B55" s="22"/>
      <c r="C55" s="22"/>
      <c r="D55" s="22"/>
      <c r="E55" s="22"/>
      <c r="F55" s="22"/>
      <c r="G55" s="22"/>
      <c r="H55" s="22"/>
      <c r="I55" s="22"/>
      <c r="J55" s="22"/>
      <c r="K55" s="22"/>
      <c r="L55" s="22"/>
      <c r="M55" s="22"/>
      <c r="N55" s="22"/>
      <c r="O55" s="22"/>
    </row>
    <row r="56" spans="1:15" ht="15" customHeight="1">
      <c r="A56" s="7"/>
    </row>
    <row r="57" spans="1:15" ht="15.75" customHeight="1">
      <c r="A57" s="6" t="s">
        <v>35</v>
      </c>
    </row>
    <row r="58" spans="1:15" ht="15.75" customHeight="1">
      <c r="A58" s="6" t="s">
        <v>9</v>
      </c>
    </row>
    <row r="59" spans="1:15" ht="48" customHeight="1">
      <c r="A59" s="25" t="s">
        <v>36</v>
      </c>
      <c r="B59" s="22"/>
      <c r="C59" s="22"/>
      <c r="D59" s="22"/>
      <c r="E59" s="22"/>
      <c r="F59" s="22"/>
      <c r="G59" s="22"/>
      <c r="H59" s="22"/>
      <c r="I59" s="22"/>
      <c r="J59" s="22"/>
      <c r="K59" s="22"/>
      <c r="L59" s="22"/>
      <c r="M59" s="22"/>
      <c r="N59" s="22"/>
      <c r="O59" s="22"/>
    </row>
    <row r="60" spans="1:15" ht="15.75" customHeight="1">
      <c r="A60" s="8"/>
    </row>
    <row r="61" spans="1:15" ht="15.75" customHeight="1">
      <c r="A61" s="6" t="s">
        <v>37</v>
      </c>
    </row>
    <row r="62" spans="1:15" ht="15.75" customHeight="1">
      <c r="A62" s="6" t="s">
        <v>9</v>
      </c>
    </row>
    <row r="63" spans="1:15" ht="88.5" customHeight="1">
      <c r="A63" s="21" t="s">
        <v>38</v>
      </c>
      <c r="B63" s="22"/>
      <c r="C63" s="22"/>
      <c r="D63" s="22"/>
      <c r="E63" s="22"/>
      <c r="F63" s="22"/>
      <c r="G63" s="22"/>
      <c r="H63" s="22"/>
      <c r="I63" s="22"/>
      <c r="J63" s="22"/>
      <c r="K63" s="22"/>
      <c r="L63" s="22"/>
      <c r="M63" s="22"/>
      <c r="N63" s="22"/>
      <c r="O63" s="22"/>
    </row>
    <row r="64" spans="1:15" ht="15.75" customHeight="1">
      <c r="A64" s="8"/>
    </row>
    <row r="65" spans="1:18" ht="15.75" customHeight="1">
      <c r="A65" s="6" t="s">
        <v>39</v>
      </c>
    </row>
    <row r="66" spans="1:18" ht="15.75" customHeight="1">
      <c r="A66" s="6" t="s">
        <v>9</v>
      </c>
    </row>
    <row r="67" spans="1:18" ht="61.75" customHeight="1">
      <c r="A67" s="24" t="s">
        <v>40</v>
      </c>
      <c r="B67" s="24"/>
      <c r="C67" s="24"/>
      <c r="D67" s="24"/>
      <c r="E67" s="24"/>
      <c r="F67" s="24"/>
      <c r="G67" s="24"/>
      <c r="H67" s="24"/>
      <c r="I67" s="24"/>
      <c r="J67" s="24"/>
      <c r="K67" s="24"/>
      <c r="L67" s="24"/>
      <c r="M67" s="24"/>
      <c r="N67" s="24"/>
      <c r="O67" s="24"/>
      <c r="P67" s="24"/>
      <c r="Q67" s="24"/>
      <c r="R67" s="24"/>
    </row>
    <row r="68" spans="1:18" ht="15.75" customHeight="1">
      <c r="A68" s="8"/>
    </row>
    <row r="69" spans="1:18" ht="15.75" customHeight="1">
      <c r="A69" s="6" t="s">
        <v>41</v>
      </c>
    </row>
    <row r="70" spans="1:18" ht="15.75" customHeight="1">
      <c r="A70" s="6" t="s">
        <v>9</v>
      </c>
    </row>
    <row r="71" spans="1:18" ht="54.75" customHeight="1">
      <c r="A71" s="21" t="s">
        <v>42</v>
      </c>
      <c r="B71" s="22"/>
      <c r="C71" s="22"/>
      <c r="D71" s="22"/>
      <c r="E71" s="22"/>
      <c r="F71" s="22"/>
      <c r="G71" s="22"/>
      <c r="H71" s="22"/>
      <c r="I71" s="22"/>
      <c r="J71" s="22"/>
      <c r="K71" s="22"/>
      <c r="L71" s="22"/>
      <c r="M71" s="22"/>
      <c r="N71" s="22"/>
      <c r="O71" s="22"/>
    </row>
    <row r="72" spans="1:18" ht="15.75" customHeight="1">
      <c r="A72" s="8"/>
    </row>
    <row r="73" spans="1:18" ht="15.75" customHeight="1">
      <c r="A73" s="8"/>
    </row>
    <row r="74" spans="1:18" ht="15.75" customHeight="1">
      <c r="A74" s="6" t="s">
        <v>43</v>
      </c>
    </row>
    <row r="75" spans="1:18" ht="15.75" customHeight="1">
      <c r="A75" s="6" t="s">
        <v>9</v>
      </c>
    </row>
    <row r="76" spans="1:18" ht="75" customHeight="1">
      <c r="A76" s="21" t="s">
        <v>137</v>
      </c>
      <c r="B76" s="22"/>
      <c r="C76" s="22"/>
      <c r="D76" s="22"/>
      <c r="E76" s="22"/>
      <c r="F76" s="22"/>
      <c r="G76" s="22"/>
      <c r="H76" s="22"/>
      <c r="I76" s="22"/>
      <c r="J76" s="22"/>
      <c r="K76" s="22"/>
      <c r="L76" s="22"/>
      <c r="M76" s="22"/>
      <c r="N76" s="22"/>
      <c r="O76" s="22"/>
    </row>
    <row r="77" spans="1:18" ht="15.75" customHeight="1"/>
    <row r="78" spans="1:18" ht="15.75" customHeight="1"/>
    <row r="79" spans="1:18" ht="15.75" customHeight="1"/>
    <row r="80" spans="1: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28">
    <mergeCell ref="A2:J2"/>
    <mergeCell ref="A3:J3"/>
    <mergeCell ref="A4:J4"/>
    <mergeCell ref="A5:H5"/>
    <mergeCell ref="A6:H6"/>
    <mergeCell ref="A12:O12"/>
    <mergeCell ref="A17:O17"/>
    <mergeCell ref="A19:O19"/>
    <mergeCell ref="A21:O21"/>
    <mergeCell ref="A23:C23"/>
    <mergeCell ref="A24:O24"/>
    <mergeCell ref="A28:L28"/>
    <mergeCell ref="A30:L30"/>
    <mergeCell ref="A34:O34"/>
    <mergeCell ref="A51:O51"/>
    <mergeCell ref="A76:O76"/>
    <mergeCell ref="A35:O35"/>
    <mergeCell ref="A36:O36"/>
    <mergeCell ref="A37:O37"/>
    <mergeCell ref="A38:O38"/>
    <mergeCell ref="A39:O39"/>
    <mergeCell ref="A43:O43"/>
    <mergeCell ref="A47:O47"/>
    <mergeCell ref="A67:R67"/>
    <mergeCell ref="A55:O55"/>
    <mergeCell ref="A59:O59"/>
    <mergeCell ref="A63:O63"/>
    <mergeCell ref="A71:O71"/>
  </mergeCells>
  <pageMargins left="0.7" right="0.7" top="0.75" bottom="0.75" header="0" footer="0"/>
  <pageSetup scale="3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1000"/>
  <sheetViews>
    <sheetView workbookViewId="0"/>
  </sheetViews>
  <sheetFormatPr defaultColWidth="14.453125" defaultRowHeight="15" customHeight="1"/>
  <cols>
    <col min="1" max="11" width="8.6328125" customWidth="1"/>
    <col min="12" max="12" width="32.90625" customWidth="1"/>
    <col min="13" max="13" width="12.90625" customWidth="1"/>
    <col min="14" max="14" width="11.08984375" customWidth="1"/>
    <col min="15" max="15" width="10.08984375" customWidth="1"/>
    <col min="16" max="16" width="24.08984375" customWidth="1"/>
    <col min="17" max="17" width="11.08984375" customWidth="1"/>
    <col min="18" max="26" width="8.6328125" customWidth="1"/>
  </cols>
  <sheetData>
    <row r="1" spans="1:15" ht="14.5">
      <c r="L1" s="30" t="s">
        <v>44</v>
      </c>
      <c r="M1" s="22"/>
      <c r="N1" s="12"/>
    </row>
    <row r="2" spans="1:15" ht="21">
      <c r="A2" s="27" t="s">
        <v>1</v>
      </c>
      <c r="B2" s="28"/>
      <c r="C2" s="28"/>
      <c r="D2" s="28"/>
      <c r="E2" s="28"/>
      <c r="F2" s="28"/>
      <c r="G2" s="28"/>
      <c r="H2" s="29"/>
      <c r="L2" s="30" t="s">
        <v>45</v>
      </c>
      <c r="M2" s="22"/>
    </row>
    <row r="3" spans="1:15" ht="21">
      <c r="A3" s="27" t="s">
        <v>2</v>
      </c>
      <c r="B3" s="28"/>
      <c r="C3" s="28"/>
      <c r="D3" s="28"/>
      <c r="E3" s="28"/>
      <c r="F3" s="28"/>
      <c r="G3" s="28"/>
      <c r="H3" s="29"/>
      <c r="L3" s="30" t="s">
        <v>46</v>
      </c>
      <c r="M3" s="22"/>
    </row>
    <row r="4" spans="1:15" ht="14.5">
      <c r="L4" s="13" t="s">
        <v>47</v>
      </c>
      <c r="M4" s="14">
        <v>900000</v>
      </c>
    </row>
    <row r="5" spans="1:15" ht="14.5">
      <c r="L5" s="13" t="s">
        <v>48</v>
      </c>
      <c r="M5" s="15">
        <f>M4*N5</f>
        <v>675000</v>
      </c>
      <c r="N5" s="13">
        <f>600000/800000</f>
        <v>0.75</v>
      </c>
    </row>
    <row r="6" spans="1:15" ht="14.5">
      <c r="L6" s="13" t="s">
        <v>49</v>
      </c>
      <c r="M6" s="14">
        <f>M4-M5</f>
        <v>225000</v>
      </c>
    </row>
    <row r="8" spans="1:15" ht="15" customHeight="1">
      <c r="L8" s="13" t="s">
        <v>50</v>
      </c>
      <c r="M8" s="15">
        <f>M4*N8</f>
        <v>112500</v>
      </c>
      <c r="N8" s="13">
        <f>100000/800000</f>
        <v>0.125</v>
      </c>
    </row>
    <row r="9" spans="1:15" ht="15" customHeight="1">
      <c r="L9" s="13" t="s">
        <v>51</v>
      </c>
      <c r="M9" s="14">
        <f>M6-M8</f>
        <v>112500</v>
      </c>
    </row>
    <row r="10" spans="1:15" ht="14.25" customHeight="1">
      <c r="O10" s="14"/>
    </row>
    <row r="11" spans="1:15" ht="15" customHeight="1">
      <c r="L11" s="13" t="s">
        <v>52</v>
      </c>
      <c r="M11" s="14">
        <f>M9*0.4</f>
        <v>45000</v>
      </c>
    </row>
    <row r="13" spans="1:15" ht="18" customHeight="1">
      <c r="L13" s="13" t="s">
        <v>53</v>
      </c>
      <c r="M13" s="14">
        <f>M9-M11</f>
        <v>67500</v>
      </c>
    </row>
    <row r="14" spans="1:15" ht="17.25" customHeight="1">
      <c r="L14" s="13" t="s">
        <v>54</v>
      </c>
      <c r="M14" s="15">
        <v>35000</v>
      </c>
    </row>
    <row r="15" spans="1:15" ht="15.75" customHeight="1">
      <c r="L15" s="13" t="s">
        <v>55</v>
      </c>
      <c r="M15" s="14">
        <f>M13-M14</f>
        <v>32500</v>
      </c>
    </row>
    <row r="16" spans="1:15" ht="18" customHeight="1"/>
    <row r="17" spans="12:17" ht="14.5">
      <c r="L17" s="30" t="s">
        <v>44</v>
      </c>
      <c r="M17" s="22"/>
      <c r="N17" s="22"/>
      <c r="O17" s="22"/>
      <c r="P17" s="22"/>
      <c r="Q17" s="22"/>
    </row>
    <row r="18" spans="12:17" ht="18" customHeight="1">
      <c r="L18" s="30" t="s">
        <v>56</v>
      </c>
      <c r="M18" s="22"/>
      <c r="N18" s="22"/>
      <c r="O18" s="22"/>
      <c r="P18" s="22"/>
      <c r="Q18" s="22"/>
    </row>
    <row r="19" spans="12:17" ht="14.5">
      <c r="L19" s="30" t="s">
        <v>57</v>
      </c>
      <c r="M19" s="22"/>
      <c r="N19" s="22"/>
      <c r="O19" s="22"/>
      <c r="P19" s="22"/>
      <c r="Q19" s="22"/>
    </row>
    <row r="20" spans="12:17" ht="14.5">
      <c r="L20" s="16" t="s">
        <v>58</v>
      </c>
      <c r="P20" s="16" t="s">
        <v>59</v>
      </c>
      <c r="Q20" s="11"/>
    </row>
    <row r="21" spans="12:17" ht="15.75" customHeight="1"/>
    <row r="22" spans="12:17" ht="15.75" customHeight="1">
      <c r="L22" s="13" t="s">
        <v>60</v>
      </c>
      <c r="M22" s="14">
        <v>30000</v>
      </c>
      <c r="P22" s="14" t="s">
        <v>61</v>
      </c>
      <c r="Q22" s="14">
        <f>100000*(1+N25)</f>
        <v>112500</v>
      </c>
    </row>
    <row r="23" spans="12:17" ht="15.75" customHeight="1">
      <c r="L23" s="13" t="s">
        <v>62</v>
      </c>
      <c r="M23" s="14">
        <v>18000</v>
      </c>
      <c r="O23" s="14"/>
      <c r="P23" s="13" t="s">
        <v>63</v>
      </c>
      <c r="Q23" s="14">
        <f>20000+(M11/4)</f>
        <v>31250</v>
      </c>
    </row>
    <row r="24" spans="12:17" ht="15.75" customHeight="1">
      <c r="L24" s="13" t="s">
        <v>64</v>
      </c>
      <c r="M24" s="14">
        <f>150000+(M4*0.18)</f>
        <v>312000</v>
      </c>
      <c r="P24" s="13" t="s">
        <v>65</v>
      </c>
      <c r="Q24" s="17">
        <v>5000</v>
      </c>
    </row>
    <row r="25" spans="12:17" ht="15.75" customHeight="1">
      <c r="L25" s="13" t="s">
        <v>66</v>
      </c>
      <c r="M25" s="15">
        <f>100000*(1+N25)</f>
        <v>112500</v>
      </c>
      <c r="N25" s="13">
        <f>(900-800)/800</f>
        <v>0.125</v>
      </c>
      <c r="P25" s="13" t="s">
        <v>67</v>
      </c>
      <c r="Q25" s="18">
        <v>141250</v>
      </c>
    </row>
    <row r="26" spans="12:17" ht="15.75" customHeight="1">
      <c r="L26" s="13" t="s">
        <v>68</v>
      </c>
      <c r="M26" s="14">
        <f>SUM(M22:M25)</f>
        <v>472500</v>
      </c>
      <c r="P26" s="13" t="s">
        <v>69</v>
      </c>
      <c r="Q26" s="14">
        <f>Q22+Q23+Q24</f>
        <v>148750</v>
      </c>
    </row>
    <row r="27" spans="12:17" ht="15.75" customHeight="1"/>
    <row r="28" spans="12:17" ht="15.75" customHeight="1">
      <c r="L28" s="13" t="s">
        <v>70</v>
      </c>
      <c r="M28" s="14">
        <f>N41</f>
        <v>375000</v>
      </c>
      <c r="P28" s="13" t="s">
        <v>71</v>
      </c>
      <c r="Q28" s="14">
        <v>200000</v>
      </c>
    </row>
    <row r="29" spans="12:17" ht="15.75" customHeight="1">
      <c r="Q29" s="14"/>
    </row>
    <row r="30" spans="12:17" ht="15.75" customHeight="1">
      <c r="L30" s="16" t="s">
        <v>72</v>
      </c>
      <c r="M30" s="14">
        <f>M28+M26</f>
        <v>847500</v>
      </c>
      <c r="P30" s="13" t="s">
        <v>73</v>
      </c>
      <c r="Q30" s="14">
        <v>150000</v>
      </c>
    </row>
    <row r="31" spans="12:17" ht="15.75" customHeight="1">
      <c r="P31" s="13" t="s">
        <v>55</v>
      </c>
      <c r="Q31" s="14">
        <f>175000+M15</f>
        <v>207500</v>
      </c>
    </row>
    <row r="32" spans="12:17" ht="15.75" customHeight="1"/>
    <row r="33" spans="12:17" ht="15.75" customHeight="1">
      <c r="P33" s="13" t="s">
        <v>74</v>
      </c>
      <c r="Q33" s="14">
        <f>Q26+Q28+Q30+Q31+Q25</f>
        <v>847500</v>
      </c>
    </row>
    <row r="34" spans="12:17" ht="15.75" customHeight="1"/>
    <row r="35" spans="12:17" ht="15.75" customHeight="1">
      <c r="P35" s="14"/>
    </row>
    <row r="36" spans="12:17" ht="15.75" customHeight="1"/>
    <row r="37" spans="12:17" ht="15.75" customHeight="1"/>
    <row r="38" spans="12:17" ht="15.75" customHeight="1"/>
    <row r="39" spans="12:17" ht="15.75" customHeight="1"/>
    <row r="40" spans="12:17" ht="15.75" customHeight="1">
      <c r="M40" s="13">
        <v>2006</v>
      </c>
      <c r="N40" s="13">
        <v>2007</v>
      </c>
    </row>
    <row r="41" spans="12:17" ht="15.75" customHeight="1">
      <c r="L41" s="13" t="s">
        <v>75</v>
      </c>
      <c r="M41" s="14">
        <v>350000</v>
      </c>
      <c r="N41" s="14">
        <f>M41-N42+N43</f>
        <v>375000</v>
      </c>
    </row>
    <row r="42" spans="12:17" ht="15.75" customHeight="1">
      <c r="L42" s="13" t="s">
        <v>76</v>
      </c>
      <c r="N42" s="14">
        <v>17000</v>
      </c>
    </row>
    <row r="43" spans="12:17" ht="15.75" customHeight="1">
      <c r="L43" s="13" t="s">
        <v>77</v>
      </c>
      <c r="N43" s="14">
        <v>42000</v>
      </c>
    </row>
    <row r="44" spans="12:17" ht="15.75" customHeight="1"/>
    <row r="45" spans="12:17" ht="15.75" customHeight="1"/>
    <row r="46" spans="12:17" ht="15.75" customHeight="1"/>
    <row r="47" spans="12:17" ht="15.75" customHeight="1"/>
    <row r="48" spans="12: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L17:Q17"/>
    <mergeCell ref="L18:Q18"/>
    <mergeCell ref="L19:Q19"/>
    <mergeCell ref="L1:M1"/>
    <mergeCell ref="A2:H2"/>
    <mergeCell ref="L2:M2"/>
    <mergeCell ref="A3:H3"/>
    <mergeCell ref="L3:M3"/>
  </mergeCells>
  <pageMargins left="0.7" right="0.7" top="0.75" bottom="0.75" header="0" footer="0"/>
  <pageSetup scale="3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U1000"/>
  <sheetViews>
    <sheetView workbookViewId="0">
      <selection activeCell="A11" sqref="A11:I22"/>
    </sheetView>
  </sheetViews>
  <sheetFormatPr defaultColWidth="14.453125" defaultRowHeight="15" customHeight="1"/>
  <cols>
    <col min="1" max="8" width="8.6328125" customWidth="1"/>
    <col min="9" max="9" width="23.453125" customWidth="1"/>
    <col min="10" max="26" width="8.6328125" customWidth="1"/>
  </cols>
  <sheetData>
    <row r="2" spans="1:21" ht="21">
      <c r="A2" s="27" t="s">
        <v>1</v>
      </c>
      <c r="B2" s="28"/>
      <c r="C2" s="28"/>
      <c r="D2" s="28"/>
      <c r="E2" s="28"/>
      <c r="F2" s="28"/>
      <c r="G2" s="28"/>
      <c r="H2" s="29"/>
    </row>
    <row r="3" spans="1:21" ht="21">
      <c r="A3" s="27" t="s">
        <v>2</v>
      </c>
      <c r="B3" s="28"/>
      <c r="C3" s="28"/>
      <c r="D3" s="28"/>
      <c r="E3" s="28"/>
      <c r="F3" s="28"/>
      <c r="G3" s="28"/>
      <c r="H3" s="29"/>
    </row>
    <row r="11" spans="1:21" ht="15" customHeight="1">
      <c r="A11" s="31" t="s">
        <v>78</v>
      </c>
      <c r="B11" s="22"/>
      <c r="C11" s="22"/>
      <c r="D11" s="22"/>
      <c r="E11" s="22"/>
      <c r="F11" s="22"/>
      <c r="G11" s="22"/>
      <c r="H11" s="22"/>
      <c r="I11" s="22"/>
      <c r="J11" s="19"/>
      <c r="K11" s="19"/>
      <c r="L11" s="19"/>
      <c r="M11" s="19"/>
      <c r="N11" s="19"/>
      <c r="O11" s="19"/>
      <c r="P11" s="19"/>
      <c r="Q11" s="19"/>
      <c r="R11" s="19"/>
      <c r="S11" s="19"/>
      <c r="T11" s="19"/>
      <c r="U11" s="19"/>
    </row>
    <row r="12" spans="1:21" ht="15" customHeight="1">
      <c r="A12" s="22"/>
      <c r="B12" s="22"/>
      <c r="C12" s="22"/>
      <c r="D12" s="22"/>
      <c r="E12" s="22"/>
      <c r="F12" s="22"/>
      <c r="G12" s="22"/>
      <c r="H12" s="22"/>
      <c r="I12" s="22"/>
      <c r="J12" s="19"/>
      <c r="K12" s="19"/>
      <c r="L12" s="19"/>
      <c r="M12" s="19"/>
      <c r="N12" s="19"/>
      <c r="O12" s="19"/>
      <c r="P12" s="19"/>
      <c r="Q12" s="19"/>
      <c r="R12" s="19"/>
      <c r="S12" s="19"/>
      <c r="T12" s="19"/>
      <c r="U12" s="19"/>
    </row>
    <row r="13" spans="1:21" ht="15" customHeight="1">
      <c r="A13" s="22"/>
      <c r="B13" s="22"/>
      <c r="C13" s="22"/>
      <c r="D13" s="22"/>
      <c r="E13" s="22"/>
      <c r="F13" s="22"/>
      <c r="G13" s="22"/>
      <c r="H13" s="22"/>
      <c r="I13" s="22"/>
      <c r="J13" s="19"/>
      <c r="K13" s="19"/>
      <c r="L13" s="19"/>
      <c r="M13" s="19"/>
      <c r="N13" s="19"/>
      <c r="O13" s="19"/>
      <c r="P13" s="19"/>
      <c r="Q13" s="19"/>
      <c r="R13" s="19"/>
      <c r="S13" s="19"/>
      <c r="T13" s="19"/>
      <c r="U13" s="19"/>
    </row>
    <row r="14" spans="1:21" ht="15" customHeight="1">
      <c r="A14" s="22"/>
      <c r="B14" s="22"/>
      <c r="C14" s="22"/>
      <c r="D14" s="22"/>
      <c r="E14" s="22"/>
      <c r="F14" s="22"/>
      <c r="G14" s="22"/>
      <c r="H14" s="22"/>
      <c r="I14" s="22"/>
      <c r="J14" s="19"/>
      <c r="K14" s="19"/>
      <c r="L14" s="19"/>
      <c r="M14" s="19"/>
      <c r="N14" s="19"/>
      <c r="O14" s="19"/>
      <c r="P14" s="19"/>
      <c r="Q14" s="19"/>
      <c r="R14" s="19"/>
      <c r="S14" s="19"/>
      <c r="T14" s="19"/>
      <c r="U14" s="19"/>
    </row>
    <row r="15" spans="1:21" ht="15" customHeight="1">
      <c r="A15" s="22"/>
      <c r="B15" s="22"/>
      <c r="C15" s="22"/>
      <c r="D15" s="22"/>
      <c r="E15" s="22"/>
      <c r="F15" s="22"/>
      <c r="G15" s="22"/>
      <c r="H15" s="22"/>
      <c r="I15" s="22"/>
      <c r="J15" s="19"/>
      <c r="K15" s="19"/>
      <c r="L15" s="19"/>
      <c r="M15" s="19"/>
      <c r="N15" s="19"/>
      <c r="O15" s="19"/>
      <c r="P15" s="19"/>
      <c r="Q15" s="19"/>
      <c r="R15" s="19"/>
      <c r="S15" s="19"/>
      <c r="T15" s="19"/>
      <c r="U15" s="19"/>
    </row>
    <row r="16" spans="1:21" ht="15" customHeight="1">
      <c r="A16" s="22"/>
      <c r="B16" s="22"/>
      <c r="C16" s="22"/>
      <c r="D16" s="22"/>
      <c r="E16" s="22"/>
      <c r="F16" s="22"/>
      <c r="G16" s="22"/>
      <c r="H16" s="22"/>
      <c r="I16" s="22"/>
      <c r="J16" s="19"/>
      <c r="K16" s="19"/>
      <c r="L16" s="19"/>
      <c r="M16" s="19"/>
      <c r="N16" s="19"/>
      <c r="O16" s="19"/>
      <c r="P16" s="19"/>
      <c r="Q16" s="19"/>
      <c r="R16" s="19"/>
      <c r="S16" s="19"/>
      <c r="T16" s="19"/>
      <c r="U16" s="19"/>
    </row>
    <row r="17" spans="1:21" ht="15" customHeight="1">
      <c r="A17" s="22"/>
      <c r="B17" s="22"/>
      <c r="C17" s="22"/>
      <c r="D17" s="22"/>
      <c r="E17" s="22"/>
      <c r="F17" s="22"/>
      <c r="G17" s="22"/>
      <c r="H17" s="22"/>
      <c r="I17" s="22"/>
      <c r="J17" s="19"/>
      <c r="K17" s="19"/>
      <c r="L17" s="19"/>
      <c r="M17" s="19"/>
      <c r="N17" s="19"/>
      <c r="O17" s="19"/>
      <c r="P17" s="19"/>
      <c r="Q17" s="19"/>
      <c r="R17" s="19"/>
      <c r="S17" s="19"/>
      <c r="T17" s="19"/>
      <c r="U17" s="19"/>
    </row>
    <row r="18" spans="1:21" ht="15" customHeight="1">
      <c r="A18" s="22"/>
      <c r="B18" s="22"/>
      <c r="C18" s="22"/>
      <c r="D18" s="22"/>
      <c r="E18" s="22"/>
      <c r="F18" s="22"/>
      <c r="G18" s="22"/>
      <c r="H18" s="22"/>
      <c r="I18" s="22"/>
      <c r="J18" s="19"/>
      <c r="K18" s="19"/>
      <c r="L18" s="19"/>
      <c r="M18" s="19"/>
      <c r="N18" s="19"/>
      <c r="O18" s="19"/>
      <c r="P18" s="19"/>
      <c r="Q18" s="19"/>
      <c r="R18" s="19"/>
      <c r="S18" s="19"/>
      <c r="T18" s="19"/>
      <c r="U18" s="19"/>
    </row>
    <row r="19" spans="1:21" ht="135.75" customHeight="1">
      <c r="A19" s="22"/>
      <c r="B19" s="22"/>
      <c r="C19" s="22"/>
      <c r="D19" s="22"/>
      <c r="E19" s="22"/>
      <c r="F19" s="22"/>
      <c r="G19" s="22"/>
      <c r="H19" s="22"/>
      <c r="I19" s="22"/>
      <c r="J19" s="19"/>
      <c r="K19" s="19"/>
      <c r="L19" s="19"/>
      <c r="M19" s="19"/>
      <c r="N19" s="19"/>
      <c r="O19" s="19"/>
      <c r="P19" s="19"/>
      <c r="Q19" s="19"/>
      <c r="R19" s="19"/>
      <c r="S19" s="19"/>
      <c r="T19" s="19"/>
      <c r="U19" s="19"/>
    </row>
    <row r="20" spans="1:21" ht="51.75" customHeight="1">
      <c r="A20" s="22"/>
      <c r="B20" s="22"/>
      <c r="C20" s="22"/>
      <c r="D20" s="22"/>
      <c r="E20" s="22"/>
      <c r="F20" s="22"/>
      <c r="G20" s="22"/>
      <c r="H20" s="22"/>
      <c r="I20" s="22"/>
    </row>
    <row r="21" spans="1:21" ht="15.75" customHeight="1">
      <c r="A21" s="22"/>
      <c r="B21" s="22"/>
      <c r="C21" s="22"/>
      <c r="D21" s="22"/>
      <c r="E21" s="22"/>
      <c r="F21" s="22"/>
      <c r="G21" s="22"/>
      <c r="H21" s="22"/>
      <c r="I21" s="22"/>
    </row>
    <row r="22" spans="1:21" ht="84.75" customHeight="1">
      <c r="A22" s="22"/>
      <c r="B22" s="22"/>
      <c r="C22" s="22"/>
      <c r="D22" s="22"/>
      <c r="E22" s="22"/>
      <c r="F22" s="22"/>
      <c r="G22" s="22"/>
      <c r="H22" s="22"/>
      <c r="I22" s="22"/>
    </row>
    <row r="23" spans="1:21" ht="15.75" customHeight="1"/>
    <row r="24" spans="1:21" ht="15.75" customHeight="1"/>
    <row r="25" spans="1:21" ht="15.75" customHeight="1"/>
    <row r="26" spans="1:21" ht="15.75" customHeight="1"/>
    <row r="27" spans="1:21" ht="15.75" customHeight="1"/>
    <row r="28" spans="1:21" ht="15.75" customHeight="1"/>
    <row r="29" spans="1:21" ht="15.75" customHeight="1"/>
    <row r="30" spans="1:21" ht="15.75" customHeight="1"/>
    <row r="31" spans="1:21" ht="15.75" customHeight="1"/>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H2"/>
    <mergeCell ref="A3:H3"/>
    <mergeCell ref="A11:I22"/>
  </mergeCells>
  <pageMargins left="0.7" right="0.7" top="0.75" bottom="0.75" header="0" footer="0"/>
  <pageSetup scale="8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P1000"/>
  <sheetViews>
    <sheetView workbookViewId="0"/>
  </sheetViews>
  <sheetFormatPr defaultColWidth="14.453125" defaultRowHeight="15" customHeight="1"/>
  <cols>
    <col min="1" max="1" width="10.6328125" customWidth="1"/>
    <col min="2" max="4" width="8.6328125" customWidth="1"/>
    <col min="5" max="5" width="14.6328125" customWidth="1"/>
    <col min="6" max="6" width="14.36328125" customWidth="1"/>
    <col min="7" max="7" width="8.6328125" customWidth="1"/>
    <col min="8" max="8" width="30.90625" customWidth="1"/>
    <col min="9" max="13" width="12.08984375" customWidth="1"/>
    <col min="14" max="14" width="12.453125" customWidth="1"/>
    <col min="15" max="16" width="12.08984375" customWidth="1"/>
    <col min="17" max="26" width="8.6328125" customWidth="1"/>
  </cols>
  <sheetData>
    <row r="2" spans="1:12" ht="21">
      <c r="A2" s="32" t="s">
        <v>79</v>
      </c>
      <c r="B2" s="22"/>
      <c r="C2" s="22"/>
      <c r="D2" s="22"/>
      <c r="E2" s="22"/>
      <c r="F2" s="22"/>
    </row>
    <row r="4" spans="1:12" ht="21">
      <c r="H4" s="33" t="s">
        <v>80</v>
      </c>
      <c r="I4" s="22"/>
      <c r="J4" s="22"/>
      <c r="K4" s="22"/>
      <c r="L4" s="22"/>
    </row>
    <row r="19" spans="8:16" ht="14.5">
      <c r="H19" s="16" t="s">
        <v>81</v>
      </c>
    </row>
    <row r="20" spans="8:16" ht="14.5">
      <c r="I20" s="13" t="s">
        <v>82</v>
      </c>
      <c r="J20" s="13" t="s">
        <v>83</v>
      </c>
      <c r="K20" s="13" t="s">
        <v>84</v>
      </c>
      <c r="L20" s="13" t="s">
        <v>85</v>
      </c>
      <c r="M20" s="13" t="s">
        <v>86</v>
      </c>
      <c r="N20" s="13" t="s">
        <v>87</v>
      </c>
      <c r="O20" s="13" t="s">
        <v>88</v>
      </c>
      <c r="P20" s="13" t="s">
        <v>89</v>
      </c>
    </row>
    <row r="21" spans="8:16" ht="15.75" customHeight="1">
      <c r="H21" s="13" t="s">
        <v>90</v>
      </c>
      <c r="I21" s="14">
        <v>300000</v>
      </c>
      <c r="J21" s="14">
        <v>400000</v>
      </c>
      <c r="K21" s="14">
        <v>450000</v>
      </c>
      <c r="L21" s="14">
        <v>400000</v>
      </c>
      <c r="M21" s="14">
        <v>425000</v>
      </c>
      <c r="N21" s="14">
        <v>400000</v>
      </c>
      <c r="O21" s="14">
        <v>435000</v>
      </c>
      <c r="P21" s="14">
        <v>400000</v>
      </c>
    </row>
    <row r="22" spans="8:16" ht="15.75" customHeight="1">
      <c r="I22" s="14"/>
      <c r="J22" s="14"/>
      <c r="K22" s="14"/>
      <c r="L22" s="14"/>
      <c r="M22" s="14"/>
      <c r="N22" s="14"/>
      <c r="O22" s="14"/>
      <c r="P22" s="14"/>
    </row>
    <row r="23" spans="8:16" ht="15.75" customHeight="1"/>
    <row r="24" spans="8:16" ht="15.75" customHeight="1">
      <c r="H24" s="16"/>
      <c r="I24" s="13" t="s">
        <v>82</v>
      </c>
      <c r="J24" s="13" t="s">
        <v>83</v>
      </c>
      <c r="K24" s="13" t="s">
        <v>84</v>
      </c>
      <c r="L24" s="13" t="s">
        <v>85</v>
      </c>
      <c r="M24" s="13" t="s">
        <v>86</v>
      </c>
      <c r="N24" s="13" t="s">
        <v>87</v>
      </c>
      <c r="O24" s="13" t="s">
        <v>88</v>
      </c>
      <c r="P24" s="13" t="s">
        <v>89</v>
      </c>
    </row>
    <row r="25" spans="8:16" ht="15.75" customHeight="1">
      <c r="H25" s="13" t="s">
        <v>91</v>
      </c>
      <c r="I25" s="14">
        <f t="shared" ref="I25:P25" si="0">I21*0.12*0.97</f>
        <v>34920</v>
      </c>
      <c r="J25" s="14">
        <f t="shared" si="0"/>
        <v>46560</v>
      </c>
      <c r="K25" s="14">
        <f t="shared" si="0"/>
        <v>52380</v>
      </c>
      <c r="L25" s="14">
        <f t="shared" si="0"/>
        <v>46560</v>
      </c>
      <c r="M25" s="14">
        <f t="shared" si="0"/>
        <v>49470</v>
      </c>
      <c r="N25" s="14">
        <f t="shared" si="0"/>
        <v>46560</v>
      </c>
      <c r="O25" s="14">
        <f t="shared" si="0"/>
        <v>50634</v>
      </c>
      <c r="P25" s="14">
        <f t="shared" si="0"/>
        <v>46560</v>
      </c>
    </row>
    <row r="26" spans="8:16" ht="15.75" customHeight="1">
      <c r="H26" s="13" t="s">
        <v>92</v>
      </c>
      <c r="J26" s="14">
        <f t="shared" ref="J26:P26" si="1">I21*0.75</f>
        <v>225000</v>
      </c>
      <c r="K26" s="14">
        <f t="shared" si="1"/>
        <v>300000</v>
      </c>
      <c r="L26" s="14">
        <f t="shared" si="1"/>
        <v>337500</v>
      </c>
      <c r="M26" s="14">
        <f t="shared" si="1"/>
        <v>300000</v>
      </c>
      <c r="N26" s="14">
        <f t="shared" si="1"/>
        <v>318750</v>
      </c>
      <c r="O26" s="14">
        <f t="shared" si="1"/>
        <v>300000</v>
      </c>
      <c r="P26" s="14">
        <f t="shared" si="1"/>
        <v>326250</v>
      </c>
    </row>
    <row r="27" spans="8:16" ht="15.75" customHeight="1">
      <c r="H27" s="13" t="s">
        <v>93</v>
      </c>
      <c r="K27" s="14">
        <f t="shared" ref="K27:P27" si="2">I21*0.13</f>
        <v>39000</v>
      </c>
      <c r="L27" s="14">
        <f t="shared" si="2"/>
        <v>52000</v>
      </c>
      <c r="M27" s="14">
        <f t="shared" si="2"/>
        <v>58500</v>
      </c>
      <c r="N27" s="14">
        <f t="shared" si="2"/>
        <v>52000</v>
      </c>
      <c r="O27" s="14">
        <f t="shared" si="2"/>
        <v>55250</v>
      </c>
      <c r="P27" s="14">
        <f t="shared" si="2"/>
        <v>52000</v>
      </c>
    </row>
    <row r="28" spans="8:16" ht="15.75" customHeight="1">
      <c r="H28" s="16" t="s">
        <v>94</v>
      </c>
      <c r="I28" s="14">
        <f t="shared" ref="I28:P28" si="3">SUM(I25:I27)</f>
        <v>34920</v>
      </c>
      <c r="J28" s="14">
        <f t="shared" si="3"/>
        <v>271560</v>
      </c>
      <c r="K28" s="14">
        <f t="shared" si="3"/>
        <v>391380</v>
      </c>
      <c r="L28" s="14">
        <f t="shared" si="3"/>
        <v>436060</v>
      </c>
      <c r="M28" s="14">
        <f t="shared" si="3"/>
        <v>407970</v>
      </c>
      <c r="N28" s="14">
        <f t="shared" si="3"/>
        <v>417310</v>
      </c>
      <c r="O28" s="14">
        <f t="shared" si="3"/>
        <v>405884</v>
      </c>
      <c r="P28" s="14">
        <f t="shared" si="3"/>
        <v>424810</v>
      </c>
    </row>
    <row r="29" spans="8:16" ht="15.75" customHeight="1"/>
    <row r="30" spans="8:16" ht="15.75" customHeight="1">
      <c r="H30" s="16" t="s">
        <v>95</v>
      </c>
    </row>
    <row r="31" spans="8:16" ht="15.75" customHeight="1">
      <c r="I31" s="13" t="s">
        <v>82</v>
      </c>
      <c r="J31" s="13" t="s">
        <v>83</v>
      </c>
      <c r="K31" s="13" t="s">
        <v>84</v>
      </c>
      <c r="L31" s="13" t="s">
        <v>85</v>
      </c>
      <c r="M31" s="13" t="s">
        <v>86</v>
      </c>
      <c r="N31" s="13" t="s">
        <v>87</v>
      </c>
      <c r="O31" s="13" t="s">
        <v>88</v>
      </c>
      <c r="P31" s="13" t="s">
        <v>89</v>
      </c>
    </row>
    <row r="32" spans="8:16" ht="15.75" customHeight="1">
      <c r="H32" s="13" t="s">
        <v>96</v>
      </c>
      <c r="I32" s="14">
        <f t="shared" ref="I32:P32" si="4">I21*0.8</f>
        <v>240000</v>
      </c>
      <c r="J32" s="14">
        <f t="shared" si="4"/>
        <v>320000</v>
      </c>
      <c r="K32" s="14">
        <f t="shared" si="4"/>
        <v>360000</v>
      </c>
      <c r="L32" s="14">
        <f t="shared" si="4"/>
        <v>320000</v>
      </c>
      <c r="M32" s="14">
        <f t="shared" si="4"/>
        <v>340000</v>
      </c>
      <c r="N32" s="14">
        <f t="shared" si="4"/>
        <v>320000</v>
      </c>
      <c r="O32" s="14">
        <f t="shared" si="4"/>
        <v>348000</v>
      </c>
      <c r="P32" s="14">
        <f t="shared" si="4"/>
        <v>320000</v>
      </c>
    </row>
    <row r="33" spans="8:16" ht="15.75" customHeight="1">
      <c r="I33" s="14"/>
      <c r="J33" s="14"/>
      <c r="K33" s="14"/>
      <c r="L33" s="14"/>
      <c r="M33" s="14"/>
      <c r="N33" s="14"/>
      <c r="O33" s="14"/>
      <c r="P33" s="14"/>
    </row>
    <row r="34" spans="8:16" ht="15.75" customHeight="1">
      <c r="H34" s="16" t="s">
        <v>97</v>
      </c>
      <c r="I34" s="14"/>
      <c r="J34" s="14"/>
      <c r="K34" s="14"/>
      <c r="L34" s="14"/>
      <c r="M34" s="14"/>
      <c r="N34" s="14"/>
      <c r="O34" s="14"/>
      <c r="P34" s="14"/>
    </row>
    <row r="35" spans="8:16" ht="15.75" customHeight="1">
      <c r="H35" s="13" t="s">
        <v>98</v>
      </c>
      <c r="J35" s="14">
        <f t="shared" ref="J35:P35" si="5">I32</f>
        <v>240000</v>
      </c>
      <c r="K35" s="14">
        <f t="shared" si="5"/>
        <v>320000</v>
      </c>
      <c r="L35" s="14">
        <f t="shared" si="5"/>
        <v>360000</v>
      </c>
      <c r="M35" s="14">
        <f t="shared" si="5"/>
        <v>320000</v>
      </c>
      <c r="N35" s="14">
        <f t="shared" si="5"/>
        <v>340000</v>
      </c>
      <c r="O35" s="14">
        <f t="shared" si="5"/>
        <v>320000</v>
      </c>
      <c r="P35" s="14">
        <f t="shared" si="5"/>
        <v>348000</v>
      </c>
    </row>
    <row r="36" spans="8:16" ht="15.75" customHeight="1">
      <c r="H36" s="13" t="s">
        <v>99</v>
      </c>
      <c r="I36" s="14">
        <f t="shared" ref="I36:P36" si="6">I21*0.06</f>
        <v>18000</v>
      </c>
      <c r="J36" s="14">
        <f t="shared" si="6"/>
        <v>24000</v>
      </c>
      <c r="K36" s="14">
        <f t="shared" si="6"/>
        <v>27000</v>
      </c>
      <c r="L36" s="14">
        <f t="shared" si="6"/>
        <v>24000</v>
      </c>
      <c r="M36" s="14">
        <f t="shared" si="6"/>
        <v>25500</v>
      </c>
      <c r="N36" s="14">
        <f t="shared" si="6"/>
        <v>24000</v>
      </c>
      <c r="O36" s="14">
        <f t="shared" si="6"/>
        <v>26100</v>
      </c>
      <c r="P36" s="14">
        <f t="shared" si="6"/>
        <v>24000</v>
      </c>
    </row>
    <row r="37" spans="8:16" ht="15.75" customHeight="1">
      <c r="H37" s="13" t="s">
        <v>100</v>
      </c>
      <c r="I37" s="14">
        <f t="shared" ref="I37:P37" si="7">I21*0.02</f>
        <v>6000</v>
      </c>
      <c r="J37" s="14">
        <f t="shared" si="7"/>
        <v>8000</v>
      </c>
      <c r="K37" s="14">
        <f t="shared" si="7"/>
        <v>9000</v>
      </c>
      <c r="L37" s="14">
        <f t="shared" si="7"/>
        <v>8000</v>
      </c>
      <c r="M37" s="14">
        <f t="shared" si="7"/>
        <v>8500</v>
      </c>
      <c r="N37" s="14">
        <f t="shared" si="7"/>
        <v>8000</v>
      </c>
      <c r="O37" s="14">
        <f t="shared" si="7"/>
        <v>8700</v>
      </c>
      <c r="P37" s="14">
        <f t="shared" si="7"/>
        <v>8000</v>
      </c>
    </row>
    <row r="38" spans="8:16" ht="15.75" customHeight="1">
      <c r="H38" s="13" t="s">
        <v>101</v>
      </c>
      <c r="I38" s="14">
        <f t="shared" ref="I38:P38" si="8">I21*0.03</f>
        <v>9000</v>
      </c>
      <c r="J38" s="14">
        <f t="shared" si="8"/>
        <v>12000</v>
      </c>
      <c r="K38" s="14">
        <f t="shared" si="8"/>
        <v>13500</v>
      </c>
      <c r="L38" s="14">
        <f t="shared" si="8"/>
        <v>12000</v>
      </c>
      <c r="M38" s="14">
        <f t="shared" si="8"/>
        <v>12750</v>
      </c>
      <c r="N38" s="14">
        <f t="shared" si="8"/>
        <v>12000</v>
      </c>
      <c r="O38" s="14">
        <f t="shared" si="8"/>
        <v>13050</v>
      </c>
      <c r="P38" s="14">
        <f t="shared" si="8"/>
        <v>12000</v>
      </c>
    </row>
    <row r="39" spans="8:16" ht="15.75" customHeight="1">
      <c r="H39" s="13" t="s">
        <v>102</v>
      </c>
      <c r="L39" s="14">
        <f t="shared" ref="L39:N39" si="9">L21*0.12</f>
        <v>48000</v>
      </c>
      <c r="M39" s="14">
        <f t="shared" si="9"/>
        <v>51000</v>
      </c>
      <c r="N39" s="14">
        <f t="shared" si="9"/>
        <v>48000</v>
      </c>
    </row>
    <row r="40" spans="8:16" ht="15.75" customHeight="1">
      <c r="H40" s="13" t="s">
        <v>103</v>
      </c>
      <c r="P40" s="14">
        <v>24000</v>
      </c>
    </row>
    <row r="41" spans="8:16" ht="15.75" customHeight="1">
      <c r="H41" s="13" t="s">
        <v>104</v>
      </c>
      <c r="I41" s="14"/>
      <c r="J41" s="14"/>
      <c r="K41" s="14">
        <v>15000</v>
      </c>
      <c r="L41" s="14">
        <f t="shared" ref="L41:P41" si="10">K41+5000</f>
        <v>20000</v>
      </c>
      <c r="M41" s="14">
        <f t="shared" si="10"/>
        <v>25000</v>
      </c>
      <c r="N41" s="14">
        <f t="shared" si="10"/>
        <v>30000</v>
      </c>
      <c r="O41" s="14">
        <f t="shared" si="10"/>
        <v>35000</v>
      </c>
      <c r="P41" s="14">
        <f t="shared" si="10"/>
        <v>40000</v>
      </c>
    </row>
    <row r="42" spans="8:16" ht="15.75" customHeight="1">
      <c r="H42" s="13" t="s">
        <v>52</v>
      </c>
      <c r="M42" s="14">
        <v>40000</v>
      </c>
      <c r="P42" s="14">
        <v>45000</v>
      </c>
    </row>
    <row r="43" spans="8:16" ht="15.75" customHeight="1">
      <c r="H43" s="13" t="s">
        <v>105</v>
      </c>
      <c r="M43" s="14">
        <v>180000</v>
      </c>
    </row>
    <row r="44" spans="8:16" ht="15.75" customHeight="1">
      <c r="H44" s="16" t="s">
        <v>106</v>
      </c>
      <c r="I44" s="14">
        <f t="shared" ref="I44:P44" si="11">SUM(I35:I43)</f>
        <v>33000</v>
      </c>
      <c r="J44" s="14">
        <f t="shared" si="11"/>
        <v>284000</v>
      </c>
      <c r="K44" s="14">
        <f t="shared" si="11"/>
        <v>384500</v>
      </c>
      <c r="L44" s="14">
        <f t="shared" si="11"/>
        <v>472000</v>
      </c>
      <c r="M44" s="14">
        <f t="shared" si="11"/>
        <v>662750</v>
      </c>
      <c r="N44" s="14">
        <f t="shared" si="11"/>
        <v>462000</v>
      </c>
      <c r="O44" s="14">
        <f t="shared" si="11"/>
        <v>402850</v>
      </c>
      <c r="P44" s="14">
        <f t="shared" si="11"/>
        <v>501000</v>
      </c>
    </row>
    <row r="45" spans="8:16" ht="15.75" customHeight="1"/>
    <row r="46" spans="8:16" ht="15.75" customHeight="1">
      <c r="H46" s="16" t="s">
        <v>107</v>
      </c>
    </row>
    <row r="47" spans="8:16" ht="15.75" customHeight="1">
      <c r="K47" s="13" t="s">
        <v>84</v>
      </c>
      <c r="L47" s="13" t="s">
        <v>85</v>
      </c>
      <c r="M47" s="13" t="s">
        <v>86</v>
      </c>
      <c r="N47" s="13" t="s">
        <v>87</v>
      </c>
      <c r="O47" s="13" t="s">
        <v>88</v>
      </c>
      <c r="P47" s="13" t="s">
        <v>89</v>
      </c>
    </row>
    <row r="48" spans="8:16" ht="15.75" customHeight="1">
      <c r="H48" s="12" t="s">
        <v>108</v>
      </c>
      <c r="I48" s="14"/>
      <c r="K48" s="14">
        <f t="shared" ref="K48:P48" si="12">K28</f>
        <v>391380</v>
      </c>
      <c r="L48" s="14">
        <f t="shared" si="12"/>
        <v>436060</v>
      </c>
      <c r="M48" s="14">
        <f t="shared" si="12"/>
        <v>407970</v>
      </c>
      <c r="N48" s="14">
        <f t="shared" si="12"/>
        <v>417310</v>
      </c>
      <c r="O48" s="14">
        <f t="shared" si="12"/>
        <v>405884</v>
      </c>
      <c r="P48" s="14">
        <f t="shared" si="12"/>
        <v>424810</v>
      </c>
    </row>
    <row r="49" spans="8:16" ht="15.75" customHeight="1">
      <c r="H49" s="12" t="s">
        <v>109</v>
      </c>
      <c r="K49" s="14">
        <f t="shared" ref="K49:P49" si="13">K44*-1</f>
        <v>-384500</v>
      </c>
      <c r="L49" s="14">
        <f t="shared" si="13"/>
        <v>-472000</v>
      </c>
      <c r="M49" s="14">
        <f t="shared" si="13"/>
        <v>-662750</v>
      </c>
      <c r="N49" s="14">
        <f t="shared" si="13"/>
        <v>-462000</v>
      </c>
      <c r="O49" s="14">
        <f t="shared" si="13"/>
        <v>-402850</v>
      </c>
      <c r="P49" s="14">
        <f t="shared" si="13"/>
        <v>-501000</v>
      </c>
    </row>
    <row r="50" spans="8:16" ht="15.75" customHeight="1">
      <c r="H50" s="12" t="s">
        <v>110</v>
      </c>
      <c r="K50" s="14">
        <v>15000</v>
      </c>
      <c r="L50" s="14">
        <f t="shared" ref="L50:P50" si="14">K51</f>
        <v>21880</v>
      </c>
      <c r="M50" s="14">
        <f t="shared" si="14"/>
        <v>-14060</v>
      </c>
      <c r="N50" s="14">
        <f t="shared" si="14"/>
        <v>-268840</v>
      </c>
      <c r="O50" s="14">
        <f t="shared" si="14"/>
        <v>-313530</v>
      </c>
      <c r="P50" s="14">
        <f t="shared" si="14"/>
        <v>-310496</v>
      </c>
    </row>
    <row r="51" spans="8:16" ht="15.75" customHeight="1">
      <c r="H51" s="12" t="s">
        <v>111</v>
      </c>
      <c r="K51" s="14">
        <f t="shared" ref="K51:P51" si="15">SUM(K48:K50)</f>
        <v>21880</v>
      </c>
      <c r="L51" s="14">
        <f t="shared" si="15"/>
        <v>-14060</v>
      </c>
      <c r="M51" s="14">
        <f t="shared" si="15"/>
        <v>-268840</v>
      </c>
      <c r="N51" s="14">
        <f t="shared" si="15"/>
        <v>-313530</v>
      </c>
      <c r="O51" s="14">
        <f t="shared" si="15"/>
        <v>-310496</v>
      </c>
      <c r="P51" s="14">
        <f t="shared" si="15"/>
        <v>-386686</v>
      </c>
    </row>
    <row r="52" spans="8:16" ht="15.75" customHeight="1"/>
    <row r="53" spans="8:16" ht="15.75" customHeight="1">
      <c r="H53" s="13" t="s">
        <v>112</v>
      </c>
      <c r="K53" s="14">
        <f t="shared" ref="K53:P53" si="16">K51-15000</f>
        <v>6880</v>
      </c>
      <c r="L53" s="14">
        <f t="shared" si="16"/>
        <v>-29060</v>
      </c>
      <c r="M53" s="14">
        <f t="shared" si="16"/>
        <v>-283840</v>
      </c>
      <c r="N53" s="14">
        <f t="shared" si="16"/>
        <v>-328530</v>
      </c>
      <c r="O53" s="14">
        <f t="shared" si="16"/>
        <v>-325496</v>
      </c>
      <c r="P53" s="14">
        <f t="shared" si="16"/>
        <v>-401686</v>
      </c>
    </row>
    <row r="54" spans="8:16" ht="15.75" customHeight="1"/>
    <row r="55" spans="8:16" ht="15.75" customHeight="1"/>
    <row r="56" spans="8:16" ht="15.75" customHeight="1"/>
    <row r="57" spans="8:16" ht="15.75" customHeight="1"/>
    <row r="58" spans="8:16" ht="15.75" customHeight="1"/>
    <row r="59" spans="8:16" ht="15.75" customHeight="1"/>
    <row r="60" spans="8:16" ht="15.75" customHeight="1"/>
    <row r="61" spans="8:16" ht="15.75" customHeight="1"/>
    <row r="62" spans="8:16" ht="15.75" customHeight="1"/>
    <row r="63" spans="8:16" ht="15.75" customHeight="1"/>
    <row r="64" spans="8: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F2"/>
    <mergeCell ref="H4:L4"/>
  </mergeCells>
  <pageMargins left="0.7" right="0.7" top="0.75" bottom="0.75" header="0" footer="0"/>
  <pageSetup scale="4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X1000"/>
  <sheetViews>
    <sheetView workbookViewId="0"/>
  </sheetViews>
  <sheetFormatPr defaultColWidth="14.453125" defaultRowHeight="15" customHeight="1"/>
  <cols>
    <col min="1" max="19" width="8.6328125" customWidth="1"/>
    <col min="20" max="20" width="31.08984375" customWidth="1"/>
    <col min="21" max="21" width="13.08984375" customWidth="1"/>
    <col min="22" max="23" width="8.6328125" customWidth="1"/>
    <col min="24" max="24" width="13.08984375" customWidth="1"/>
    <col min="25" max="26" width="8.6328125" customWidth="1"/>
  </cols>
  <sheetData>
    <row r="2" spans="1:24" ht="21">
      <c r="A2" s="27" t="s">
        <v>1</v>
      </c>
      <c r="B2" s="28"/>
      <c r="C2" s="28"/>
      <c r="D2" s="28"/>
      <c r="E2" s="28"/>
      <c r="F2" s="28"/>
      <c r="G2" s="28"/>
      <c r="H2" s="29"/>
    </row>
    <row r="3" spans="1:24" ht="21">
      <c r="A3" s="27" t="s">
        <v>2</v>
      </c>
      <c r="B3" s="28"/>
      <c r="C3" s="28"/>
      <c r="D3" s="28"/>
      <c r="E3" s="28"/>
      <c r="F3" s="28"/>
      <c r="G3" s="28"/>
      <c r="H3" s="29"/>
      <c r="T3" s="30" t="s">
        <v>113</v>
      </c>
      <c r="U3" s="22"/>
      <c r="V3" s="22"/>
    </row>
    <row r="4" spans="1:24" ht="14.5">
      <c r="T4" s="30" t="s">
        <v>114</v>
      </c>
      <c r="U4" s="22"/>
      <c r="V4" s="22"/>
    </row>
    <row r="5" spans="1:24" ht="14.5">
      <c r="T5" s="30" t="s">
        <v>115</v>
      </c>
      <c r="U5" s="22"/>
      <c r="V5" s="22"/>
    </row>
    <row r="6" spans="1:24" ht="14.5">
      <c r="T6" s="13" t="s">
        <v>47</v>
      </c>
      <c r="U6" s="14">
        <v>6500000</v>
      </c>
    </row>
    <row r="7" spans="1:24" ht="14.5">
      <c r="T7" s="13" t="s">
        <v>48</v>
      </c>
      <c r="U7" s="15">
        <f>U6*V7</f>
        <v>4744039.408866995</v>
      </c>
      <c r="V7" s="13">
        <f>3704000/5075000</f>
        <v>0.72985221674876843</v>
      </c>
      <c r="X7" s="14"/>
    </row>
    <row r="8" spans="1:24" ht="14.5">
      <c r="T8" s="13" t="s">
        <v>49</v>
      </c>
      <c r="U8" s="14">
        <f>U6-U7</f>
        <v>1755960.591133005</v>
      </c>
    </row>
    <row r="10" spans="1:24" ht="18" customHeight="1">
      <c r="T10" s="13" t="s">
        <v>116</v>
      </c>
      <c r="U10" s="14">
        <f>V10*U6</f>
        <v>832512.315270936</v>
      </c>
      <c r="V10" s="13">
        <f>650000/5075000</f>
        <v>0.12807881773399016</v>
      </c>
    </row>
    <row r="11" spans="1:24" ht="15" customHeight="1">
      <c r="T11" s="13" t="s">
        <v>117</v>
      </c>
      <c r="U11" s="14">
        <f>V11*U6</f>
        <v>532807.88177339896</v>
      </c>
      <c r="V11" s="13">
        <f>416000/5075000</f>
        <v>8.1970443349753688E-2</v>
      </c>
    </row>
    <row r="12" spans="1:24" ht="15" customHeight="1">
      <c r="T12" s="13" t="s">
        <v>118</v>
      </c>
      <c r="U12" s="15">
        <v>185000</v>
      </c>
    </row>
    <row r="13" spans="1:24" ht="17.25" customHeight="1">
      <c r="T13" s="13" t="s">
        <v>119</v>
      </c>
      <c r="U13" s="14">
        <f>SUM(U10:U12)</f>
        <v>1550320.1970443348</v>
      </c>
    </row>
    <row r="15" spans="1:24" ht="15.75" customHeight="1">
      <c r="T15" s="13" t="s">
        <v>120</v>
      </c>
      <c r="U15" s="14">
        <f>U8-U13</f>
        <v>205640.39408867015</v>
      </c>
    </row>
    <row r="16" spans="1:24" ht="13.5" customHeight="1">
      <c r="T16" s="13" t="s">
        <v>121</v>
      </c>
      <c r="U16" s="15">
        <v>97000</v>
      </c>
    </row>
    <row r="17" spans="20:22" ht="14.25" customHeight="1">
      <c r="T17" s="13" t="s">
        <v>122</v>
      </c>
      <c r="U17" s="14">
        <f>U15-U16</f>
        <v>108640.39408867015</v>
      </c>
    </row>
    <row r="19" spans="20:22" ht="14.5">
      <c r="T19" s="13" t="s">
        <v>52</v>
      </c>
      <c r="U19" s="15">
        <f>U17*0.4</f>
        <v>43456.157635468058</v>
      </c>
    </row>
    <row r="20" spans="20:22" ht="15" customHeight="1">
      <c r="T20" s="13" t="s">
        <v>123</v>
      </c>
      <c r="U20" s="14">
        <f>U17-U19</f>
        <v>65184.236453202087</v>
      </c>
    </row>
    <row r="21" spans="20:22" ht="15.75" customHeight="1"/>
    <row r="22" spans="20:22" ht="15.75" customHeight="1">
      <c r="T22" s="30" t="s">
        <v>113</v>
      </c>
      <c r="U22" s="22"/>
    </row>
    <row r="23" spans="20:22" ht="15.75" customHeight="1">
      <c r="T23" s="30" t="s">
        <v>56</v>
      </c>
      <c r="U23" s="22"/>
    </row>
    <row r="24" spans="20:22" ht="15.75" customHeight="1">
      <c r="T24" s="13" t="s">
        <v>124</v>
      </c>
    </row>
    <row r="25" spans="20:22" ht="15.75" customHeight="1">
      <c r="T25" s="13" t="s">
        <v>60</v>
      </c>
      <c r="U25" s="14">
        <v>25000</v>
      </c>
    </row>
    <row r="26" spans="20:22" ht="15.75" customHeight="1">
      <c r="T26" s="13" t="s">
        <v>64</v>
      </c>
      <c r="U26" s="14">
        <f>V26*U6</f>
        <v>902777.77777777787</v>
      </c>
      <c r="V26" s="13">
        <f>50/360</f>
        <v>0.1388888888888889</v>
      </c>
    </row>
    <row r="27" spans="20:22" ht="15.75" customHeight="1">
      <c r="T27" s="13" t="s">
        <v>66</v>
      </c>
      <c r="U27" s="15">
        <f>U7/7</f>
        <v>677719.91555242788</v>
      </c>
    </row>
    <row r="28" spans="20:22" ht="15.75" customHeight="1">
      <c r="T28" s="13" t="s">
        <v>125</v>
      </c>
      <c r="U28" s="14">
        <f>U25+U26+U27</f>
        <v>1605497.6933302057</v>
      </c>
    </row>
    <row r="29" spans="20:22" ht="15.75" customHeight="1"/>
    <row r="30" spans="20:22" ht="15.75" customHeight="1">
      <c r="T30" s="12" t="s">
        <v>126</v>
      </c>
      <c r="U30" s="14">
        <f>2093819+400000</f>
        <v>2493819</v>
      </c>
    </row>
    <row r="31" spans="20:22" ht="15.75" customHeight="1">
      <c r="T31" s="12" t="s">
        <v>127</v>
      </c>
      <c r="U31" s="15">
        <f>185000+500000</f>
        <v>685000</v>
      </c>
    </row>
    <row r="32" spans="20:22" ht="15.75" customHeight="1">
      <c r="T32" s="12" t="s">
        <v>70</v>
      </c>
      <c r="U32" s="14">
        <f>U30-U31</f>
        <v>1808819</v>
      </c>
    </row>
    <row r="33" spans="20:21" ht="15.75" customHeight="1"/>
    <row r="34" spans="20:21" ht="15.75" customHeight="1">
      <c r="T34" s="13" t="s">
        <v>128</v>
      </c>
      <c r="U34" s="14">
        <f>U32+U28</f>
        <v>3414316.693330206</v>
      </c>
    </row>
    <row r="35" spans="20:21" ht="15.75" customHeight="1"/>
    <row r="36" spans="20:21" ht="15.75" customHeight="1">
      <c r="T36" s="13" t="s">
        <v>129</v>
      </c>
    </row>
    <row r="37" spans="20:21" ht="15.75" customHeight="1">
      <c r="T37" s="13" t="s">
        <v>61</v>
      </c>
      <c r="U37" s="14">
        <f>230000*1.2</f>
        <v>276000</v>
      </c>
    </row>
    <row r="38" spans="20:21" ht="15.75" customHeight="1">
      <c r="T38" s="13" t="s">
        <v>130</v>
      </c>
      <c r="U38" s="14">
        <v>311000</v>
      </c>
    </row>
    <row r="39" spans="20:21" ht="15.75" customHeight="1">
      <c r="T39" s="13" t="s">
        <v>131</v>
      </c>
      <c r="U39" s="15">
        <v>75000</v>
      </c>
    </row>
    <row r="40" spans="20:21" ht="15.75" customHeight="1">
      <c r="T40" s="13" t="s">
        <v>69</v>
      </c>
      <c r="U40" s="14">
        <f>SUM(U37:U39)</f>
        <v>662000</v>
      </c>
    </row>
    <row r="41" spans="20:21" ht="15.75" customHeight="1"/>
    <row r="42" spans="20:21" ht="15.75" customHeight="1">
      <c r="T42" s="13" t="s">
        <v>71</v>
      </c>
      <c r="U42" s="15">
        <v>1165250</v>
      </c>
    </row>
    <row r="43" spans="20:21" ht="15.75" customHeight="1">
      <c r="T43" s="13" t="s">
        <v>132</v>
      </c>
      <c r="U43" s="14">
        <f>U40+U42</f>
        <v>1827250</v>
      </c>
    </row>
    <row r="44" spans="20:21" ht="15.75" customHeight="1"/>
    <row r="45" spans="20:21" ht="15.75" customHeight="1">
      <c r="T45" s="13" t="s">
        <v>133</v>
      </c>
    </row>
    <row r="46" spans="20:21" ht="15.75" customHeight="1">
      <c r="T46" s="13" t="s">
        <v>134</v>
      </c>
      <c r="U46" s="14">
        <v>50000</v>
      </c>
    </row>
    <row r="47" spans="20:21" ht="15.75" customHeight="1">
      <c r="T47" s="13" t="s">
        <v>73</v>
      </c>
      <c r="U47" s="14">
        <v>400000</v>
      </c>
    </row>
    <row r="48" spans="20:21" ht="15.75" customHeight="1">
      <c r="T48" s="13" t="s">
        <v>135</v>
      </c>
      <c r="U48" s="14">
        <v>593750</v>
      </c>
    </row>
    <row r="49" spans="20:21" ht="15.75" customHeight="1">
      <c r="T49" s="13" t="s">
        <v>55</v>
      </c>
      <c r="U49" s="15">
        <f>(U20-20000)+300000</f>
        <v>345184.23645320209</v>
      </c>
    </row>
    <row r="50" spans="20:21" ht="15.75" customHeight="1">
      <c r="T50" s="13" t="s">
        <v>136</v>
      </c>
      <c r="U50" s="14">
        <f>SUM(U46:U49)</f>
        <v>1388934.2364532021</v>
      </c>
    </row>
    <row r="51" spans="20:21" ht="15.75" customHeight="1"/>
    <row r="52" spans="20:21" ht="15.75" customHeight="1">
      <c r="T52" s="13" t="s">
        <v>74</v>
      </c>
      <c r="U52" s="14">
        <f>U50+U43</f>
        <v>3216184.2364532021</v>
      </c>
    </row>
    <row r="53" spans="20:21" ht="15.75" customHeight="1"/>
    <row r="54" spans="20:21" ht="15.75" customHeight="1">
      <c r="T54" s="16" t="s">
        <v>67</v>
      </c>
      <c r="U54" s="20">
        <f>U34-U52</f>
        <v>198132.45687700389</v>
      </c>
    </row>
    <row r="55" spans="20:21" ht="15.75" customHeight="1"/>
    <row r="56" spans="20:21" ht="15.75" customHeight="1"/>
    <row r="57" spans="20:21" ht="15.75" customHeight="1"/>
    <row r="58" spans="20:21" ht="15.75" customHeight="1"/>
    <row r="59" spans="20:21" ht="15.75" customHeight="1"/>
    <row r="60" spans="20:21" ht="15.75" customHeight="1"/>
    <row r="61" spans="20:21" ht="15.75" customHeight="1"/>
    <row r="62" spans="20:21" ht="15.75" customHeight="1"/>
    <row r="63" spans="20:21" ht="15.75" customHeight="1"/>
    <row r="64" spans="20:2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T22:U22"/>
    <mergeCell ref="T23:U23"/>
    <mergeCell ref="A2:H2"/>
    <mergeCell ref="A3:H3"/>
    <mergeCell ref="T3:V3"/>
    <mergeCell ref="T4:V4"/>
    <mergeCell ref="T5:V5"/>
  </mergeCells>
  <pageMargins left="0.7" right="0.7" top="0.75" bottom="0.75" header="0" footer="0"/>
  <pageSetup scale="4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Portada</vt:lpstr>
      <vt:lpstr>PREGUNTAS DE TEORÍA</vt:lpstr>
      <vt:lpstr>TAREA P3-15</vt:lpstr>
      <vt:lpstr>TAREA P3-16</vt:lpstr>
      <vt:lpstr>TAREA 00</vt:lpstr>
      <vt:lpstr>CASO INTEGRADOR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Marcello Montes de Oca</cp:lastModifiedBy>
  <cp:lastPrinted>2022-03-26T23:10:07Z</cp:lastPrinted>
  <dcterms:modified xsi:type="dcterms:W3CDTF">2022-03-26T23:10:09Z</dcterms:modified>
</cp:coreProperties>
</file>