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66925"/>
  <mc:AlternateContent xmlns:mc="http://schemas.openxmlformats.org/markup-compatibility/2006">
    <mc:Choice Requires="x15">
      <x15ac:absPath xmlns:x15ac="http://schemas.microsoft.com/office/spreadsheetml/2010/11/ac" url="C:\Users\cid_c\OneDrive\Documentos\UNITEC\MAESTRIA UNITEC\FINANZAS GERENCIALES SÁBADOS\FINANZAS GERENCIALES 2Q2021 MAYO - JUNIO 2021\SEMANA 3\"/>
    </mc:Choice>
  </mc:AlternateContent>
  <xr:revisionPtr revIDLastSave="0" documentId="8_{5311DDA9-EB08-4416-A28B-01E71F6CAE51}" xr6:coauthVersionLast="47" xr6:coauthVersionMax="47" xr10:uidLastSave="{00000000-0000-0000-0000-000000000000}"/>
  <bookViews>
    <workbookView xWindow="-120" yWindow="-120" windowWidth="20730" windowHeight="11160" xr2:uid="{00000000-000D-0000-FFFF-FFFF00000000}"/>
  </bookViews>
  <sheets>
    <sheet name="EJ. PROFORMA E.R" sheetId="2" r:id="rId1"/>
    <sheet name="EJ. PROFORMA B.G.1" sheetId="3" r:id="rId2"/>
    <sheet name="EJ. PROFORMA B.G.2" sheetId="4" r:id="rId3"/>
  </sheets>
  <calcPr calcId="191028"/>
</workbook>
</file>

<file path=xl/calcChain.xml><?xml version="1.0" encoding="utf-8"?>
<calcChain xmlns="http://schemas.openxmlformats.org/spreadsheetml/2006/main">
  <c r="G18" i="4" l="1"/>
  <c r="G39" i="4"/>
  <c r="M24" i="4"/>
  <c r="K17" i="4"/>
  <c r="M8" i="4"/>
  <c r="M7" i="4"/>
  <c r="K8" i="4"/>
  <c r="D29" i="2"/>
  <c r="P23" i="4"/>
  <c r="M23" i="4"/>
  <c r="K16" i="4"/>
  <c r="D30" i="2"/>
  <c r="D26" i="2"/>
  <c r="G17" i="4"/>
  <c r="K7" i="4"/>
  <c r="G20" i="4"/>
  <c r="M26" i="4"/>
  <c r="M16" i="4"/>
  <c r="L16" i="4"/>
  <c r="G7" i="4"/>
  <c r="G15" i="4"/>
  <c r="G13" i="4"/>
  <c r="G16" i="4" s="1"/>
  <c r="G19" i="4" s="1"/>
  <c r="G25" i="3"/>
  <c r="G27" i="3" s="1"/>
  <c r="G9" i="4"/>
  <c r="G8" i="4"/>
  <c r="F10" i="3"/>
  <c r="G11" i="3" s="1"/>
  <c r="G9" i="3"/>
  <c r="K29" i="2"/>
  <c r="D27" i="2"/>
  <c r="K26" i="2"/>
  <c r="D8" i="2"/>
  <c r="D6" i="2"/>
  <c r="D7" i="2" s="1"/>
  <c r="K8" i="2"/>
  <c r="K6" i="2"/>
  <c r="G13" i="3"/>
  <c r="G16" i="3" s="1"/>
  <c r="G18" i="3" s="1"/>
  <c r="G8" i="3"/>
  <c r="G10" i="4" l="1"/>
  <c r="G12" i="3"/>
  <c r="G36" i="3" s="1"/>
  <c r="D32" i="2"/>
  <c r="L17" i="4"/>
  <c r="M17" i="4"/>
  <c r="P24" i="4" s="1"/>
  <c r="G20" i="3"/>
  <c r="G22" i="3" s="1"/>
  <c r="G29" i="3"/>
  <c r="D9" i="2"/>
  <c r="D11" i="2" s="1"/>
  <c r="D12" i="2" s="1"/>
  <c r="D13" i="2"/>
  <c r="D15" i="2" s="1"/>
  <c r="G11" i="4" l="1"/>
  <c r="G12" i="4" s="1"/>
  <c r="G38" i="4" s="1"/>
  <c r="D33" i="2"/>
  <c r="D34" i="2"/>
  <c r="D36" i="2" s="1"/>
  <c r="G38" i="3"/>
  <c r="P25" i="4"/>
  <c r="M25" i="4"/>
  <c r="M27" i="4" l="1"/>
  <c r="P26" i="4" s="1"/>
  <c r="P27" i="4" s="1"/>
  <c r="G21" i="4" s="1"/>
  <c r="G40" i="4" s="1"/>
  <c r="G22" i="4" s="1"/>
</calcChain>
</file>

<file path=xl/sharedStrings.xml><?xml version="1.0" encoding="utf-8"?>
<sst xmlns="http://schemas.openxmlformats.org/spreadsheetml/2006/main" count="138" uniqueCount="106">
  <si>
    <t>Inciso A (método porcentaje de ventas)</t>
  </si>
  <si>
    <t xml:space="preserve">Metroline Manufacturing </t>
  </si>
  <si>
    <t>Estado de resultados proforma del año 2007</t>
  </si>
  <si>
    <t>que finaliza el 31 de diciembre</t>
  </si>
  <si>
    <t xml:space="preserve">Ingresos por ventas </t>
  </si>
  <si>
    <t xml:space="preserve">Costos de productos vendidos/ ventas = 910,000.00/  1,400,000.00 = </t>
  </si>
  <si>
    <t>(-)Costo de los bienes vendidos (0.65*ventas)</t>
  </si>
  <si>
    <t>Utilidad bruta</t>
  </si>
  <si>
    <t> </t>
  </si>
  <si>
    <t>(-) Gastos operativos (0.086*ventas)</t>
  </si>
  <si>
    <t xml:space="preserve">Gastos de operación/ ventas = 120,000.00/ 1,400,000.00 = </t>
  </si>
  <si>
    <t xml:space="preserve">Utilidad en operación </t>
  </si>
  <si>
    <t>(-)Gastos por intereses</t>
  </si>
  <si>
    <t>Utilidad antes del ISR</t>
  </si>
  <si>
    <t>Impuesto sobre la renta (tasa =40%)</t>
  </si>
  <si>
    <t>Utilidad neta despues de impuestos</t>
  </si>
  <si>
    <t>(-) dividendos en efectivo</t>
  </si>
  <si>
    <t>Ganancias retenidas</t>
  </si>
  <si>
    <t>Inciso B (basado en datos de costos fijos y variables)</t>
  </si>
  <si>
    <t>Clasificación de costos y gastos en componentes fijos y variables</t>
  </si>
  <si>
    <t>del año 2007 que finaliza el 31 de diciembre</t>
  </si>
  <si>
    <t>Ventas</t>
  </si>
  <si>
    <t>Costo de los bienes vendidos</t>
  </si>
  <si>
    <t>Costo fijo</t>
  </si>
  <si>
    <t>(-) costo variable (0.5*ventas)</t>
  </si>
  <si>
    <t>Costo variable / ventas = 700,000.00/ 1,400,000.00 =</t>
  </si>
  <si>
    <t>Gastos Fijos</t>
  </si>
  <si>
    <t>Gastos Variables (0.06*ventas)</t>
  </si>
  <si>
    <t>Gasto variable/ ventas = 84,000/1,400,000 =</t>
  </si>
  <si>
    <t>(-) gastos por intereses</t>
  </si>
  <si>
    <t>(-)Impuesto(tasa = 40%)</t>
  </si>
  <si>
    <t>Dividendos en efectivo</t>
  </si>
  <si>
    <t>Inciso C</t>
  </si>
  <si>
    <t>Inciso A (método crítico)</t>
  </si>
  <si>
    <t>Leonard Industries</t>
  </si>
  <si>
    <t>Balance General proforma</t>
  </si>
  <si>
    <t>31 de diciembre de 2007</t>
  </si>
  <si>
    <t>Activos</t>
  </si>
  <si>
    <t>Efectivo</t>
  </si>
  <si>
    <t>Valores negociables</t>
  </si>
  <si>
    <t>Cuentas por cobrar (10% de ventas)</t>
  </si>
  <si>
    <t>Inventarios (12% de ventas)</t>
  </si>
  <si>
    <t>Activos fijos netos (600,000 + 90,000)</t>
  </si>
  <si>
    <t>Depreciaciones</t>
  </si>
  <si>
    <t>Total de activos</t>
  </si>
  <si>
    <t>Cuentas por pagar (14% de ventas)</t>
  </si>
  <si>
    <t>Deudas acumuladas</t>
  </si>
  <si>
    <t>Otros pasivos corrientes</t>
  </si>
  <si>
    <t>Total de pasivos corrientes</t>
  </si>
  <si>
    <t>Deuda a largo plazo</t>
  </si>
  <si>
    <t>Total Pasivos</t>
  </si>
  <si>
    <t>Acciones comunes</t>
  </si>
  <si>
    <t>Financiamiento externo requerido</t>
  </si>
  <si>
    <t>Total de pasivos y patrimonio de los accionistas</t>
  </si>
  <si>
    <t>Ganancias Retenidas 2007</t>
  </si>
  <si>
    <t xml:space="preserve">Ventas * Margen de utilidad = (3,000,000.00*0.04) = </t>
  </si>
  <si>
    <t>Dividendos</t>
  </si>
  <si>
    <t xml:space="preserve">Ganancias retenidas </t>
  </si>
  <si>
    <t>(+) ganancias retenidas 2006</t>
  </si>
  <si>
    <t>Inciso B</t>
  </si>
  <si>
    <t>Financiamiento</t>
  </si>
  <si>
    <t xml:space="preserve">(Valor +) = la empresa no genere suficiente financiamiento interno para apoyar su crecimiento de activos proyectados  </t>
  </si>
  <si>
    <t>(Valor -) = La empresa si genera internamente más financiamiento del necesario para apoyar su crecimiento de activos proyectados</t>
  </si>
  <si>
    <t>Respuesta</t>
  </si>
  <si>
    <t>Leonard Industries necesitará $53,000.00 de financiamiento externo para poder cumplir con el crecimiento de activos proyectados</t>
  </si>
  <si>
    <t xml:space="preserve">Inciso C </t>
  </si>
  <si>
    <t>Inciso A</t>
  </si>
  <si>
    <t>Peabody &amp; Peabody</t>
  </si>
  <si>
    <t>Al 31 de diciembre de 2008</t>
  </si>
  <si>
    <t>Calculo de activos fijos netos</t>
  </si>
  <si>
    <t>Cuentas por cobrar (12% de ventas)</t>
  </si>
  <si>
    <t>Inventario (18%)</t>
  </si>
  <si>
    <t>Total de activos corrientes</t>
  </si>
  <si>
    <t>Activos fijos netos</t>
  </si>
  <si>
    <t xml:space="preserve">Total de activos  </t>
  </si>
  <si>
    <t>Total pasivos corrientes</t>
  </si>
  <si>
    <t>Total pasivos</t>
  </si>
  <si>
    <t>Capital en acciones comunes</t>
  </si>
  <si>
    <t>Ganancias retenidas 2007</t>
  </si>
  <si>
    <t>Ganancias retenidas 2008</t>
  </si>
  <si>
    <t>Financiemiento externo requerido</t>
  </si>
  <si>
    <t>Total pasivos y patrimonio neto</t>
  </si>
  <si>
    <t>ventas*margen de utilidad</t>
  </si>
  <si>
    <t>Leonard Industries podrá evitar la situación B al reducir los dividendos o aumentar los pasivos de la empresa.</t>
  </si>
  <si>
    <t>SIN CAMBIOS</t>
  </si>
  <si>
    <t>SIN CAMBIOS 40% ISRT</t>
  </si>
  <si>
    <t>REDACCIÓN PAGO DE DIVIDENDOS</t>
  </si>
  <si>
    <t>GANANCIA RETENIDA AL CIERRE DE 2006</t>
  </si>
  <si>
    <t>Ganancia Retenida 2007</t>
  </si>
  <si>
    <t>POR DIFERENCIA</t>
  </si>
  <si>
    <t>Financiamiento adicional en 2007</t>
  </si>
  <si>
    <t>BALANCE GENERAL PROFORMA</t>
  </si>
  <si>
    <t>1 Y 9</t>
  </si>
  <si>
    <t>ACT FIJO 2006 + COMPRAS</t>
  </si>
  <si>
    <t>ACT FIJO NETO</t>
  </si>
  <si>
    <t>VTAS * 35 MARGEN UTN</t>
  </si>
  <si>
    <t>Cálculo de Dividendos</t>
  </si>
  <si>
    <t>Saldo Inicial de Ganancias Retenidas</t>
  </si>
  <si>
    <t>Saldo Final de Ganancias Retenidas</t>
  </si>
  <si>
    <t>Financiamiento adicional año 2008</t>
  </si>
  <si>
    <t>INFORMACIÓN DE COSTOS 2016</t>
  </si>
  <si>
    <t>Ganancias retenidas CIERRE AÑO 2008</t>
  </si>
  <si>
    <t>Balance General Proforma en L</t>
  </si>
  <si>
    <t>Deudas PENDIENTES (acumuladas)</t>
  </si>
  <si>
    <t>Dividendos(50% de Utilidad Neta)</t>
  </si>
  <si>
    <t>La empresa Peabody &amp; Peabody necesitará $1,065,000 de financiamiento externo para poder cumplir con el crecimiento de los acitvos proyectados.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</si>
</sst>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09]* #,##0.00_);_([$$-409]* \(#,##0.00\);_([$$-409]* &quot;-&quot;??_);_(@_)"/>
    <numFmt numFmtId="165" formatCode="&quot;$&quot;#,##0.00"/>
    <numFmt numFmtId="166" formatCode="0.000"/>
  </numFmts>
  <fonts count="17" x14ac:knownFonts="1">
    <font>
      <sz val="11"/>
      <color theme="1"/>
      <name val="Calibri"/>
      <family val="2"/>
      <scheme val="minor"/>
    </font>
    <font>
      <u/>
      <sz val="11"/>
      <color theme="10"/>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
      <b/>
      <sz val="11"/>
      <color rgb="FF000000"/>
      <name val="Calibri"/>
      <family val="2"/>
    </font>
    <font>
      <sz val="11"/>
      <color rgb="FF000000"/>
      <name val="Calibri"/>
      <family val="2"/>
    </font>
    <font>
      <b/>
      <sz val="11"/>
      <color rgb="FF000000"/>
      <name val="Calibri"/>
      <family val="2"/>
    </font>
    <font>
      <b/>
      <sz val="18"/>
      <color rgb="FFFF0000"/>
      <name val="Calibri"/>
      <family val="2"/>
      <scheme val="minor"/>
    </font>
    <font>
      <sz val="11"/>
      <color rgb="FFFF0000"/>
      <name val="Calibri"/>
      <family val="2"/>
    </font>
    <font>
      <sz val="11"/>
      <color rgb="FF000000"/>
      <name val="Calibri"/>
      <family val="2"/>
    </font>
    <font>
      <sz val="11"/>
      <color rgb="FF92D050"/>
      <name val="Calibri"/>
      <family val="2"/>
      <scheme val="minor"/>
    </font>
    <font>
      <sz val="11"/>
      <color rgb="FF00B0F0"/>
      <name val="Calibri"/>
      <family val="2"/>
      <scheme val="minor"/>
    </font>
    <font>
      <sz val="11"/>
      <color rgb="FFDDEBF7"/>
      <name val="Calibri"/>
      <family val="2"/>
      <scheme val="minor"/>
    </font>
    <font>
      <b/>
      <sz val="11"/>
      <color theme="0"/>
      <name val="Calibri"/>
      <family val="2"/>
      <scheme val="minor"/>
    </font>
    <font>
      <b/>
      <sz val="11"/>
      <color rgb="FF000000"/>
      <name val="Calibri"/>
      <family val="2"/>
      <scheme val="minor"/>
    </font>
    <font>
      <b/>
      <sz val="11"/>
      <color rgb="FF00B0F0"/>
      <name val="Calibri"/>
      <family val="2"/>
      <scheme val="minor"/>
    </font>
  </fonts>
  <fills count="6">
    <fill>
      <patternFill patternType="none"/>
    </fill>
    <fill>
      <patternFill patternType="gray125"/>
    </fill>
    <fill>
      <patternFill patternType="solid">
        <fgColor rgb="FFD9E1F2"/>
        <bgColor rgb="FF000000"/>
      </patternFill>
    </fill>
    <fill>
      <patternFill patternType="solid">
        <fgColor rgb="FFD9E1F2"/>
        <bgColor indexed="64"/>
      </patternFill>
    </fill>
    <fill>
      <patternFill patternType="solid">
        <fgColor rgb="FFDDEBF7"/>
        <bgColor indexed="64"/>
      </patternFill>
    </fill>
    <fill>
      <patternFill patternType="solid">
        <fgColor rgb="FF00B0F0"/>
        <bgColor indexed="64"/>
      </patternFill>
    </fill>
  </fills>
  <borders count="2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style="medium">
        <color indexed="64"/>
      </bottom>
      <diagonal/>
    </border>
    <border>
      <left/>
      <right style="thin">
        <color rgb="FF000000"/>
      </right>
      <top/>
      <bottom style="medium">
        <color rgb="FF000000"/>
      </bottom>
      <diagonal/>
    </border>
    <border>
      <left/>
      <right style="thin">
        <color rgb="FF000000"/>
      </right>
      <top style="thin">
        <color rgb="FF000000"/>
      </top>
      <bottom style="double">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style="thin">
        <color rgb="FF000000"/>
      </bottom>
      <diagonal/>
    </border>
    <border>
      <left/>
      <right style="thin">
        <color indexed="64"/>
      </right>
      <top/>
      <bottom style="double">
        <color rgb="FF000000"/>
      </bottom>
      <diagonal/>
    </border>
    <border>
      <left style="thin">
        <color rgb="FF000000"/>
      </left>
      <right/>
      <top/>
      <bottom style="thin">
        <color indexed="64"/>
      </bottom>
      <diagonal/>
    </border>
    <border>
      <left/>
      <right style="thin">
        <color rgb="FF000000"/>
      </right>
      <top/>
      <bottom style="thin">
        <color indexed="64"/>
      </bottom>
      <diagonal/>
    </border>
    <border>
      <left/>
      <right style="thin">
        <color indexed="64"/>
      </right>
      <top/>
      <bottom style="medium">
        <color indexed="64"/>
      </bottom>
      <diagonal/>
    </border>
    <border>
      <left/>
      <right style="thin">
        <color rgb="FF000000"/>
      </right>
      <top style="medium">
        <color indexed="64"/>
      </top>
      <bottom style="double">
        <color indexed="64"/>
      </bottom>
      <diagonal/>
    </border>
  </borders>
  <cellStyleXfs count="2">
    <xf numFmtId="0" fontId="0" fillId="0" borderId="0"/>
    <xf numFmtId="0" fontId="1" fillId="0" borderId="0" applyNumberFormat="0" applyFill="0" applyBorder="0" applyAlignment="0" applyProtection="0"/>
  </cellStyleXfs>
  <cellXfs count="124">
    <xf numFmtId="0" fontId="0" fillId="0" borderId="0" xfId="0"/>
    <xf numFmtId="0" fontId="0" fillId="0" borderId="0" xfId="0" applyBorder="1"/>
    <xf numFmtId="0" fontId="0" fillId="0" borderId="5" xfId="0" applyBorder="1"/>
    <xf numFmtId="0" fontId="0" fillId="0" borderId="7" xfId="0" applyBorder="1"/>
    <xf numFmtId="0" fontId="0" fillId="0" borderId="8" xfId="0" applyBorder="1"/>
    <xf numFmtId="0" fontId="3" fillId="0" borderId="0" xfId="0" applyFont="1"/>
    <xf numFmtId="0" fontId="4" fillId="0" borderId="0" xfId="0" applyFont="1"/>
    <xf numFmtId="0" fontId="0" fillId="0" borderId="4" xfId="0" applyBorder="1"/>
    <xf numFmtId="0" fontId="0" fillId="0" borderId="6" xfId="0" applyBorder="1"/>
    <xf numFmtId="164" fontId="0" fillId="0" borderId="0" xfId="0" applyNumberFormat="1"/>
    <xf numFmtId="0" fontId="6" fillId="0" borderId="0" xfId="0" applyFont="1" applyFill="1" applyBorder="1" applyAlignment="1">
      <alignment wrapText="1"/>
    </xf>
    <xf numFmtId="0" fontId="6" fillId="2" borderId="0" xfId="0" applyFont="1" applyFill="1" applyBorder="1" applyAlignment="1">
      <alignment wrapText="1"/>
    </xf>
    <xf numFmtId="165" fontId="0" fillId="0" borderId="0" xfId="0" applyNumberFormat="1"/>
    <xf numFmtId="0" fontId="6" fillId="0" borderId="4" xfId="0" applyFont="1" applyFill="1" applyBorder="1" applyAlignment="1">
      <alignment wrapText="1"/>
    </xf>
    <xf numFmtId="164" fontId="6" fillId="0" borderId="5" xfId="0" applyNumberFormat="1" applyFont="1" applyFill="1" applyBorder="1" applyAlignment="1">
      <alignment wrapText="1"/>
    </xf>
    <xf numFmtId="0" fontId="5" fillId="2" borderId="4" xfId="0" applyFont="1" applyFill="1" applyBorder="1" applyAlignment="1">
      <alignment wrapText="1"/>
    </xf>
    <xf numFmtId="164" fontId="6" fillId="2" borderId="5" xfId="0" applyNumberFormat="1" applyFont="1" applyFill="1" applyBorder="1" applyAlignment="1">
      <alignment wrapText="1"/>
    </xf>
    <xf numFmtId="0" fontId="7" fillId="2" borderId="4" xfId="0" applyFont="1" applyFill="1" applyBorder="1" applyAlignment="1">
      <alignment wrapText="1"/>
    </xf>
    <xf numFmtId="0" fontId="0" fillId="3" borderId="0" xfId="0" applyFill="1" applyBorder="1"/>
    <xf numFmtId="0" fontId="8" fillId="0" borderId="0" xfId="0" applyFont="1"/>
    <xf numFmtId="165" fontId="0" fillId="0" borderId="5" xfId="0" applyNumberFormat="1" applyBorder="1"/>
    <xf numFmtId="165" fontId="9" fillId="0" borderId="9" xfId="0" applyNumberFormat="1" applyFont="1" applyFill="1" applyBorder="1" applyAlignment="1">
      <alignment wrapText="1"/>
    </xf>
    <xf numFmtId="165" fontId="9" fillId="0" borderId="10" xfId="0" applyNumberFormat="1" applyFont="1" applyFill="1" applyBorder="1" applyAlignment="1">
      <alignment wrapText="1"/>
    </xf>
    <xf numFmtId="165" fontId="2" fillId="0" borderId="5" xfId="0" applyNumberFormat="1" applyFont="1" applyBorder="1"/>
    <xf numFmtId="165" fontId="0" fillId="0" borderId="7" xfId="0" applyNumberFormat="1" applyBorder="1"/>
    <xf numFmtId="0" fontId="0" fillId="4" borderId="0" xfId="0" applyFill="1"/>
    <xf numFmtId="165" fontId="10" fillId="0" borderId="5" xfId="0" applyNumberFormat="1" applyFont="1" applyBorder="1" applyAlignment="1">
      <alignment horizontal="center" wrapText="1"/>
    </xf>
    <xf numFmtId="165" fontId="0" fillId="0" borderId="0" xfId="0" applyNumberFormat="1" applyBorder="1"/>
    <xf numFmtId="0" fontId="0" fillId="0" borderId="0" xfId="0" applyFill="1"/>
    <xf numFmtId="165" fontId="0" fillId="3" borderId="5" xfId="0" applyNumberFormat="1" applyFill="1" applyBorder="1"/>
    <xf numFmtId="165" fontId="2" fillId="0" borderId="10" xfId="0" applyNumberFormat="1" applyFont="1" applyBorder="1"/>
    <xf numFmtId="0" fontId="0" fillId="0" borderId="0" xfId="0" applyFill="1" applyBorder="1"/>
    <xf numFmtId="165" fontId="0" fillId="0" borderId="0" xfId="0" applyNumberFormat="1" applyFill="1" applyBorder="1"/>
    <xf numFmtId="0" fontId="7" fillId="0" borderId="0" xfId="0" applyFont="1" applyBorder="1" applyAlignment="1">
      <alignment horizontal="center" wrapText="1"/>
    </xf>
    <xf numFmtId="0" fontId="4" fillId="4" borderId="0" xfId="0" applyFont="1" applyFill="1"/>
    <xf numFmtId="0" fontId="4" fillId="0" borderId="0" xfId="0" applyFont="1" applyBorder="1"/>
    <xf numFmtId="0" fontId="4" fillId="0" borderId="7" xfId="0" applyFont="1" applyBorder="1"/>
    <xf numFmtId="0" fontId="4" fillId="0" borderId="4" xfId="0" applyFont="1" applyBorder="1"/>
    <xf numFmtId="165" fontId="0" fillId="0" borderId="11" xfId="0" applyNumberFormat="1" applyBorder="1"/>
    <xf numFmtId="165" fontId="0" fillId="0" borderId="10" xfId="0" applyNumberFormat="1" applyBorder="1"/>
    <xf numFmtId="0" fontId="4" fillId="0" borderId="6" xfId="0" applyFont="1" applyBorder="1"/>
    <xf numFmtId="0" fontId="4" fillId="4" borderId="1" xfId="0" applyFont="1" applyFill="1" applyBorder="1"/>
    <xf numFmtId="0" fontId="4" fillId="4" borderId="2" xfId="0" applyFont="1" applyFill="1" applyBorder="1"/>
    <xf numFmtId="0" fontId="4" fillId="4" borderId="4" xfId="0" applyFont="1" applyFill="1" applyBorder="1"/>
    <xf numFmtId="0" fontId="4" fillId="4" borderId="0" xfId="0" applyFont="1" applyFill="1" applyBorder="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165" fontId="11" fillId="0" borderId="7" xfId="0" applyNumberFormat="1" applyFont="1" applyBorder="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165" fontId="0" fillId="4" borderId="7" xfId="0" applyNumberFormat="1" applyFill="1" applyBorder="1"/>
    <xf numFmtId="165" fontId="12" fillId="0" borderId="7" xfId="0" applyNumberFormat="1" applyFont="1" applyBorder="1"/>
    <xf numFmtId="0" fontId="13" fillId="4" borderId="3" xfId="0" applyFont="1" applyFill="1" applyBorder="1"/>
    <xf numFmtId="0" fontId="13" fillId="4" borderId="5" xfId="0" applyFont="1" applyFill="1" applyBorder="1"/>
    <xf numFmtId="0" fontId="13" fillId="4" borderId="8" xfId="0" applyFont="1" applyFill="1" applyBorder="1"/>
    <xf numFmtId="165" fontId="4" fillId="0" borderId="0" xfId="0" applyNumberFormat="1" applyFont="1" applyBorder="1"/>
    <xf numFmtId="0" fontId="0" fillId="0" borderId="15" xfId="0" applyBorder="1"/>
    <xf numFmtId="0" fontId="0" fillId="0" borderId="16" xfId="0" applyBorder="1"/>
    <xf numFmtId="0" fontId="4" fillId="0" borderId="15" xfId="0" applyFont="1" applyBorder="1"/>
    <xf numFmtId="165" fontId="0" fillId="0" borderId="16" xfId="0" applyNumberFormat="1" applyBorder="1"/>
    <xf numFmtId="165" fontId="0" fillId="0" borderId="20" xfId="0" applyNumberFormat="1" applyBorder="1"/>
    <xf numFmtId="165" fontId="0" fillId="0" borderId="16" xfId="0" applyNumberFormat="1" applyFill="1" applyBorder="1"/>
    <xf numFmtId="165" fontId="0" fillId="0" borderId="15" xfId="0" applyNumberFormat="1" applyFill="1" applyBorder="1"/>
    <xf numFmtId="0" fontId="4" fillId="0" borderId="0" xfId="0" applyFont="1" applyFill="1" applyBorder="1"/>
    <xf numFmtId="165" fontId="0" fillId="0" borderId="20" xfId="0" applyNumberFormat="1" applyFill="1" applyBorder="1"/>
    <xf numFmtId="165" fontId="0" fillId="0" borderId="25" xfId="0" applyNumberFormat="1" applyBorder="1"/>
    <xf numFmtId="0" fontId="0" fillId="0" borderId="0" xfId="0" applyAlignment="1">
      <alignment horizontal="center"/>
    </xf>
    <xf numFmtId="0" fontId="4" fillId="4" borderId="0" xfId="0" applyFont="1" applyFill="1" applyBorder="1" applyAlignment="1">
      <alignment horizontal="center"/>
    </xf>
    <xf numFmtId="0" fontId="4" fillId="4" borderId="0" xfId="0" applyFont="1" applyFill="1" applyAlignment="1">
      <alignment horizontal="center"/>
    </xf>
    <xf numFmtId="0" fontId="0" fillId="4" borderId="0" xfId="0" applyFill="1" applyAlignment="1">
      <alignment horizontal="center"/>
    </xf>
    <xf numFmtId="0" fontId="4" fillId="4" borderId="0" xfId="0" applyFont="1" applyFill="1" applyAlignment="1">
      <alignment horizontal="left"/>
    </xf>
    <xf numFmtId="165" fontId="4" fillId="0" borderId="0" xfId="0" applyNumberFormat="1" applyFont="1"/>
    <xf numFmtId="0" fontId="14" fillId="5" borderId="4" xfId="0" applyFont="1" applyFill="1" applyBorder="1"/>
    <xf numFmtId="0" fontId="14" fillId="5" borderId="0" xfId="0" applyFont="1" applyFill="1" applyBorder="1"/>
    <xf numFmtId="165" fontId="14" fillId="5" borderId="0" xfId="0" applyNumberFormat="1" applyFont="1" applyFill="1" applyBorder="1"/>
    <xf numFmtId="165" fontId="14" fillId="5" borderId="24" xfId="0" applyNumberFormat="1" applyFont="1" applyFill="1" applyBorder="1"/>
    <xf numFmtId="16" fontId="0" fillId="4" borderId="0" xfId="0" applyNumberFormat="1" applyFill="1" applyAlignment="1">
      <alignment horizontal="center"/>
    </xf>
    <xf numFmtId="0" fontId="14" fillId="5" borderId="0" xfId="0" applyFont="1" applyFill="1" applyBorder="1" applyAlignment="1">
      <alignment horizontal="center"/>
    </xf>
    <xf numFmtId="165" fontId="15" fillId="0" borderId="0" xfId="0" applyNumberFormat="1" applyFont="1" applyBorder="1"/>
    <xf numFmtId="165" fontId="16" fillId="0" borderId="0" xfId="0" applyNumberFormat="1" applyFont="1" applyBorder="1"/>
    <xf numFmtId="165" fontId="3" fillId="0" borderId="0" xfId="0" applyNumberFormat="1" applyFont="1" applyBorder="1"/>
    <xf numFmtId="165" fontId="4" fillId="0" borderId="21" xfId="0" applyNumberFormat="1" applyFont="1" applyBorder="1"/>
    <xf numFmtId="166" fontId="4" fillId="4" borderId="0" xfId="0" applyNumberFormat="1" applyFont="1" applyFill="1" applyAlignment="1">
      <alignment horizontal="center"/>
    </xf>
    <xf numFmtId="165" fontId="4" fillId="0" borderId="8" xfId="0" applyNumberFormat="1" applyFont="1" applyBorder="1"/>
    <xf numFmtId="164" fontId="4" fillId="3" borderId="11" xfId="0" applyNumberFormat="1" applyFont="1" applyFill="1" applyBorder="1"/>
    <xf numFmtId="0" fontId="3" fillId="0" borderId="15" xfId="0" applyFont="1" applyBorder="1"/>
    <xf numFmtId="0" fontId="3" fillId="0" borderId="0" xfId="0" applyFont="1" applyBorder="1"/>
    <xf numFmtId="165" fontId="3" fillId="0" borderId="16" xfId="0" applyNumberFormat="1" applyFont="1" applyBorder="1"/>
    <xf numFmtId="0" fontId="14" fillId="5" borderId="15" xfId="0" applyFont="1" applyFill="1" applyBorder="1"/>
    <xf numFmtId="0" fontId="14" fillId="5" borderId="0" xfId="0" applyFont="1" applyFill="1"/>
    <xf numFmtId="165" fontId="14" fillId="5" borderId="0" xfId="0" applyNumberFormat="1" applyFont="1" applyFill="1"/>
    <xf numFmtId="0" fontId="7" fillId="4" borderId="22" xfId="0" applyFont="1" applyFill="1" applyBorder="1" applyAlignment="1">
      <alignment horizontal="center" wrapText="1"/>
    </xf>
    <xf numFmtId="0" fontId="7" fillId="4" borderId="18" xfId="0" applyFont="1" applyFill="1" applyBorder="1" applyAlignment="1">
      <alignment horizontal="center" wrapText="1"/>
    </xf>
    <xf numFmtId="0" fontId="7" fillId="4" borderId="23" xfId="0" applyFont="1" applyFill="1" applyBorder="1" applyAlignment="1">
      <alignment horizontal="center" wrapText="1"/>
    </xf>
    <xf numFmtId="0" fontId="5" fillId="4" borderId="1" xfId="0" applyFont="1" applyFill="1" applyBorder="1" applyAlignment="1">
      <alignment horizontal="center" wrapText="1"/>
    </xf>
    <xf numFmtId="0" fontId="5" fillId="4" borderId="2" xfId="0" applyFont="1" applyFill="1" applyBorder="1" applyAlignment="1">
      <alignment horizontal="center" wrapText="1"/>
    </xf>
    <xf numFmtId="0" fontId="5" fillId="4" borderId="3" xfId="0" applyFont="1" applyFill="1" applyBorder="1" applyAlignment="1">
      <alignment horizontal="center" wrapText="1"/>
    </xf>
    <xf numFmtId="0" fontId="5" fillId="4" borderId="4" xfId="0" applyFont="1" applyFill="1" applyBorder="1" applyAlignment="1">
      <alignment horizontal="center" wrapText="1"/>
    </xf>
    <xf numFmtId="0" fontId="5" fillId="4" borderId="0" xfId="0" applyFont="1" applyFill="1" applyBorder="1" applyAlignment="1">
      <alignment horizontal="center" wrapText="1"/>
    </xf>
    <xf numFmtId="0" fontId="5" fillId="4" borderId="5" xfId="0" applyFont="1" applyFill="1" applyBorder="1" applyAlignment="1">
      <alignment horizontal="center" wrapText="1"/>
    </xf>
    <xf numFmtId="0" fontId="5" fillId="4" borderId="22" xfId="0" applyFont="1" applyFill="1" applyBorder="1" applyAlignment="1">
      <alignment horizontal="center" wrapText="1"/>
    </xf>
    <xf numFmtId="0" fontId="5" fillId="4" borderId="18" xfId="0" applyFont="1" applyFill="1" applyBorder="1" applyAlignment="1">
      <alignment horizontal="center" wrapText="1"/>
    </xf>
    <xf numFmtId="0" fontId="5" fillId="4" borderId="23" xfId="0" applyFont="1" applyFill="1" applyBorder="1" applyAlignment="1">
      <alignment horizontal="center" wrapText="1"/>
    </xf>
    <xf numFmtId="0" fontId="7" fillId="4" borderId="1" xfId="0" applyFont="1" applyFill="1" applyBorder="1" applyAlignment="1">
      <alignment horizontal="center" wrapText="1"/>
    </xf>
    <xf numFmtId="0" fontId="7" fillId="4" borderId="2" xfId="0" applyFont="1" applyFill="1" applyBorder="1" applyAlignment="1">
      <alignment horizontal="center" wrapText="1"/>
    </xf>
    <xf numFmtId="0" fontId="7" fillId="4" borderId="3" xfId="0" applyFont="1" applyFill="1" applyBorder="1" applyAlignment="1">
      <alignment horizontal="center" wrapText="1"/>
    </xf>
    <xf numFmtId="0" fontId="7" fillId="4" borderId="4" xfId="0" applyFont="1" applyFill="1" applyBorder="1" applyAlignment="1">
      <alignment horizontal="center" wrapText="1"/>
    </xf>
    <xf numFmtId="0" fontId="7" fillId="4" borderId="0" xfId="0" applyFont="1" applyFill="1" applyAlignment="1">
      <alignment horizontal="center" wrapText="1"/>
    </xf>
    <xf numFmtId="0" fontId="7" fillId="4" borderId="5" xfId="0" applyFont="1" applyFill="1" applyBorder="1" applyAlignment="1">
      <alignment horizontal="center" wrapText="1"/>
    </xf>
    <xf numFmtId="0" fontId="7" fillId="0" borderId="0" xfId="0" applyFont="1" applyAlignment="1">
      <alignment horizontal="center" wrapText="1"/>
    </xf>
    <xf numFmtId="0" fontId="7" fillId="4" borderId="0" xfId="0" applyFont="1" applyFill="1" applyBorder="1" applyAlignment="1">
      <alignment horizontal="center" wrapText="1"/>
    </xf>
    <xf numFmtId="0" fontId="4" fillId="4" borderId="12" xfId="0" applyFont="1" applyFill="1" applyBorder="1" applyAlignment="1">
      <alignment horizontal="center"/>
    </xf>
    <xf numFmtId="0" fontId="4" fillId="4" borderId="13" xfId="0" applyFont="1" applyFill="1" applyBorder="1" applyAlignment="1">
      <alignment horizontal="center"/>
    </xf>
    <xf numFmtId="0" fontId="4" fillId="4" borderId="14" xfId="0" applyFont="1" applyFill="1" applyBorder="1" applyAlignment="1">
      <alignment horizontal="center"/>
    </xf>
    <xf numFmtId="0" fontId="3" fillId="4" borderId="15" xfId="0" applyFont="1" applyFill="1" applyBorder="1" applyAlignment="1">
      <alignment horizontal="center"/>
    </xf>
    <xf numFmtId="0" fontId="3" fillId="4" borderId="0" xfId="0" applyFont="1" applyFill="1" applyBorder="1" applyAlignment="1">
      <alignment horizontal="center"/>
    </xf>
    <xf numFmtId="0" fontId="3" fillId="4" borderId="16" xfId="0" applyFont="1" applyFill="1" applyBorder="1" applyAlignment="1">
      <alignment horizontal="center"/>
    </xf>
    <xf numFmtId="0" fontId="4" fillId="4" borderId="17" xfId="0" applyFont="1" applyFill="1" applyBorder="1" applyAlignment="1">
      <alignment horizontal="center"/>
    </xf>
    <xf numFmtId="0" fontId="4" fillId="4" borderId="18" xfId="0" applyFont="1" applyFill="1" applyBorder="1" applyAlignment="1">
      <alignment horizontal="center"/>
    </xf>
    <xf numFmtId="0" fontId="4" fillId="4" borderId="19" xfId="0" applyFont="1" applyFill="1" applyBorder="1" applyAlignment="1">
      <alignment horizontal="center"/>
    </xf>
  </cellXfs>
  <cellStyles count="2">
    <cellStyle name="Hyperlink" xfId="1"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19050</xdr:colOff>
      <xdr:row>39</xdr:row>
      <xdr:rowOff>171449</xdr:rowOff>
    </xdr:from>
    <xdr:to>
      <xdr:col>4</xdr:col>
      <xdr:colOff>142874</xdr:colOff>
      <xdr:row>49</xdr:row>
      <xdr:rowOff>0</xdr:rowOff>
    </xdr:to>
    <xdr:sp macro="" textlink="">
      <xdr:nvSpPr>
        <xdr:cNvPr id="2" name="CuadroTexto 1">
          <a:extLst>
            <a:ext uri="{FF2B5EF4-FFF2-40B4-BE49-F238E27FC236}">
              <a16:creationId xmlns:a16="http://schemas.microsoft.com/office/drawing/2014/main" id="{9F95F02D-708A-4E0F-8D41-FFEBB7AA26C8}"/>
            </a:ext>
          </a:extLst>
        </xdr:cNvPr>
        <xdr:cNvSpPr txBox="1"/>
      </xdr:nvSpPr>
      <xdr:spPr>
        <a:xfrm>
          <a:off x="5710238" y="8351043"/>
          <a:ext cx="5172074" cy="17335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1100" b="0" i="0" u="none" strike="noStrike">
              <a:solidFill>
                <a:schemeClr val="dk1"/>
              </a:solidFill>
              <a:effectLst/>
              <a:latin typeface="+mn-lt"/>
              <a:ea typeface="+mn-ea"/>
              <a:cs typeface="+mn-cs"/>
            </a:rPr>
            <a:t>El estado que proporciona el mejor cálculo de los resultados para le 2007 es siempre el método de Porcentaje de Ventas</a:t>
          </a:r>
          <a:r>
            <a:rPr lang="es-419" sz="1100" b="0" i="0" u="none" strike="noStrike" baseline="0">
              <a:solidFill>
                <a:schemeClr val="dk1"/>
              </a:solidFill>
              <a:effectLst/>
              <a:latin typeface="+mn-lt"/>
              <a:ea typeface="+mn-ea"/>
              <a:cs typeface="+mn-cs"/>
            </a:rPr>
            <a:t> en función que como se ha visto en el Análisis Vertical de los EF, las ventas son la base para la eficiencia de los demás componentes del Estado de Resultados. Las ganancias retenidas de un Método a otro varían según el comportamiento de las variables proporcionadas y conocidas para cada método, no obstante, ambos métodos si tienen la relación en buscar disminuir sus Costos y Gastos mediante aprobación de Políticas, debiendo las mismas ser siempre motivo de seguimiento. En este ejercicio particular el Estado de Resultados que muestra una mejor ganancia es el basado en el uso y manejo de los Costos y Gastos Fijos y variables.</a:t>
          </a:r>
        </a:p>
        <a:p>
          <a:endParaRPr lang="es-419" sz="1100"/>
        </a:p>
      </xdr:txBody>
    </xdr:sp>
    <xdr:clientData/>
  </xdr:twoCellAnchor>
  <xdr:twoCellAnchor editAs="oneCell">
    <xdr:from>
      <xdr:col>0</xdr:col>
      <xdr:colOff>381000</xdr:colOff>
      <xdr:row>0</xdr:row>
      <xdr:rowOff>142875</xdr:rowOff>
    </xdr:from>
    <xdr:to>
      <xdr:col>0</xdr:col>
      <xdr:colOff>4902994</xdr:colOff>
      <xdr:row>8</xdr:row>
      <xdr:rowOff>150019</xdr:rowOff>
    </xdr:to>
    <xdr:pic>
      <xdr:nvPicPr>
        <xdr:cNvPr id="5" name="Imagen 5">
          <a:extLst>
            <a:ext uri="{FF2B5EF4-FFF2-40B4-BE49-F238E27FC236}">
              <a16:creationId xmlns:a16="http://schemas.microsoft.com/office/drawing/2014/main" id="{A7AB387C-6EC8-4267-B776-52C6BFAC4B4E}"/>
            </a:ext>
            <a:ext uri="{147F2762-F138-4A5C-976F-8EAC2B608ADB}">
              <a16:predDERef xmlns:a16="http://schemas.microsoft.com/office/drawing/2014/main" pred="{55BCEBF0-8747-4F56-BBA3-C1DA17249893}"/>
            </a:ext>
          </a:extLst>
        </xdr:cNvPr>
        <xdr:cNvPicPr>
          <a:picLocks noChangeAspect="1"/>
        </xdr:cNvPicPr>
      </xdr:nvPicPr>
      <xdr:blipFill>
        <a:blip xmlns:r="http://schemas.openxmlformats.org/officeDocument/2006/relationships" r:embed="rId1"/>
        <a:stretch>
          <a:fillRect/>
        </a:stretch>
      </xdr:blipFill>
      <xdr:spPr>
        <a:xfrm>
          <a:off x="381000" y="142875"/>
          <a:ext cx="4521994" cy="1959769"/>
        </a:xfrm>
        <a:prstGeom prst="rect">
          <a:avLst/>
        </a:prstGeom>
      </xdr:spPr>
    </xdr:pic>
    <xdr:clientData/>
  </xdr:twoCellAnchor>
  <xdr:twoCellAnchor editAs="oneCell">
    <xdr:from>
      <xdr:col>0</xdr:col>
      <xdr:colOff>0</xdr:colOff>
      <xdr:row>10</xdr:row>
      <xdr:rowOff>0</xdr:rowOff>
    </xdr:from>
    <xdr:to>
      <xdr:col>0</xdr:col>
      <xdr:colOff>4619625</xdr:colOff>
      <xdr:row>24</xdr:row>
      <xdr:rowOff>128588</xdr:rowOff>
    </xdr:to>
    <xdr:pic>
      <xdr:nvPicPr>
        <xdr:cNvPr id="6" name="Imagen 1">
          <a:extLst>
            <a:ext uri="{FF2B5EF4-FFF2-40B4-BE49-F238E27FC236}">
              <a16:creationId xmlns:a16="http://schemas.microsoft.com/office/drawing/2014/main" id="{65A3BB14-820A-4FBC-AB41-38D31CDD5582}"/>
            </a:ext>
          </a:extLst>
        </xdr:cNvPr>
        <xdr:cNvPicPr>
          <a:picLocks noChangeAspect="1"/>
        </xdr:cNvPicPr>
      </xdr:nvPicPr>
      <xdr:blipFill>
        <a:blip xmlns:r="http://schemas.openxmlformats.org/officeDocument/2006/relationships" r:embed="rId2"/>
        <a:stretch>
          <a:fillRect/>
        </a:stretch>
      </xdr:blipFill>
      <xdr:spPr>
        <a:xfrm>
          <a:off x="0" y="2405063"/>
          <a:ext cx="4619625" cy="29384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316709</xdr:colOff>
      <xdr:row>0</xdr:row>
      <xdr:rowOff>178593</xdr:rowOff>
    </xdr:from>
    <xdr:to>
      <xdr:col>0</xdr:col>
      <xdr:colOff>4305303</xdr:colOff>
      <xdr:row>22</xdr:row>
      <xdr:rowOff>162718</xdr:rowOff>
    </xdr:to>
    <xdr:pic>
      <xdr:nvPicPr>
        <xdr:cNvPr id="19" name="Imagen 1">
          <a:extLst>
            <a:ext uri="{FF2B5EF4-FFF2-40B4-BE49-F238E27FC236}">
              <a16:creationId xmlns:a16="http://schemas.microsoft.com/office/drawing/2014/main" id="{646490EE-B7EC-4570-91D7-25A54987E2B6}"/>
            </a:ext>
          </a:extLst>
        </xdr:cNvPr>
        <xdr:cNvPicPr>
          <a:picLocks noChangeAspect="1"/>
        </xdr:cNvPicPr>
      </xdr:nvPicPr>
      <xdr:blipFill>
        <a:blip xmlns:r="http://schemas.openxmlformats.org/officeDocument/2006/relationships" r:embed="rId1"/>
        <a:stretch>
          <a:fillRect/>
        </a:stretch>
      </xdr:blipFill>
      <xdr:spPr>
        <a:xfrm>
          <a:off x="316709" y="178593"/>
          <a:ext cx="3988594" cy="4353719"/>
        </a:xfrm>
        <a:prstGeom prst="rect">
          <a:avLst/>
        </a:prstGeom>
      </xdr:spPr>
    </xdr:pic>
    <xdr:clientData/>
  </xdr:twoCellAnchor>
  <xdr:twoCellAnchor editAs="oneCell">
    <xdr:from>
      <xdr:col>0</xdr:col>
      <xdr:colOff>271462</xdr:colOff>
      <xdr:row>24</xdr:row>
      <xdr:rowOff>128587</xdr:rowOff>
    </xdr:from>
    <xdr:to>
      <xdr:col>0</xdr:col>
      <xdr:colOff>4395787</xdr:colOff>
      <xdr:row>29</xdr:row>
      <xdr:rowOff>100013</xdr:rowOff>
    </xdr:to>
    <xdr:pic>
      <xdr:nvPicPr>
        <xdr:cNvPr id="2" name="Imagen 2">
          <a:extLst>
            <a:ext uri="{FF2B5EF4-FFF2-40B4-BE49-F238E27FC236}">
              <a16:creationId xmlns:a16="http://schemas.microsoft.com/office/drawing/2014/main" id="{8E97D8A3-2112-465D-B64E-1BE91A5A6AE4}"/>
            </a:ext>
            <a:ext uri="{147F2762-F138-4A5C-976F-8EAC2B608ADB}">
              <a16:predDERef xmlns:a16="http://schemas.microsoft.com/office/drawing/2014/main" pred="{646490EE-B7EC-4570-91D7-25A54987E2B6}"/>
            </a:ext>
          </a:extLst>
        </xdr:cNvPr>
        <xdr:cNvPicPr>
          <a:picLocks noChangeAspect="1"/>
        </xdr:cNvPicPr>
      </xdr:nvPicPr>
      <xdr:blipFill>
        <a:blip xmlns:r="http://schemas.openxmlformats.org/officeDocument/2006/relationships" r:embed="rId2"/>
        <a:stretch>
          <a:fillRect/>
        </a:stretch>
      </xdr:blipFill>
      <xdr:spPr>
        <a:xfrm>
          <a:off x="271462" y="4843462"/>
          <a:ext cx="4124325" cy="9239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107157</xdr:colOff>
      <xdr:row>0</xdr:row>
      <xdr:rowOff>107156</xdr:rowOff>
    </xdr:from>
    <xdr:to>
      <xdr:col>0</xdr:col>
      <xdr:colOff>4948239</xdr:colOff>
      <xdr:row>34</xdr:row>
      <xdr:rowOff>93662</xdr:rowOff>
    </xdr:to>
    <xdr:pic>
      <xdr:nvPicPr>
        <xdr:cNvPr id="3" name="Imagen 1">
          <a:extLst>
            <a:ext uri="{FF2B5EF4-FFF2-40B4-BE49-F238E27FC236}">
              <a16:creationId xmlns:a16="http://schemas.microsoft.com/office/drawing/2014/main" id="{BCAB96BE-F17A-43B0-9E5D-12EC6095B3C3}"/>
            </a:ext>
          </a:extLst>
        </xdr:cNvPr>
        <xdr:cNvPicPr>
          <a:picLocks noChangeAspect="1"/>
        </xdr:cNvPicPr>
      </xdr:nvPicPr>
      <xdr:blipFill>
        <a:blip xmlns:r="http://schemas.openxmlformats.org/officeDocument/2006/relationships" r:embed="rId1"/>
        <a:stretch>
          <a:fillRect/>
        </a:stretch>
      </xdr:blipFill>
      <xdr:spPr>
        <a:xfrm>
          <a:off x="107157" y="107156"/>
          <a:ext cx="4841082" cy="663019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A0E1B-BD3D-4272-BC8C-CFEDF54BC1DA}">
  <dimension ref="B1:M39"/>
  <sheetViews>
    <sheetView tabSelected="1" zoomScale="80" zoomScaleNormal="80" workbookViewId="0"/>
  </sheetViews>
  <sheetFormatPr baseColWidth="10" defaultColWidth="8.7109375" defaultRowHeight="15" x14ac:dyDescent="0.25"/>
  <cols>
    <col min="1" max="1" width="85.28515625" customWidth="1"/>
    <col min="2" max="2" width="47.7109375" customWidth="1"/>
    <col min="3" max="3" width="11.28515625" customWidth="1"/>
    <col min="4" max="4" width="16.7109375" customWidth="1"/>
    <col min="5" max="5" width="5.42578125" customWidth="1"/>
    <col min="6" max="6" width="16.28515625" customWidth="1"/>
    <col min="10" max="10" width="21" customWidth="1"/>
    <col min="12" max="12" width="4.85546875" customWidth="1"/>
  </cols>
  <sheetData>
    <row r="1" spans="2:12" ht="23.25" x14ac:dyDescent="0.35">
      <c r="B1" s="19" t="s">
        <v>0</v>
      </c>
    </row>
    <row r="2" spans="2:12" ht="20.25" customHeight="1" x14ac:dyDescent="0.25">
      <c r="B2" s="98" t="s">
        <v>1</v>
      </c>
      <c r="C2" s="99"/>
      <c r="D2" s="100"/>
    </row>
    <row r="3" spans="2:12" ht="21" customHeight="1" x14ac:dyDescent="0.25">
      <c r="B3" s="101" t="s">
        <v>2</v>
      </c>
      <c r="C3" s="102"/>
      <c r="D3" s="103"/>
    </row>
    <row r="4" spans="2:12" ht="17.25" customHeight="1" x14ac:dyDescent="0.25">
      <c r="B4" s="104" t="s">
        <v>3</v>
      </c>
      <c r="C4" s="105"/>
      <c r="D4" s="106"/>
      <c r="E4" s="25"/>
      <c r="F4" s="25"/>
      <c r="G4" s="25"/>
      <c r="H4" s="25"/>
      <c r="I4" s="25"/>
      <c r="J4" s="25"/>
      <c r="K4" s="25"/>
      <c r="L4" s="25"/>
    </row>
    <row r="5" spans="2:12" ht="17.25" customHeight="1" x14ac:dyDescent="0.25">
      <c r="B5" s="13" t="s">
        <v>4</v>
      </c>
      <c r="C5" s="10"/>
      <c r="D5" s="14">
        <v>1500000</v>
      </c>
      <c r="E5" s="25"/>
      <c r="L5" s="25"/>
    </row>
    <row r="6" spans="2:12" ht="19.5" customHeight="1" x14ac:dyDescent="0.25">
      <c r="B6" s="13" t="s">
        <v>6</v>
      </c>
      <c r="C6" s="10"/>
      <c r="D6" s="21">
        <f>D5*-0.65</f>
        <v>-975000</v>
      </c>
      <c r="E6" s="25"/>
      <c r="F6" s="34" t="s">
        <v>5</v>
      </c>
      <c r="G6" s="34"/>
      <c r="H6" s="34"/>
      <c r="I6" s="34"/>
      <c r="J6" s="34"/>
      <c r="K6" s="72">
        <f>910000/1400000</f>
        <v>0.65</v>
      </c>
      <c r="L6" s="25"/>
    </row>
    <row r="7" spans="2:12" ht="19.5" customHeight="1" x14ac:dyDescent="0.25">
      <c r="B7" s="15" t="s">
        <v>7</v>
      </c>
      <c r="C7" s="11" t="s">
        <v>8</v>
      </c>
      <c r="D7" s="16">
        <f>D5+D6</f>
        <v>525000</v>
      </c>
      <c r="E7" s="25"/>
      <c r="F7" s="25"/>
      <c r="G7" s="25"/>
      <c r="H7" s="25"/>
      <c r="I7" s="25"/>
      <c r="J7" s="25"/>
      <c r="K7" s="73"/>
      <c r="L7" s="25"/>
    </row>
    <row r="8" spans="2:12" ht="15.75" customHeight="1" x14ac:dyDescent="0.25">
      <c r="B8" s="13" t="s">
        <v>9</v>
      </c>
      <c r="C8" s="10"/>
      <c r="D8" s="22">
        <f>-1500000*0.086</f>
        <v>-128999.99999999999</v>
      </c>
      <c r="E8" s="25"/>
      <c r="F8" s="34" t="s">
        <v>10</v>
      </c>
      <c r="G8" s="34"/>
      <c r="H8" s="34"/>
      <c r="I8" s="34"/>
      <c r="J8" s="34"/>
      <c r="K8" s="86">
        <f>120000/1400000</f>
        <v>8.5714285714285715E-2</v>
      </c>
      <c r="L8" s="25"/>
    </row>
    <row r="9" spans="2:12" ht="18" customHeight="1" x14ac:dyDescent="0.25">
      <c r="B9" s="15" t="s">
        <v>11</v>
      </c>
      <c r="C9" s="11" t="s">
        <v>8</v>
      </c>
      <c r="D9" s="16">
        <f>D7+D8</f>
        <v>396000</v>
      </c>
      <c r="E9" s="25"/>
      <c r="F9" s="25"/>
      <c r="G9" s="25"/>
      <c r="H9" s="25"/>
      <c r="I9" s="25"/>
      <c r="J9" s="25"/>
      <c r="K9" s="25"/>
      <c r="L9" s="25"/>
    </row>
    <row r="10" spans="2:12" ht="18" customHeight="1" x14ac:dyDescent="0.25">
      <c r="B10" s="13" t="s">
        <v>12</v>
      </c>
      <c r="C10" s="10"/>
      <c r="D10" s="21">
        <v>-35000</v>
      </c>
      <c r="E10" s="25"/>
      <c r="F10" s="34" t="s">
        <v>84</v>
      </c>
      <c r="G10" s="25"/>
      <c r="H10" s="25"/>
      <c r="I10" s="25"/>
      <c r="J10" s="25"/>
      <c r="K10" s="25"/>
      <c r="L10" s="25"/>
    </row>
    <row r="11" spans="2:12" ht="15.75" customHeight="1" x14ac:dyDescent="0.25">
      <c r="B11" s="15" t="s">
        <v>13</v>
      </c>
      <c r="C11" s="11" t="s">
        <v>8</v>
      </c>
      <c r="D11" s="16">
        <f>D9+D10</f>
        <v>361000</v>
      </c>
      <c r="E11" s="25"/>
      <c r="L11" s="25"/>
    </row>
    <row r="12" spans="2:12" ht="15" customHeight="1" x14ac:dyDescent="0.25">
      <c r="B12" s="13" t="s">
        <v>14</v>
      </c>
      <c r="C12" s="10"/>
      <c r="D12" s="22">
        <f>-D11*0.4</f>
        <v>-144400</v>
      </c>
      <c r="E12" s="25"/>
      <c r="F12" s="34" t="s">
        <v>85</v>
      </c>
      <c r="G12" s="25"/>
      <c r="H12" s="25"/>
      <c r="I12" s="25"/>
      <c r="J12" s="25"/>
      <c r="K12" s="25"/>
      <c r="L12" s="25"/>
    </row>
    <row r="13" spans="2:12" ht="16.5" customHeight="1" x14ac:dyDescent="0.25">
      <c r="B13" s="15" t="s">
        <v>15</v>
      </c>
      <c r="C13" s="11" t="s">
        <v>8</v>
      </c>
      <c r="D13" s="16">
        <f>D11+D12</f>
        <v>216600</v>
      </c>
    </row>
    <row r="14" spans="2:12" x14ac:dyDescent="0.25">
      <c r="B14" s="7" t="s">
        <v>16</v>
      </c>
      <c r="C14" s="1"/>
      <c r="D14" s="23">
        <v>-70000</v>
      </c>
      <c r="F14" s="34" t="s">
        <v>86</v>
      </c>
      <c r="G14" s="25"/>
      <c r="H14" s="25"/>
      <c r="I14" s="25"/>
      <c r="J14" s="25"/>
      <c r="K14" s="25"/>
      <c r="L14" s="25"/>
    </row>
    <row r="15" spans="2:12" x14ac:dyDescent="0.25">
      <c r="B15" s="17" t="s">
        <v>17</v>
      </c>
      <c r="C15" s="18"/>
      <c r="D15" s="88">
        <f>D13+D14</f>
        <v>146600</v>
      </c>
      <c r="F15" s="9"/>
    </row>
    <row r="16" spans="2:12" x14ac:dyDescent="0.25">
      <c r="B16" s="8"/>
      <c r="C16" s="3"/>
      <c r="D16" s="4"/>
    </row>
    <row r="19" spans="2:13" ht="23.25" x14ac:dyDescent="0.35">
      <c r="B19" s="19" t="s">
        <v>18</v>
      </c>
    </row>
    <row r="20" spans="2:13" x14ac:dyDescent="0.25">
      <c r="B20" s="107" t="s">
        <v>1</v>
      </c>
      <c r="C20" s="108"/>
      <c r="D20" s="109"/>
    </row>
    <row r="21" spans="2:13" x14ac:dyDescent="0.25">
      <c r="B21" s="110" t="s">
        <v>19</v>
      </c>
      <c r="C21" s="111"/>
      <c r="D21" s="112"/>
    </row>
    <row r="22" spans="2:13" x14ac:dyDescent="0.25">
      <c r="B22" s="95" t="s">
        <v>20</v>
      </c>
      <c r="C22" s="96"/>
      <c r="D22" s="97"/>
    </row>
    <row r="23" spans="2:13" x14ac:dyDescent="0.25">
      <c r="B23" t="s">
        <v>21</v>
      </c>
      <c r="C23" s="33"/>
      <c r="D23" s="26">
        <v>1500000</v>
      </c>
    </row>
    <row r="24" spans="2:13" x14ac:dyDescent="0.25">
      <c r="B24" t="s">
        <v>22</v>
      </c>
      <c r="C24" s="1"/>
      <c r="D24" s="20"/>
    </row>
    <row r="25" spans="2:13" x14ac:dyDescent="0.25">
      <c r="B25" t="s">
        <v>23</v>
      </c>
      <c r="C25" s="1"/>
      <c r="D25" s="23">
        <v>-210000</v>
      </c>
      <c r="E25" s="25"/>
      <c r="F25" s="34" t="s">
        <v>100</v>
      </c>
      <c r="G25" s="25"/>
      <c r="H25" s="25"/>
      <c r="I25" s="25"/>
      <c r="J25" s="25"/>
      <c r="K25" s="25"/>
      <c r="L25" s="25"/>
      <c r="M25" s="28"/>
    </row>
    <row r="26" spans="2:13" x14ac:dyDescent="0.25">
      <c r="B26" t="s">
        <v>24</v>
      </c>
      <c r="C26" s="1"/>
      <c r="D26" s="30">
        <f>D23*-0.5</f>
        <v>-750000</v>
      </c>
      <c r="E26" s="25"/>
      <c r="F26" s="34" t="s">
        <v>25</v>
      </c>
      <c r="G26" s="25"/>
      <c r="H26" s="25"/>
      <c r="I26" s="25"/>
      <c r="J26" s="25"/>
      <c r="K26" s="72">
        <f>700000/1400000</f>
        <v>0.5</v>
      </c>
      <c r="L26" s="25"/>
    </row>
    <row r="27" spans="2:13" x14ac:dyDescent="0.25">
      <c r="B27" s="6" t="s">
        <v>7</v>
      </c>
      <c r="C27" s="18"/>
      <c r="D27" s="29">
        <f>D23+D25+D26</f>
        <v>540000</v>
      </c>
      <c r="E27" s="25"/>
      <c r="F27" s="25"/>
      <c r="G27" s="25"/>
      <c r="H27" s="25"/>
      <c r="I27" s="25"/>
      <c r="J27" s="25"/>
      <c r="K27" s="25"/>
      <c r="L27" s="25"/>
    </row>
    <row r="28" spans="2:13" x14ac:dyDescent="0.25">
      <c r="B28" t="s">
        <v>26</v>
      </c>
      <c r="C28" s="1"/>
      <c r="D28" s="23">
        <v>-36000</v>
      </c>
      <c r="E28" s="25"/>
      <c r="F28" s="25"/>
      <c r="G28" s="25"/>
      <c r="H28" s="25"/>
      <c r="I28" s="25"/>
      <c r="J28" s="25"/>
      <c r="K28" s="25"/>
      <c r="L28" s="25"/>
    </row>
    <row r="29" spans="2:13" x14ac:dyDescent="0.25">
      <c r="B29" t="s">
        <v>27</v>
      </c>
      <c r="C29" s="1"/>
      <c r="D29" s="30">
        <f>D23*-0.06</f>
        <v>-90000</v>
      </c>
      <c r="E29" s="25"/>
      <c r="F29" s="34" t="s">
        <v>28</v>
      </c>
      <c r="G29" s="25"/>
      <c r="H29" s="25"/>
      <c r="I29" s="25"/>
      <c r="J29" s="25"/>
      <c r="K29" s="72">
        <f>84000/1400000</f>
        <v>0.06</v>
      </c>
      <c r="L29" s="25"/>
    </row>
    <row r="30" spans="2:13" x14ac:dyDescent="0.25">
      <c r="B30" s="6" t="s">
        <v>11</v>
      </c>
      <c r="C30" s="18"/>
      <c r="D30" s="29">
        <f>D27+D28+D29</f>
        <v>414000</v>
      </c>
      <c r="E30" s="25"/>
      <c r="F30" s="25"/>
      <c r="G30" s="25"/>
      <c r="H30" s="25"/>
      <c r="I30" s="25"/>
      <c r="J30" s="25"/>
      <c r="K30" s="25"/>
      <c r="L30" s="25"/>
    </row>
    <row r="31" spans="2:13" x14ac:dyDescent="0.25">
      <c r="B31" t="s">
        <v>29</v>
      </c>
      <c r="D31" s="30">
        <v>-35000</v>
      </c>
      <c r="F31" s="34" t="s">
        <v>84</v>
      </c>
      <c r="G31" s="25"/>
      <c r="H31" s="25"/>
      <c r="I31" s="25"/>
      <c r="J31" s="25"/>
      <c r="K31" s="25"/>
      <c r="L31" s="25"/>
    </row>
    <row r="32" spans="2:13" x14ac:dyDescent="0.25">
      <c r="B32" s="6" t="s">
        <v>13</v>
      </c>
      <c r="D32" s="29">
        <f>D30+D31</f>
        <v>379000</v>
      </c>
    </row>
    <row r="33" spans="2:12" x14ac:dyDescent="0.25">
      <c r="B33" t="s">
        <v>30</v>
      </c>
      <c r="D33" s="30">
        <f>D32*-0.4</f>
        <v>-151600</v>
      </c>
      <c r="F33" s="34" t="s">
        <v>85</v>
      </c>
      <c r="G33" s="25"/>
      <c r="H33" s="25"/>
      <c r="I33" s="25"/>
      <c r="J33" s="25"/>
      <c r="K33" s="25"/>
      <c r="L33" s="25"/>
    </row>
    <row r="34" spans="2:12" x14ac:dyDescent="0.25">
      <c r="B34" s="6" t="s">
        <v>15</v>
      </c>
      <c r="D34" s="20">
        <f>D32+D33</f>
        <v>227400</v>
      </c>
    </row>
    <row r="35" spans="2:12" x14ac:dyDescent="0.25">
      <c r="B35" t="s">
        <v>31</v>
      </c>
      <c r="D35" s="23">
        <v>-70000</v>
      </c>
      <c r="F35" s="34" t="s">
        <v>86</v>
      </c>
      <c r="G35" s="25"/>
      <c r="H35" s="25"/>
      <c r="I35" s="25"/>
      <c r="J35" s="25"/>
      <c r="K35" s="25"/>
      <c r="L35" s="25"/>
    </row>
    <row r="36" spans="2:12" x14ac:dyDescent="0.25">
      <c r="B36" s="36" t="s">
        <v>17</v>
      </c>
      <c r="C36" s="3"/>
      <c r="D36" s="87">
        <f>D34+D35</f>
        <v>157400</v>
      </c>
    </row>
    <row r="37" spans="2:12" x14ac:dyDescent="0.25">
      <c r="D37" s="12"/>
    </row>
    <row r="39" spans="2:12" ht="23.25" x14ac:dyDescent="0.35">
      <c r="B39" s="19" t="s">
        <v>32</v>
      </c>
    </row>
  </sheetData>
  <mergeCells count="6">
    <mergeCell ref="B22:D22"/>
    <mergeCell ref="B2:D2"/>
    <mergeCell ref="B3:D3"/>
    <mergeCell ref="B4:D4"/>
    <mergeCell ref="B20:D20"/>
    <mergeCell ref="B21:D2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0BC0E-F314-42FD-B72D-E638B91DFDB3}">
  <dimension ref="B1:N44"/>
  <sheetViews>
    <sheetView zoomScale="80" zoomScaleNormal="80" workbookViewId="0">
      <selection activeCell="H1" sqref="H1"/>
    </sheetView>
  </sheetViews>
  <sheetFormatPr baseColWidth="10" defaultColWidth="8.7109375" defaultRowHeight="15" x14ac:dyDescent="0.25"/>
  <cols>
    <col min="1" max="1" width="68.85546875" customWidth="1"/>
    <col min="2" max="2" width="15" customWidth="1"/>
    <col min="6" max="6" width="12.28515625" customWidth="1"/>
    <col min="7" max="7" width="13.42578125" customWidth="1"/>
    <col min="10" max="10" width="9.140625" bestFit="1" customWidth="1"/>
    <col min="14" max="14" width="12.85546875" bestFit="1" customWidth="1"/>
  </cols>
  <sheetData>
    <row r="1" spans="2:14" ht="23.25" x14ac:dyDescent="0.35">
      <c r="B1" s="19" t="s">
        <v>33</v>
      </c>
    </row>
    <row r="2" spans="2:14" ht="15" customHeight="1" x14ac:dyDescent="0.25">
      <c r="B2" s="107" t="s">
        <v>34</v>
      </c>
      <c r="C2" s="108"/>
      <c r="D2" s="108"/>
      <c r="E2" s="108"/>
      <c r="F2" s="108"/>
      <c r="G2" s="109"/>
      <c r="K2" s="113"/>
      <c r="L2" s="113"/>
      <c r="M2" s="113"/>
    </row>
    <row r="3" spans="2:14" ht="15" customHeight="1" x14ac:dyDescent="0.25">
      <c r="B3" s="110" t="s">
        <v>35</v>
      </c>
      <c r="C3" s="114"/>
      <c r="D3" s="114"/>
      <c r="E3" s="114"/>
      <c r="F3" s="114"/>
      <c r="G3" s="112"/>
      <c r="K3" s="113"/>
      <c r="L3" s="113"/>
      <c r="M3" s="113"/>
    </row>
    <row r="4" spans="2:14" ht="15" customHeight="1" x14ac:dyDescent="0.25">
      <c r="B4" s="95" t="s">
        <v>36</v>
      </c>
      <c r="C4" s="96"/>
      <c r="D4" s="96"/>
      <c r="E4" s="96"/>
      <c r="F4" s="96"/>
      <c r="G4" s="97"/>
      <c r="K4" s="113"/>
      <c r="L4" s="113"/>
      <c r="M4" s="113"/>
    </row>
    <row r="5" spans="2:14" x14ac:dyDescent="0.25">
      <c r="B5" s="37" t="s">
        <v>37</v>
      </c>
      <c r="C5" s="1"/>
      <c r="D5" s="1"/>
      <c r="E5" s="1"/>
      <c r="F5" s="1"/>
      <c r="G5" s="2"/>
      <c r="K5" s="1"/>
      <c r="L5" s="1"/>
      <c r="M5" s="1"/>
      <c r="N5" s="1"/>
    </row>
    <row r="6" spans="2:14" x14ac:dyDescent="0.25">
      <c r="B6" s="7" t="s">
        <v>38</v>
      </c>
      <c r="C6" s="1"/>
      <c r="D6" s="1"/>
      <c r="E6" s="1"/>
      <c r="F6" s="1"/>
      <c r="G6" s="20">
        <v>50000</v>
      </c>
      <c r="H6" s="73">
        <v>1</v>
      </c>
      <c r="K6" s="1"/>
      <c r="L6" s="1"/>
      <c r="M6" s="1"/>
      <c r="N6" s="27"/>
    </row>
    <row r="7" spans="2:14" x14ac:dyDescent="0.25">
      <c r="B7" s="7" t="s">
        <v>39</v>
      </c>
      <c r="C7" s="1"/>
      <c r="D7" s="1"/>
      <c r="E7" s="1"/>
      <c r="F7" s="1"/>
      <c r="G7" s="20">
        <v>15000</v>
      </c>
      <c r="H7" s="73">
        <v>2</v>
      </c>
      <c r="K7" s="31"/>
      <c r="L7" s="31"/>
      <c r="M7" s="32"/>
      <c r="N7" s="32"/>
    </row>
    <row r="8" spans="2:14" x14ac:dyDescent="0.25">
      <c r="B8" s="7" t="s">
        <v>40</v>
      </c>
      <c r="C8" s="1"/>
      <c r="D8" s="1"/>
      <c r="E8" s="1"/>
      <c r="F8" s="1"/>
      <c r="G8" s="20">
        <f>3000000*0.1</f>
        <v>300000</v>
      </c>
      <c r="H8" s="73">
        <v>3</v>
      </c>
      <c r="K8" s="31"/>
      <c r="L8" s="31"/>
      <c r="M8" s="32"/>
      <c r="N8" s="32"/>
    </row>
    <row r="9" spans="2:14" x14ac:dyDescent="0.25">
      <c r="B9" s="7" t="s">
        <v>41</v>
      </c>
      <c r="C9" s="1"/>
      <c r="D9" s="1"/>
      <c r="E9" s="1"/>
      <c r="F9" s="1"/>
      <c r="G9" s="20">
        <f>3000000*0.12</f>
        <v>360000</v>
      </c>
      <c r="H9" s="73">
        <v>4</v>
      </c>
      <c r="K9" s="31"/>
      <c r="L9" s="31"/>
      <c r="M9" s="32"/>
      <c r="N9" s="32"/>
    </row>
    <row r="10" spans="2:14" x14ac:dyDescent="0.25">
      <c r="B10" s="7" t="s">
        <v>42</v>
      </c>
      <c r="C10" s="1"/>
      <c r="D10" s="1"/>
      <c r="E10" s="1"/>
      <c r="F10" s="27">
        <f>600000+90000</f>
        <v>690000</v>
      </c>
      <c r="G10" s="20"/>
      <c r="H10" s="73">
        <v>5</v>
      </c>
      <c r="K10" s="31"/>
      <c r="L10" s="31"/>
      <c r="M10" s="32"/>
      <c r="N10" s="32"/>
    </row>
    <row r="11" spans="2:14" x14ac:dyDescent="0.25">
      <c r="B11" s="7" t="s">
        <v>43</v>
      </c>
      <c r="C11" s="1"/>
      <c r="D11" s="1"/>
      <c r="E11" s="1"/>
      <c r="F11" s="24">
        <v>-32000</v>
      </c>
      <c r="G11" s="20">
        <f>F10+F11</f>
        <v>658000</v>
      </c>
      <c r="H11" s="73">
        <v>5</v>
      </c>
      <c r="K11" s="31"/>
      <c r="L11" s="31"/>
      <c r="M11" s="32"/>
      <c r="N11" s="32"/>
    </row>
    <row r="12" spans="2:14" ht="15.75" thickBot="1" x14ac:dyDescent="0.3">
      <c r="B12" s="37" t="s">
        <v>44</v>
      </c>
      <c r="C12" s="1"/>
      <c r="D12" s="1"/>
      <c r="E12" s="1"/>
      <c r="F12" s="27"/>
      <c r="G12" s="38">
        <f>SUM(G6:G11)</f>
        <v>1383000</v>
      </c>
      <c r="H12" s="73"/>
      <c r="K12" s="31"/>
      <c r="L12" s="31"/>
      <c r="M12" s="32"/>
      <c r="N12" s="32"/>
    </row>
    <row r="13" spans="2:14" ht="15.75" thickTop="1" x14ac:dyDescent="0.25">
      <c r="B13" s="7" t="s">
        <v>45</v>
      </c>
      <c r="C13" s="1"/>
      <c r="D13" s="1"/>
      <c r="E13" s="1"/>
      <c r="F13" s="1"/>
      <c r="G13" s="20">
        <f>3000000*0.14</f>
        <v>420000.00000000006</v>
      </c>
      <c r="H13" s="73">
        <v>6</v>
      </c>
      <c r="K13" s="31"/>
      <c r="L13" s="31"/>
      <c r="M13" s="31"/>
      <c r="N13" s="32"/>
    </row>
    <row r="14" spans="2:14" x14ac:dyDescent="0.25">
      <c r="B14" s="7" t="s">
        <v>46</v>
      </c>
      <c r="C14" s="1"/>
      <c r="D14" s="1"/>
      <c r="E14" s="1"/>
      <c r="F14" s="1"/>
      <c r="G14" s="20">
        <v>60000</v>
      </c>
      <c r="H14" s="73">
        <v>7</v>
      </c>
      <c r="K14" s="31"/>
      <c r="L14" s="31"/>
      <c r="M14" s="31"/>
      <c r="N14" s="32"/>
    </row>
    <row r="15" spans="2:14" ht="15.75" thickBot="1" x14ac:dyDescent="0.3">
      <c r="B15" s="7" t="s">
        <v>47</v>
      </c>
      <c r="C15" s="1"/>
      <c r="D15" s="1"/>
      <c r="E15" s="1"/>
      <c r="F15" s="1"/>
      <c r="G15" s="39">
        <v>30000</v>
      </c>
      <c r="H15" s="73">
        <v>7</v>
      </c>
      <c r="K15" s="31"/>
      <c r="L15" s="31"/>
      <c r="M15" s="31"/>
      <c r="N15" s="32"/>
    </row>
    <row r="16" spans="2:14" x14ac:dyDescent="0.25">
      <c r="B16" s="37" t="s">
        <v>48</v>
      </c>
      <c r="C16" s="1"/>
      <c r="D16" s="1"/>
      <c r="E16" s="1"/>
      <c r="F16" s="1"/>
      <c r="G16" s="20">
        <f>SUM(G13:G15)</f>
        <v>510000.00000000006</v>
      </c>
      <c r="H16" s="73"/>
      <c r="K16" s="31"/>
      <c r="L16" s="31"/>
      <c r="M16" s="31"/>
      <c r="N16" s="32"/>
    </row>
    <row r="17" spans="2:14" ht="15.75" thickBot="1" x14ac:dyDescent="0.3">
      <c r="B17" s="7" t="s">
        <v>49</v>
      </c>
      <c r="C17" s="1"/>
      <c r="D17" s="1"/>
      <c r="E17" s="1"/>
      <c r="F17" s="1"/>
      <c r="G17" s="39">
        <v>350000</v>
      </c>
      <c r="H17" s="73">
        <v>7</v>
      </c>
      <c r="K17" s="31"/>
      <c r="L17" s="31"/>
      <c r="M17" s="31"/>
      <c r="N17" s="32"/>
    </row>
    <row r="18" spans="2:14" x14ac:dyDescent="0.25">
      <c r="B18" s="37" t="s">
        <v>50</v>
      </c>
      <c r="C18" s="1"/>
      <c r="D18" s="1"/>
      <c r="E18" s="1"/>
      <c r="F18" s="1"/>
      <c r="G18" s="20">
        <f>G16+G17</f>
        <v>860000</v>
      </c>
      <c r="H18" s="73"/>
      <c r="K18" s="31"/>
      <c r="L18" s="31"/>
      <c r="M18" s="31"/>
      <c r="N18" s="32"/>
    </row>
    <row r="19" spans="2:14" x14ac:dyDescent="0.25">
      <c r="B19" s="7" t="s">
        <v>51</v>
      </c>
      <c r="C19" s="1"/>
      <c r="D19" s="1"/>
      <c r="E19" s="1"/>
      <c r="F19" s="1"/>
      <c r="G19" s="20">
        <v>200000</v>
      </c>
      <c r="H19" s="73">
        <v>7</v>
      </c>
      <c r="K19" s="31"/>
      <c r="L19" s="31"/>
      <c r="M19" s="31"/>
      <c r="N19" s="32"/>
    </row>
    <row r="20" spans="2:14" x14ac:dyDescent="0.25">
      <c r="B20" s="7" t="s">
        <v>17</v>
      </c>
      <c r="C20" s="1"/>
      <c r="D20" s="1"/>
      <c r="E20" s="1"/>
      <c r="F20" s="27"/>
      <c r="G20" s="20">
        <f>220000+G27</f>
        <v>270000</v>
      </c>
      <c r="H20" s="73"/>
      <c r="N20" s="12"/>
    </row>
    <row r="21" spans="2:14" ht="15.75" thickBot="1" x14ac:dyDescent="0.3">
      <c r="B21" s="76" t="s">
        <v>52</v>
      </c>
      <c r="C21" s="77"/>
      <c r="D21" s="77"/>
      <c r="E21" s="77"/>
      <c r="F21" s="78"/>
      <c r="G21" s="79">
        <v>53000</v>
      </c>
      <c r="H21" s="73"/>
      <c r="I21" s="74" t="s">
        <v>89</v>
      </c>
      <c r="J21" s="73"/>
      <c r="K21" s="73"/>
      <c r="L21" s="73"/>
      <c r="M21" s="73"/>
      <c r="N21" s="12"/>
    </row>
    <row r="22" spans="2:14" ht="15.75" thickBot="1" x14ac:dyDescent="0.3">
      <c r="B22" s="40" t="s">
        <v>53</v>
      </c>
      <c r="C22" s="3"/>
      <c r="D22" s="3"/>
      <c r="E22" s="3"/>
      <c r="F22" s="3"/>
      <c r="G22" s="69">
        <f>SUM(G18:G21)</f>
        <v>1383000</v>
      </c>
      <c r="H22" s="73"/>
      <c r="N22" s="12"/>
    </row>
    <row r="23" spans="2:14" ht="15.75" thickTop="1" x14ac:dyDescent="0.25">
      <c r="B23" s="25"/>
      <c r="C23" s="25"/>
      <c r="D23" s="25"/>
      <c r="E23" s="25"/>
      <c r="F23" s="25"/>
      <c r="G23" s="25"/>
      <c r="H23" s="73"/>
      <c r="N23" s="12"/>
    </row>
    <row r="24" spans="2:14" x14ac:dyDescent="0.25">
      <c r="B24" s="6" t="s">
        <v>54</v>
      </c>
      <c r="H24" s="73"/>
    </row>
    <row r="25" spans="2:14" x14ac:dyDescent="0.25">
      <c r="B25" t="s">
        <v>55</v>
      </c>
      <c r="G25" s="12">
        <f>3000000*0.04</f>
        <v>120000</v>
      </c>
      <c r="H25" s="73">
        <v>8</v>
      </c>
    </row>
    <row r="26" spans="2:14" x14ac:dyDescent="0.25">
      <c r="B26" t="s">
        <v>56</v>
      </c>
      <c r="G26" s="24">
        <v>-70000</v>
      </c>
      <c r="H26" s="73">
        <v>8</v>
      </c>
    </row>
    <row r="27" spans="2:14" x14ac:dyDescent="0.25">
      <c r="B27" t="s">
        <v>57</v>
      </c>
      <c r="G27" s="27">
        <f>G25+G26</f>
        <v>50000</v>
      </c>
      <c r="H27" s="73"/>
    </row>
    <row r="28" spans="2:14" x14ac:dyDescent="0.25">
      <c r="B28" t="s">
        <v>58</v>
      </c>
      <c r="G28" s="24">
        <v>220000</v>
      </c>
      <c r="H28" s="73"/>
      <c r="I28" s="74" t="s">
        <v>87</v>
      </c>
      <c r="J28" s="73"/>
      <c r="K28" s="73"/>
      <c r="L28" s="73"/>
      <c r="M28" s="73"/>
    </row>
    <row r="29" spans="2:14" x14ac:dyDescent="0.25">
      <c r="B29" s="6" t="s">
        <v>88</v>
      </c>
      <c r="C29" s="6"/>
      <c r="D29" s="6"/>
      <c r="E29" s="6"/>
      <c r="F29" s="6"/>
      <c r="G29" s="75">
        <f>G27+G28</f>
        <v>270000</v>
      </c>
      <c r="H29" s="73"/>
    </row>
    <row r="30" spans="2:14" x14ac:dyDescent="0.25">
      <c r="B30" s="25"/>
      <c r="C30" s="25"/>
      <c r="D30" s="25"/>
      <c r="E30" s="25"/>
      <c r="F30" s="25"/>
      <c r="G30" s="25"/>
      <c r="H30" s="73"/>
    </row>
    <row r="31" spans="2:14" x14ac:dyDescent="0.25">
      <c r="H31" s="70"/>
    </row>
    <row r="32" spans="2:14" x14ac:dyDescent="0.25">
      <c r="H32" s="70"/>
    </row>
    <row r="33" spans="2:9" ht="23.25" x14ac:dyDescent="0.35">
      <c r="B33" s="19" t="s">
        <v>59</v>
      </c>
    </row>
    <row r="35" spans="2:9" x14ac:dyDescent="0.25">
      <c r="B35" s="6" t="s">
        <v>60</v>
      </c>
    </row>
    <row r="36" spans="2:9" x14ac:dyDescent="0.25">
      <c r="B36" t="s">
        <v>44</v>
      </c>
      <c r="G36" s="12">
        <f>G12</f>
        <v>1383000</v>
      </c>
      <c r="I36" t="s">
        <v>61</v>
      </c>
    </row>
    <row r="37" spans="2:9" x14ac:dyDescent="0.25">
      <c r="B37" t="s">
        <v>53</v>
      </c>
      <c r="G37" s="24">
        <v>1330000</v>
      </c>
      <c r="I37" t="s">
        <v>62</v>
      </c>
    </row>
    <row r="38" spans="2:9" x14ac:dyDescent="0.25">
      <c r="B38" s="6" t="s">
        <v>90</v>
      </c>
      <c r="C38" s="6"/>
      <c r="D38" s="6"/>
      <c r="E38" s="6"/>
      <c r="F38" s="6"/>
      <c r="G38" s="75">
        <f>G36-G37</f>
        <v>53000</v>
      </c>
    </row>
    <row r="40" spans="2:9" x14ac:dyDescent="0.25">
      <c r="B40" s="6" t="s">
        <v>63</v>
      </c>
    </row>
    <row r="41" spans="2:9" x14ac:dyDescent="0.25">
      <c r="B41" t="s">
        <v>64</v>
      </c>
    </row>
    <row r="43" spans="2:9" ht="23.25" x14ac:dyDescent="0.35">
      <c r="B43" s="19" t="s">
        <v>65</v>
      </c>
    </row>
    <row r="44" spans="2:9" x14ac:dyDescent="0.25">
      <c r="B44" t="s">
        <v>83</v>
      </c>
    </row>
  </sheetData>
  <mergeCells count="6">
    <mergeCell ref="K2:M2"/>
    <mergeCell ref="K3:M3"/>
    <mergeCell ref="K4:M4"/>
    <mergeCell ref="B2:G2"/>
    <mergeCell ref="B3:G3"/>
    <mergeCell ref="B4:G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B1A87-B351-4C6B-B583-E8331CDD0A8D}">
  <dimension ref="B1:R43"/>
  <sheetViews>
    <sheetView zoomScale="80" zoomScaleNormal="80" workbookViewId="0"/>
  </sheetViews>
  <sheetFormatPr baseColWidth="10" defaultColWidth="8.7109375" defaultRowHeight="15" x14ac:dyDescent="0.25"/>
  <cols>
    <col min="1" max="1" width="77" customWidth="1"/>
    <col min="7" max="7" width="14.85546875" customWidth="1"/>
    <col min="8" max="8" width="9" customWidth="1"/>
    <col min="10" max="10" width="24.7109375" customWidth="1"/>
    <col min="11" max="11" width="16.140625" customWidth="1"/>
    <col min="12" max="12" width="14.42578125" customWidth="1"/>
    <col min="13" max="13" width="15.85546875" customWidth="1"/>
    <col min="16" max="16" width="12.42578125" customWidth="1"/>
    <col min="20" max="20" width="10.85546875" customWidth="1"/>
    <col min="21" max="21" width="12.7109375" customWidth="1"/>
    <col min="22" max="22" width="11.5703125" customWidth="1"/>
    <col min="23" max="23" width="12.85546875" bestFit="1" customWidth="1"/>
    <col min="25" max="25" width="11.42578125" customWidth="1"/>
    <col min="26" max="26" width="12.5703125" customWidth="1"/>
    <col min="28" max="28" width="12.5703125" customWidth="1"/>
  </cols>
  <sheetData>
    <row r="1" spans="2:14" ht="23.25" x14ac:dyDescent="0.35">
      <c r="B1" s="19" t="s">
        <v>66</v>
      </c>
      <c r="D1" s="5" t="s">
        <v>91</v>
      </c>
    </row>
    <row r="2" spans="2:14" x14ac:dyDescent="0.25">
      <c r="B2" s="115" t="s">
        <v>67</v>
      </c>
      <c r="C2" s="116"/>
      <c r="D2" s="116"/>
      <c r="E2" s="116"/>
      <c r="F2" s="116"/>
      <c r="G2" s="117"/>
      <c r="H2" s="71"/>
    </row>
    <row r="3" spans="2:14" x14ac:dyDescent="0.25">
      <c r="B3" s="118" t="s">
        <v>102</v>
      </c>
      <c r="C3" s="119"/>
      <c r="D3" s="119"/>
      <c r="E3" s="119"/>
      <c r="F3" s="119"/>
      <c r="G3" s="120"/>
      <c r="H3" s="71"/>
    </row>
    <row r="4" spans="2:14" x14ac:dyDescent="0.25">
      <c r="B4" s="121" t="s">
        <v>68</v>
      </c>
      <c r="C4" s="122"/>
      <c r="D4" s="122"/>
      <c r="E4" s="122"/>
      <c r="F4" s="122"/>
      <c r="G4" s="123"/>
      <c r="H4" s="71"/>
      <c r="J4" s="50"/>
      <c r="K4" s="51"/>
      <c r="L4" s="51"/>
      <c r="M4" s="51"/>
      <c r="N4" s="52"/>
    </row>
    <row r="5" spans="2:14" x14ac:dyDescent="0.25">
      <c r="B5" s="62" t="s">
        <v>37</v>
      </c>
      <c r="C5" s="1"/>
      <c r="D5" s="1"/>
      <c r="E5" s="1"/>
      <c r="F5" s="1"/>
      <c r="G5" s="61"/>
      <c r="H5" s="1"/>
      <c r="J5" s="53"/>
      <c r="K5" s="35" t="s">
        <v>69</v>
      </c>
      <c r="L5" s="1"/>
      <c r="M5" s="1"/>
      <c r="N5" s="45"/>
    </row>
    <row r="6" spans="2:14" x14ac:dyDescent="0.25">
      <c r="B6" s="60" t="s">
        <v>38</v>
      </c>
      <c r="C6" s="1"/>
      <c r="D6" s="1"/>
      <c r="E6" s="1"/>
      <c r="F6" s="1"/>
      <c r="G6" s="63">
        <v>480000</v>
      </c>
      <c r="H6" s="73">
        <v>3</v>
      </c>
      <c r="J6" s="53"/>
      <c r="K6" s="81">
        <v>2007</v>
      </c>
      <c r="L6" s="81"/>
      <c r="M6" s="81">
        <v>2008</v>
      </c>
      <c r="N6" s="45"/>
    </row>
    <row r="7" spans="2:14" x14ac:dyDescent="0.25">
      <c r="B7" s="60" t="s">
        <v>39</v>
      </c>
      <c r="C7" s="1"/>
      <c r="D7" s="1"/>
      <c r="E7" s="1"/>
      <c r="F7" s="1"/>
      <c r="G7" s="63">
        <f>200*1000</f>
        <v>200000</v>
      </c>
      <c r="H7" s="73">
        <v>2</v>
      </c>
      <c r="I7" s="73">
        <v>4</v>
      </c>
      <c r="J7" s="53" t="s">
        <v>93</v>
      </c>
      <c r="K7" s="27">
        <f>4000000+650000</f>
        <v>4650000</v>
      </c>
      <c r="L7" s="27"/>
      <c r="M7" s="27">
        <f>K7+850000</f>
        <v>5500000</v>
      </c>
      <c r="N7" s="45"/>
    </row>
    <row r="8" spans="2:14" x14ac:dyDescent="0.25">
      <c r="B8" s="60" t="s">
        <v>70</v>
      </c>
      <c r="C8" s="1"/>
      <c r="D8" s="1"/>
      <c r="E8" s="1"/>
      <c r="F8" s="1"/>
      <c r="G8" s="63">
        <f>12000000*0.12</f>
        <v>1440000</v>
      </c>
      <c r="H8" s="80" t="s">
        <v>92</v>
      </c>
      <c r="I8" s="73">
        <v>4</v>
      </c>
      <c r="J8" s="53" t="s">
        <v>94</v>
      </c>
      <c r="K8" s="27">
        <f>K7-290000</f>
        <v>4360000</v>
      </c>
      <c r="L8" s="27"/>
      <c r="M8" s="27">
        <f>M7-390000</f>
        <v>5110000</v>
      </c>
      <c r="N8" s="45"/>
    </row>
    <row r="9" spans="2:14" x14ac:dyDescent="0.25">
      <c r="B9" s="60" t="s">
        <v>71</v>
      </c>
      <c r="C9" s="1"/>
      <c r="D9" s="1"/>
      <c r="E9" s="1"/>
      <c r="F9" s="1"/>
      <c r="G9" s="64">
        <f>12000000*0.18</f>
        <v>2160000</v>
      </c>
      <c r="H9" s="80" t="s">
        <v>92</v>
      </c>
      <c r="J9" s="46"/>
      <c r="K9" s="47"/>
      <c r="L9" s="47"/>
      <c r="M9" s="47"/>
      <c r="N9" s="48"/>
    </row>
    <row r="10" spans="2:14" x14ac:dyDescent="0.25">
      <c r="B10" s="62" t="s">
        <v>72</v>
      </c>
      <c r="C10" s="1"/>
      <c r="D10" s="1"/>
      <c r="E10" s="1"/>
      <c r="F10" s="1"/>
      <c r="G10" s="63">
        <f>SUM(G6:G9)</f>
        <v>4280000</v>
      </c>
      <c r="H10" s="73"/>
    </row>
    <row r="11" spans="2:14" x14ac:dyDescent="0.25">
      <c r="B11" s="60" t="s">
        <v>73</v>
      </c>
      <c r="C11" s="1"/>
      <c r="D11" s="1"/>
      <c r="E11" s="1"/>
      <c r="F11" s="1"/>
      <c r="G11" s="64">
        <f>M8</f>
        <v>5110000</v>
      </c>
      <c r="H11" s="73">
        <v>4</v>
      </c>
    </row>
    <row r="12" spans="2:14" ht="15.75" thickBot="1" x14ac:dyDescent="0.3">
      <c r="B12" s="62" t="s">
        <v>74</v>
      </c>
      <c r="C12" s="1"/>
      <c r="D12" s="1"/>
      <c r="E12" s="1"/>
      <c r="F12" s="1"/>
      <c r="G12" s="85">
        <f>G10+G11</f>
        <v>9390000</v>
      </c>
      <c r="H12" s="73"/>
    </row>
    <row r="13" spans="2:14" ht="15.75" thickTop="1" x14ac:dyDescent="0.25">
      <c r="B13" s="60" t="s">
        <v>45</v>
      </c>
      <c r="C13" s="1"/>
      <c r="D13" s="31"/>
      <c r="E13" s="31"/>
      <c r="F13" s="31"/>
      <c r="G13" s="65">
        <f>12000000*0.14</f>
        <v>1680000.0000000002</v>
      </c>
      <c r="H13" s="73" t="s">
        <v>92</v>
      </c>
      <c r="J13" s="50"/>
      <c r="K13" s="51"/>
      <c r="L13" s="51"/>
      <c r="M13" s="51"/>
      <c r="N13" s="52"/>
    </row>
    <row r="14" spans="2:14" x14ac:dyDescent="0.25">
      <c r="B14" s="60" t="s">
        <v>103</v>
      </c>
      <c r="C14" s="1"/>
      <c r="D14" s="31"/>
      <c r="E14" s="31"/>
      <c r="F14" s="31"/>
      <c r="G14" s="65">
        <v>500000</v>
      </c>
      <c r="H14" s="73">
        <v>5</v>
      </c>
      <c r="J14" s="53"/>
      <c r="K14" s="35" t="s">
        <v>96</v>
      </c>
      <c r="L14" s="1"/>
      <c r="M14" s="1"/>
      <c r="N14" s="45"/>
    </row>
    <row r="15" spans="2:14" x14ac:dyDescent="0.25">
      <c r="B15" s="66" t="s">
        <v>47</v>
      </c>
      <c r="C15" s="1"/>
      <c r="D15" s="31"/>
      <c r="E15" s="67"/>
      <c r="F15" s="31"/>
      <c r="G15" s="64">
        <f>80*1000</f>
        <v>80000</v>
      </c>
      <c r="H15" s="73">
        <v>2</v>
      </c>
      <c r="J15" s="53"/>
      <c r="K15" s="81">
        <v>2006</v>
      </c>
      <c r="L15" s="81">
        <v>2007</v>
      </c>
      <c r="M15" s="81">
        <v>2008</v>
      </c>
      <c r="N15" s="45"/>
    </row>
    <row r="16" spans="2:14" x14ac:dyDescent="0.25">
      <c r="B16" s="62" t="s">
        <v>75</v>
      </c>
      <c r="C16" s="1"/>
      <c r="D16" s="31"/>
      <c r="E16" s="67"/>
      <c r="F16" s="31"/>
      <c r="G16" s="65">
        <f>SUM(G13:G15)</f>
        <v>2260000</v>
      </c>
      <c r="H16" s="73"/>
      <c r="I16" s="73">
        <v>1</v>
      </c>
      <c r="J16" s="53" t="s">
        <v>95</v>
      </c>
      <c r="K16" s="27">
        <f>10000000*0.03</f>
        <v>300000</v>
      </c>
      <c r="L16" s="59">
        <f>11000000*0.03</f>
        <v>330000</v>
      </c>
      <c r="M16" s="59">
        <f>12000000*0.03</f>
        <v>360000</v>
      </c>
      <c r="N16" s="45"/>
    </row>
    <row r="17" spans="2:18" x14ac:dyDescent="0.25">
      <c r="B17" s="60" t="s">
        <v>49</v>
      </c>
      <c r="C17" s="1"/>
      <c r="D17" s="31"/>
      <c r="E17" s="31"/>
      <c r="F17" s="31"/>
      <c r="G17" s="68">
        <f>2000*1000</f>
        <v>2000000</v>
      </c>
      <c r="H17" s="73">
        <v>6</v>
      </c>
      <c r="I17" s="73">
        <v>8</v>
      </c>
      <c r="J17" s="53" t="s">
        <v>56</v>
      </c>
      <c r="K17" s="27">
        <f>K16*0.5</f>
        <v>150000</v>
      </c>
      <c r="L17" s="59">
        <f>L16*0.5</f>
        <v>165000</v>
      </c>
      <c r="M17" s="82">
        <f>M16*0.5</f>
        <v>180000</v>
      </c>
      <c r="N17" s="45"/>
    </row>
    <row r="18" spans="2:18" ht="15.75" thickBot="1" x14ac:dyDescent="0.3">
      <c r="B18" s="92" t="s">
        <v>80</v>
      </c>
      <c r="C18" s="77"/>
      <c r="D18" s="77"/>
      <c r="E18" s="77"/>
      <c r="F18" s="77"/>
      <c r="G18" s="79">
        <f>+G40</f>
        <v>1065000</v>
      </c>
      <c r="H18" s="73"/>
      <c r="J18" s="46"/>
      <c r="K18" s="54"/>
      <c r="L18" s="54"/>
      <c r="M18" s="54"/>
      <c r="N18" s="48"/>
    </row>
    <row r="19" spans="2:18" x14ac:dyDescent="0.25">
      <c r="B19" s="62" t="s">
        <v>76</v>
      </c>
      <c r="C19" s="1"/>
      <c r="D19" s="31"/>
      <c r="E19" s="31"/>
      <c r="F19" s="31"/>
      <c r="G19" s="65">
        <f>SUM(G16:G17)</f>
        <v>4260000</v>
      </c>
      <c r="H19" s="73">
        <v>7</v>
      </c>
      <c r="J19" s="28"/>
      <c r="K19" s="28"/>
      <c r="L19" s="28"/>
      <c r="M19" s="28"/>
      <c r="N19" s="28"/>
    </row>
    <row r="20" spans="2:18" x14ac:dyDescent="0.25">
      <c r="B20" s="60" t="s">
        <v>77</v>
      </c>
      <c r="C20" s="1"/>
      <c r="D20" s="1"/>
      <c r="E20" s="1"/>
      <c r="F20" s="1"/>
      <c r="G20" s="63">
        <f>3720*1000</f>
        <v>3720000</v>
      </c>
      <c r="H20" s="73"/>
      <c r="J20" s="41"/>
      <c r="K20" s="42"/>
      <c r="L20" s="42"/>
      <c r="M20" s="42" t="s">
        <v>78</v>
      </c>
      <c r="N20" s="42"/>
      <c r="O20" s="42"/>
      <c r="P20" s="42" t="s">
        <v>79</v>
      </c>
      <c r="Q20" s="42"/>
      <c r="R20" s="56"/>
    </row>
    <row r="21" spans="2:18" x14ac:dyDescent="0.25">
      <c r="B21" s="89" t="s">
        <v>101</v>
      </c>
      <c r="C21" s="90"/>
      <c r="D21" s="90"/>
      <c r="E21" s="90"/>
      <c r="F21" s="90"/>
      <c r="G21" s="91">
        <f>P27</f>
        <v>345000</v>
      </c>
      <c r="H21" s="73"/>
      <c r="J21" s="43"/>
      <c r="K21" s="44"/>
      <c r="L21" s="44"/>
      <c r="M21" s="44"/>
      <c r="N21" s="44"/>
      <c r="O21" s="44"/>
      <c r="P21" s="44"/>
      <c r="Q21" s="44"/>
      <c r="R21" s="57"/>
    </row>
    <row r="22" spans="2:18" ht="15.75" thickBot="1" x14ac:dyDescent="0.3">
      <c r="B22" s="62" t="s">
        <v>81</v>
      </c>
      <c r="C22" s="1"/>
      <c r="D22" s="1"/>
      <c r="E22" s="1"/>
      <c r="F22" s="1"/>
      <c r="G22" s="85">
        <f>G19+G20+G21+G18</f>
        <v>9390000</v>
      </c>
      <c r="H22" s="73"/>
      <c r="J22" s="43"/>
      <c r="K22" s="44"/>
      <c r="L22" s="44"/>
      <c r="M22" s="44"/>
      <c r="N22" s="44"/>
      <c r="O22" s="44"/>
      <c r="P22" s="44"/>
      <c r="Q22" s="44"/>
      <c r="R22" s="57"/>
    </row>
    <row r="23" spans="2:18" ht="15.75" thickTop="1" x14ac:dyDescent="0.25">
      <c r="H23" s="73"/>
      <c r="J23" s="43" t="s">
        <v>82</v>
      </c>
      <c r="K23" s="44"/>
      <c r="L23" s="44"/>
      <c r="M23" s="27">
        <f>L16</f>
        <v>330000</v>
      </c>
      <c r="N23" s="1"/>
      <c r="O23" s="1"/>
      <c r="P23" s="27">
        <f>M16</f>
        <v>360000</v>
      </c>
      <c r="Q23" s="1"/>
      <c r="R23" s="57"/>
    </row>
    <row r="24" spans="2:18" x14ac:dyDescent="0.25">
      <c r="G24" s="12"/>
      <c r="H24" s="73"/>
      <c r="J24" s="43" t="s">
        <v>104</v>
      </c>
      <c r="K24" s="44"/>
      <c r="L24" s="44"/>
      <c r="M24" s="24">
        <f>-L17</f>
        <v>-165000</v>
      </c>
      <c r="N24" s="1"/>
      <c r="O24" s="1"/>
      <c r="P24" s="24">
        <f>-M17</f>
        <v>-180000</v>
      </c>
      <c r="Q24" s="1"/>
      <c r="R24" s="57"/>
    </row>
    <row r="25" spans="2:18" x14ac:dyDescent="0.25">
      <c r="G25" s="12"/>
      <c r="H25" s="12"/>
      <c r="J25" s="43" t="s">
        <v>17</v>
      </c>
      <c r="K25" s="44"/>
      <c r="L25" s="44"/>
      <c r="M25" s="27">
        <f>M23+M24</f>
        <v>165000</v>
      </c>
      <c r="N25" s="1"/>
      <c r="O25" s="1"/>
      <c r="P25" s="27">
        <f>P23+P24</f>
        <v>180000</v>
      </c>
      <c r="Q25" s="1"/>
      <c r="R25" s="57"/>
    </row>
    <row r="26" spans="2:18" x14ac:dyDescent="0.25">
      <c r="J26" s="43" t="s">
        <v>97</v>
      </c>
      <c r="K26" s="44"/>
      <c r="L26" s="44"/>
      <c r="M26" s="49">
        <f>0</f>
        <v>0</v>
      </c>
      <c r="N26" s="1"/>
      <c r="O26" s="1"/>
      <c r="P26" s="55">
        <f>M27</f>
        <v>165000</v>
      </c>
      <c r="Q26" s="1"/>
      <c r="R26" s="57"/>
    </row>
    <row r="27" spans="2:18" x14ac:dyDescent="0.25">
      <c r="J27" s="43" t="s">
        <v>98</v>
      </c>
      <c r="K27" s="44"/>
      <c r="L27" s="44"/>
      <c r="M27" s="83">
        <f>SUM(M25:M26)</f>
        <v>165000</v>
      </c>
      <c r="N27" s="35"/>
      <c r="O27" s="35"/>
      <c r="P27" s="84">
        <f>P25+P26</f>
        <v>345000</v>
      </c>
      <c r="Q27" s="1"/>
      <c r="R27" s="57"/>
    </row>
    <row r="28" spans="2:18" x14ac:dyDescent="0.25">
      <c r="J28" s="46"/>
      <c r="K28" s="47"/>
      <c r="L28" s="47"/>
      <c r="M28" s="47"/>
      <c r="N28" s="47"/>
      <c r="O28" s="47"/>
      <c r="P28" s="47"/>
      <c r="Q28" s="47"/>
      <c r="R28" s="58"/>
    </row>
    <row r="33" spans="2:10" x14ac:dyDescent="0.25">
      <c r="G33" s="12"/>
      <c r="H33" s="12"/>
    </row>
    <row r="34" spans="2:10" x14ac:dyDescent="0.25">
      <c r="G34" s="12"/>
      <c r="H34" s="12"/>
    </row>
    <row r="35" spans="2:10" ht="23.25" x14ac:dyDescent="0.35">
      <c r="B35" s="19" t="s">
        <v>59</v>
      </c>
      <c r="G35" s="12"/>
      <c r="H35" s="12"/>
    </row>
    <row r="36" spans="2:10" x14ac:dyDescent="0.25">
      <c r="G36" s="12"/>
      <c r="H36" s="12"/>
    </row>
    <row r="37" spans="2:10" x14ac:dyDescent="0.25">
      <c r="B37" s="6" t="s">
        <v>60</v>
      </c>
    </row>
    <row r="38" spans="2:10" x14ac:dyDescent="0.25">
      <c r="B38" t="s">
        <v>44</v>
      </c>
      <c r="G38" s="12">
        <f>G12</f>
        <v>9390000</v>
      </c>
      <c r="H38" s="12"/>
      <c r="J38" t="s">
        <v>61</v>
      </c>
    </row>
    <row r="39" spans="2:10" x14ac:dyDescent="0.25">
      <c r="B39" t="s">
        <v>53</v>
      </c>
      <c r="G39" s="24">
        <f>G19+G20+G21</f>
        <v>8325000</v>
      </c>
      <c r="H39" s="27"/>
      <c r="J39" t="s">
        <v>62</v>
      </c>
    </row>
    <row r="40" spans="2:10" x14ac:dyDescent="0.25">
      <c r="B40" s="93" t="s">
        <v>99</v>
      </c>
      <c r="C40" s="93"/>
      <c r="D40" s="93"/>
      <c r="E40" s="93"/>
      <c r="F40" s="93"/>
      <c r="G40" s="94">
        <f>G38-G39</f>
        <v>1065000</v>
      </c>
      <c r="H40" s="12"/>
    </row>
    <row r="42" spans="2:10" x14ac:dyDescent="0.25">
      <c r="B42" s="6" t="s">
        <v>63</v>
      </c>
    </row>
    <row r="43" spans="2:10" x14ac:dyDescent="0.25">
      <c r="B43" t="s">
        <v>105</v>
      </c>
    </row>
  </sheetData>
  <mergeCells count="3">
    <mergeCell ref="B2:G2"/>
    <mergeCell ref="B3:G3"/>
    <mergeCell ref="B4:G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EJ. PROFORMA E.R</vt:lpstr>
      <vt:lpstr>EJ. PROFORMA B.G.1</vt:lpstr>
      <vt:lpstr>EJ. PROFORMA B.G.2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CID CANALES</dc:creator>
  <cp:keywords/>
  <dc:description/>
  <cp:lastModifiedBy>CID CANALES</cp:lastModifiedBy>
  <cp:revision/>
  <dcterms:created xsi:type="dcterms:W3CDTF">2021-03-04T00:21:25Z</dcterms:created>
  <dcterms:modified xsi:type="dcterms:W3CDTF">2021-06-12T12:29:01Z</dcterms:modified>
  <cp:category/>
  <cp:contentStatus/>
</cp:coreProperties>
</file>