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BBC5D10-0559-4FEC-BD57-FD99455A2019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G19" i="2"/>
  <c r="C16" i="1"/>
  <c r="E3" i="3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K6" i="1" l="1"/>
  <c r="H12" i="3" l="1"/>
  <c r="E12" i="3"/>
  <c r="C5" i="3"/>
  <c r="C6" i="3"/>
  <c r="C7" i="3"/>
  <c r="C8" i="3"/>
  <c r="C9" i="3"/>
  <c r="C10" i="3"/>
  <c r="C11" i="3"/>
  <c r="C12" i="3"/>
  <c r="C4" i="3"/>
  <c r="H12" i="2"/>
  <c r="G12" i="2"/>
  <c r="E12" i="2"/>
  <c r="H11" i="3"/>
  <c r="E11" i="3"/>
  <c r="G11" i="2"/>
  <c r="E11" i="2"/>
  <c r="G12" i="3" l="1"/>
  <c r="I12" i="3" s="1"/>
  <c r="G11" i="3"/>
  <c r="I11" i="3" s="1"/>
  <c r="C13" i="1"/>
  <c r="G4" i="2"/>
  <c r="G5" i="2"/>
  <c r="G6" i="2"/>
  <c r="G7" i="2"/>
  <c r="G8" i="2"/>
  <c r="G9" i="2"/>
  <c r="G10" i="2"/>
  <c r="G3" i="2"/>
  <c r="J12" i="3" l="1"/>
  <c r="J11" i="3"/>
  <c r="H11" i="2"/>
  <c r="E4" i="3"/>
  <c r="E5" i="3"/>
  <c r="E6" i="3"/>
  <c r="E7" i="3"/>
  <c r="E8" i="3"/>
  <c r="E9" i="3"/>
  <c r="E10" i="3"/>
  <c r="H4" i="3"/>
  <c r="H5" i="3"/>
  <c r="H6" i="3"/>
  <c r="H7" i="3"/>
  <c r="H8" i="3"/>
  <c r="H9" i="3"/>
  <c r="H10" i="3"/>
  <c r="H3" i="3"/>
  <c r="E10" i="2"/>
  <c r="E9" i="2"/>
  <c r="E8" i="2"/>
  <c r="E7" i="2"/>
  <c r="E6" i="2"/>
  <c r="E5" i="2"/>
  <c r="E4" i="2"/>
  <c r="E3" i="2"/>
  <c r="H10" i="2" l="1"/>
  <c r="H6" i="2"/>
  <c r="H5" i="2"/>
  <c r="H4" i="2"/>
  <c r="H9" i="2"/>
  <c r="H7" i="2"/>
  <c r="C15" i="1"/>
  <c r="G10" i="3"/>
  <c r="G4" i="3"/>
  <c r="G19" i="3" s="1"/>
  <c r="G3" i="3"/>
  <c r="G7" i="3"/>
  <c r="I7" i="3" s="1"/>
  <c r="G6" i="3"/>
  <c r="I6" i="3" s="1"/>
  <c r="G8" i="3"/>
  <c r="G9" i="3"/>
  <c r="I9" i="3" s="1"/>
  <c r="G5" i="3"/>
  <c r="I5" i="3" s="1"/>
  <c r="I4" i="3" l="1"/>
  <c r="J8" i="3"/>
  <c r="I8" i="3"/>
  <c r="I10" i="3"/>
  <c r="H19" i="2"/>
  <c r="J7" i="3"/>
  <c r="J10" i="3"/>
  <c r="J6" i="3"/>
  <c r="J5" i="3"/>
  <c r="J9" i="3"/>
  <c r="J4" i="3"/>
  <c r="J3" i="3"/>
  <c r="I3" i="3"/>
  <c r="F5" i="1" l="1"/>
  <c r="C11" i="1"/>
  <c r="C10" i="1"/>
  <c r="F6" i="1"/>
  <c r="I7" i="1"/>
  <c r="F7" i="1" l="1"/>
  <c r="C14" i="1"/>
  <c r="K7" i="1" l="1"/>
  <c r="C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<sst xmlns="http://schemas.openxmlformats.org/spreadsheetml/2006/main" count="73" uniqueCount="51">
  <si>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</si>
  <si>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</si>
  <si>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</si>
  <si>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</si>
  <si>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</si>
  <si>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</si>
  <si>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</si>
  <si>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</si>
  <si>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</si>
  <si>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</si>
  <si>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</si>
  <si>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</si>
  <si>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</si>
  <si>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</si>
  <si>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</si>
  <si>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</si>
  <si>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</si>
  <si>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</si>
  <si>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1397/07/08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</si>
  <si>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</si>
  <si>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</si>
  <si>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</si>
  <si>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</si>
  <si>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</si>
  <si>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</si>
  <si>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</si>
  <si>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</si>
  <si>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</si>
  <si>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</si>
  <si>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</si>
  <si>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</si>
  <si>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</si>
  <si>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</si>
  <si>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</si>
  <si>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</si>
  <si>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</si>
  <si>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</si>
  <si>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</si>
  <si>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</si>
  <si>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</si>
  <si>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</si>
  <si>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</si>
  <si>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</si>
  <si>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</si>
  <si>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</si>
  <si>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</si>
  <si>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</si>
  <si>
    <t>حدضرر</t>
  </si>
  <si>
    <t>وضعیت</t>
  </si>
  <si>
    <t>باقیمانده حساب آگاه</t>
  </si>
  <si>
    <t>ضرر سهام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</si>
</sst>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 vertic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" fontId="1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7" fontId="1" fillId="3" borderId="5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12" xfId="0" applyNumberFormat="1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7" fontId="1" fillId="7" borderId="1" xfId="0" applyNumberFormat="1" applyFon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17"/>
  <sheetViews>
    <sheetView rightToLeft="1" workbookViewId="0">
      <selection activeCell="C17" sqref="C17"/>
    </sheetView>
  </sheetViews>
  <sheetFormatPr defaultRowHeight="15" x14ac:dyDescent="0.25"/>
  <cols>
    <col min="1" max="1" width="12.7109375" customWidth="1"/>
    <col min="2" max="2" width="14.85546875" customWidth="1"/>
    <col min="3" max="3" width="20.42578125" customWidth="1"/>
    <col min="6" max="6" width="14.28515625" customWidth="1"/>
  </cols>
  <sheetData>
    <row r="4" spans="1:12" ht="18" x14ac:dyDescent="0.45">
      <c r="A4" s="33" t="s">
        <v>0</v>
      </c>
      <c r="B4" s="33"/>
      <c r="C4" s="34"/>
      <c r="E4" s="36" t="s">
        <v>36</v>
      </c>
      <c r="F4" s="36"/>
      <c r="G4" s="36"/>
      <c r="I4" s="29" t="s">
        <v>40</v>
      </c>
      <c r="J4" s="30"/>
      <c r="K4" s="29" t="s">
        <v>7</v>
      </c>
      <c r="L4" s="30"/>
    </row>
    <row r="5" spans="1:12" ht="19.5" customHeight="1" x14ac:dyDescent="0.45">
      <c r="A5" s="3" t="s">
        <v>1</v>
      </c>
      <c r="B5" s="3" t="s">
        <v>33</v>
      </c>
      <c r="C5" s="3" t="s">
        <v>2</v>
      </c>
      <c r="E5" s="3" t="s">
        <v>5</v>
      </c>
      <c r="F5" s="41">
        <f>SUMIFS(Sheet3!J3:J18,Sheet3!J3:J18,"&gt;0",Sheet3!K3:K18,"&gt;0")</f>
        <v>29811300.766079135</v>
      </c>
      <c r="G5" s="42"/>
      <c r="I5" s="31"/>
      <c r="J5" s="32"/>
      <c r="K5" s="31"/>
      <c r="L5" s="32"/>
    </row>
    <row r="6" spans="1:12" ht="19.5" customHeight="1" x14ac:dyDescent="0.45">
      <c r="A6" s="1" t="s">
        <v>4</v>
      </c>
      <c r="B6" s="2" t="s">
        <v>34</v>
      </c>
      <c r="C6" s="2">
        <v>140000000</v>
      </c>
      <c r="E6" s="3" t="s">
        <v>30</v>
      </c>
      <c r="F6" s="39">
        <f>ABS(SUMIFS(Sheet3!J3:J18,Sheet3!J3:J18,"&lt;0",Sheet3!K3:K18,"&gt;0"))</f>
        <v>7897962.3539690319</v>
      </c>
      <c r="G6" s="40"/>
      <c r="I6" s="45" t="s">
        <v>46</v>
      </c>
      <c r="J6" s="45"/>
      <c r="K6" s="43">
        <f>DATEDIF(Sheet2!B4,Sheet3!B4,"d")</f>
        <v>18</v>
      </c>
      <c r="L6" s="44"/>
    </row>
    <row r="7" spans="1:12" ht="19.5" x14ac:dyDescent="0.5">
      <c r="A7" s="1" t="s">
        <v>19</v>
      </c>
      <c r="B7" s="2" t="s">
        <v>34</v>
      </c>
      <c r="C7" s="2">
        <v>10000000</v>
      </c>
      <c r="E7" s="3" t="s">
        <v>6</v>
      </c>
      <c r="F7" s="37">
        <f>F5-F6</f>
        <v>21913338.412110105</v>
      </c>
      <c r="G7" s="38"/>
      <c r="I7" s="46">
        <f>((C16*100)/C15)-100</f>
        <v>10.358876305946026</v>
      </c>
      <c r="J7" s="47"/>
      <c r="K7" s="46">
        <f>((C16*100)/C14)-100</f>
        <v>-1.3941298687093848</v>
      </c>
      <c r="L7" s="47"/>
    </row>
    <row r="8" spans="1:12" ht="19.5" customHeight="1" x14ac:dyDescent="0.45">
      <c r="A8" s="1" t="s">
        <v>42</v>
      </c>
      <c r="B8" s="2" t="s">
        <v>34</v>
      </c>
      <c r="C8" s="2">
        <v>30000000</v>
      </c>
      <c r="I8" s="48"/>
      <c r="J8" s="49"/>
      <c r="K8" s="48"/>
      <c r="L8" s="49"/>
    </row>
    <row r="9" spans="1:12" ht="19.5" customHeight="1" x14ac:dyDescent="0.45">
      <c r="A9" s="1" t="s">
        <v>41</v>
      </c>
      <c r="B9" s="2" t="s">
        <v>34</v>
      </c>
      <c r="C9" s="2">
        <v>70000000</v>
      </c>
      <c r="I9" s="50"/>
      <c r="J9" s="51"/>
      <c r="K9" s="50"/>
      <c r="L9" s="51"/>
    </row>
    <row r="10" spans="1:12" ht="18" x14ac:dyDescent="0.45">
      <c r="A10" s="1" t="s">
        <v>18</v>
      </c>
      <c r="B10" s="2" t="s">
        <v>43</v>
      </c>
      <c r="C10" s="2">
        <f>SUMIFS(Sheet3!J3:J18,Sheet3!K3:K18,"=0",Sheet3!J3:J18,"&gt;0")</f>
        <v>5305376.0003533661</v>
      </c>
    </row>
    <row r="11" spans="1:12" ht="18" x14ac:dyDescent="0.45">
      <c r="A11" s="1" t="s">
        <v>41</v>
      </c>
      <c r="B11" s="2" t="s">
        <v>50</v>
      </c>
      <c r="C11" s="2">
        <f>ABS(SUMIFS(Sheet3!J3:J18,Sheet3!K3:K18,"=0",Sheet3!J3:J18,"&lt;0"))</f>
        <v>3100709.4131826907</v>
      </c>
    </row>
    <row r="12" spans="1:12" ht="18" x14ac:dyDescent="0.45">
      <c r="A12" s="1"/>
      <c r="B12" s="2"/>
      <c r="C12" s="1"/>
    </row>
    <row r="13" spans="1:12" ht="18" x14ac:dyDescent="0.45">
      <c r="A13" s="36" t="s">
        <v>0</v>
      </c>
      <c r="B13" s="36"/>
      <c r="C13" s="4">
        <f>SUM(C6:C9)</f>
        <v>250000000</v>
      </c>
    </row>
    <row r="14" spans="1:12" ht="18" x14ac:dyDescent="0.45">
      <c r="A14" s="36" t="s">
        <v>39</v>
      </c>
      <c r="B14" s="36"/>
      <c r="C14" s="4">
        <f>SUM(C13,(C10-C11))</f>
        <v>252204666.58717066</v>
      </c>
    </row>
    <row r="15" spans="1:12" ht="19.5" x14ac:dyDescent="0.5">
      <c r="A15" s="35" t="s">
        <v>38</v>
      </c>
      <c r="B15" s="35"/>
      <c r="C15" s="28">
        <f>Sheet2!G19</f>
        <v>225345359</v>
      </c>
    </row>
    <row r="16" spans="1:12" ht="19.5" x14ac:dyDescent="0.5">
      <c r="A16" s="35" t="s">
        <v>31</v>
      </c>
      <c r="B16" s="35"/>
      <c r="C16" s="28">
        <f>SUMIF(Sheet3!K3:K18,"&gt;0",Sheet3!E3:E18)</f>
        <v>248688606</v>
      </c>
    </row>
    <row r="17" spans="1:3" ht="19.5" x14ac:dyDescent="0.5">
      <c r="A17" s="35" t="s">
        <v>49</v>
      </c>
      <c r="B17" s="35"/>
      <c r="C17" s="28">
        <f>C14-C15</f>
        <v>26859307.58717066</v>
      </c>
    </row>
  </sheetData>
  <mergeCells count="16">
    <mergeCell ref="A17:B17"/>
    <mergeCell ref="K4:L5"/>
    <mergeCell ref="I4:J5"/>
    <mergeCell ref="A4:C4"/>
    <mergeCell ref="A15:B15"/>
    <mergeCell ref="A16:B16"/>
    <mergeCell ref="E4:G4"/>
    <mergeCell ref="F7:G7"/>
    <mergeCell ref="F6:G6"/>
    <mergeCell ref="F5:G5"/>
    <mergeCell ref="K6:L6"/>
    <mergeCell ref="I6:J6"/>
    <mergeCell ref="A14:B14"/>
    <mergeCell ref="I7:J9"/>
    <mergeCell ref="K7:L9"/>
    <mergeCell ref="A1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F4" sqref="F4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52" t="s">
        <v>8</v>
      </c>
      <c r="B1" s="53"/>
      <c r="C1" s="53"/>
      <c r="D1" s="53"/>
      <c r="E1" s="53"/>
      <c r="F1" s="53"/>
      <c r="G1" s="53"/>
      <c r="H1" s="53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25</v>
      </c>
      <c r="F2" s="5" t="s">
        <v>12</v>
      </c>
      <c r="G2" s="5" t="s">
        <v>13</v>
      </c>
      <c r="H2" s="5" t="s">
        <v>35</v>
      </c>
      <c r="I2" s="5" t="s">
        <v>47</v>
      </c>
    </row>
    <row r="3" spans="1:12" ht="18" x14ac:dyDescent="0.45">
      <c r="A3" s="14" t="s">
        <v>14</v>
      </c>
      <c r="B3" s="15">
        <v>35607</v>
      </c>
      <c r="C3" s="14">
        <v>7658</v>
      </c>
      <c r="D3" s="16">
        <v>5199</v>
      </c>
      <c r="E3" s="17">
        <f t="shared" ref="E3:E12" si="0">D3*C3</f>
        <v>39813942</v>
      </c>
      <c r="F3" s="16">
        <v>5223</v>
      </c>
      <c r="G3" s="16">
        <f>F3*C3</f>
        <v>39997734</v>
      </c>
      <c r="H3" s="12">
        <v>0</v>
      </c>
      <c r="I3" s="8">
        <f>F3-(F3*0.05)</f>
        <v>4961.8500000000004</v>
      </c>
      <c r="L3" s="11"/>
    </row>
    <row r="4" spans="1:12" ht="18" x14ac:dyDescent="0.45">
      <c r="A4" s="6" t="s">
        <v>15</v>
      </c>
      <c r="B4" s="13">
        <v>35607</v>
      </c>
      <c r="C4" s="6">
        <v>8643</v>
      </c>
      <c r="D4" s="8">
        <v>8070</v>
      </c>
      <c r="E4" s="9">
        <f t="shared" si="0"/>
        <v>69749010</v>
      </c>
      <c r="F4" s="8">
        <v>8107</v>
      </c>
      <c r="G4" s="18">
        <f>F4*C4</f>
        <v>70068801</v>
      </c>
      <c r="H4" s="12">
        <f>(G4*100)/G19</f>
        <v>31.093962312310147</v>
      </c>
      <c r="I4" s="8">
        <f t="shared" ref="I4:I18" si="1">F4-(F4*0.05)</f>
        <v>7701.65</v>
      </c>
    </row>
    <row r="5" spans="1:12" ht="18" x14ac:dyDescent="0.45">
      <c r="A5" s="6" t="s">
        <v>16</v>
      </c>
      <c r="B5" s="13">
        <v>35607</v>
      </c>
      <c r="C5" s="6">
        <v>16452</v>
      </c>
      <c r="D5" s="8">
        <v>1815</v>
      </c>
      <c r="E5" s="9">
        <f t="shared" si="0"/>
        <v>29860380</v>
      </c>
      <c r="F5" s="8">
        <v>1823</v>
      </c>
      <c r="G5" s="18">
        <f t="shared" ref="G5:G12" si="2">F5*C5</f>
        <v>29991996</v>
      </c>
      <c r="H5" s="12">
        <f>(G5*100)/G19</f>
        <v>13.309347098646038</v>
      </c>
      <c r="I5" s="8">
        <f t="shared" si="1"/>
        <v>1731.85</v>
      </c>
    </row>
    <row r="6" spans="1:12" ht="18" x14ac:dyDescent="0.45">
      <c r="A6" s="6" t="s">
        <v>17</v>
      </c>
      <c r="B6" s="13">
        <v>35607</v>
      </c>
      <c r="C6" s="6">
        <v>4760</v>
      </c>
      <c r="D6" s="8">
        <v>6273</v>
      </c>
      <c r="E6" s="9">
        <f t="shared" si="0"/>
        <v>29859480</v>
      </c>
      <c r="F6" s="8">
        <v>6302</v>
      </c>
      <c r="G6" s="18">
        <f t="shared" si="2"/>
        <v>29997520</v>
      </c>
      <c r="H6" s="12">
        <f>(G6*100)/G19</f>
        <v>13.311798447111574</v>
      </c>
      <c r="I6" s="8">
        <f t="shared" si="1"/>
        <v>5986.9</v>
      </c>
    </row>
    <row r="7" spans="1:12" ht="18" x14ac:dyDescent="0.45">
      <c r="A7" s="6" t="s">
        <v>20</v>
      </c>
      <c r="B7" s="13">
        <v>35608</v>
      </c>
      <c r="C7" s="6">
        <v>2448</v>
      </c>
      <c r="D7" s="8">
        <v>4065</v>
      </c>
      <c r="E7" s="9">
        <f t="shared" si="0"/>
        <v>9951120</v>
      </c>
      <c r="F7" s="8">
        <v>4084</v>
      </c>
      <c r="G7" s="18">
        <f t="shared" si="2"/>
        <v>9997632</v>
      </c>
      <c r="H7" s="12">
        <f>(G7*100)/G19</f>
        <v>4.4365821618718142</v>
      </c>
      <c r="I7" s="8">
        <f t="shared" si="1"/>
        <v>3879.8</v>
      </c>
    </row>
    <row r="8" spans="1:12" ht="18" x14ac:dyDescent="0.45">
      <c r="A8" s="14" t="s">
        <v>21</v>
      </c>
      <c r="B8" s="15">
        <v>35618</v>
      </c>
      <c r="C8" s="14">
        <v>5809</v>
      </c>
      <c r="D8" s="16">
        <v>5140</v>
      </c>
      <c r="E8" s="17">
        <f t="shared" si="0"/>
        <v>29858260</v>
      </c>
      <c r="F8" s="16">
        <v>5164</v>
      </c>
      <c r="G8" s="16">
        <f t="shared" si="2"/>
        <v>29997676</v>
      </c>
      <c r="H8" s="12">
        <v>0</v>
      </c>
      <c r="I8" s="8">
        <f t="shared" si="1"/>
        <v>4905.8</v>
      </c>
    </row>
    <row r="9" spans="1:12" ht="18" x14ac:dyDescent="0.45">
      <c r="A9" s="6" t="s">
        <v>22</v>
      </c>
      <c r="B9" s="13">
        <v>35618</v>
      </c>
      <c r="C9" s="6">
        <v>17616</v>
      </c>
      <c r="D9" s="8">
        <v>1695</v>
      </c>
      <c r="E9" s="9">
        <f t="shared" si="0"/>
        <v>29859120</v>
      </c>
      <c r="F9" s="8">
        <v>1703</v>
      </c>
      <c r="G9" s="18">
        <f t="shared" si="2"/>
        <v>30000048</v>
      </c>
      <c r="H9" s="12">
        <f>(G9*100)/G19</f>
        <v>13.312920280732296</v>
      </c>
      <c r="I9" s="8">
        <f t="shared" si="1"/>
        <v>1617.85</v>
      </c>
    </row>
    <row r="10" spans="1:12" ht="18" x14ac:dyDescent="0.45">
      <c r="A10" s="6" t="s">
        <v>23</v>
      </c>
      <c r="B10" s="13">
        <v>35618</v>
      </c>
      <c r="C10" s="6">
        <v>1694</v>
      </c>
      <c r="D10" s="8">
        <v>8808</v>
      </c>
      <c r="E10" s="9">
        <f t="shared" si="0"/>
        <v>14920752</v>
      </c>
      <c r="F10" s="8">
        <v>8849</v>
      </c>
      <c r="G10" s="18">
        <f t="shared" si="2"/>
        <v>14990206</v>
      </c>
      <c r="H10" s="12">
        <f>(G10*100)/G19</f>
        <v>6.6521032722932629</v>
      </c>
      <c r="I10" s="8">
        <f t="shared" si="1"/>
        <v>8406.5499999999993</v>
      </c>
    </row>
    <row r="11" spans="1:12" ht="18" x14ac:dyDescent="0.45">
      <c r="A11" s="6" t="s">
        <v>44</v>
      </c>
      <c r="B11" s="13">
        <v>35620</v>
      </c>
      <c r="C11" s="6">
        <v>8226</v>
      </c>
      <c r="D11" s="8">
        <v>3630</v>
      </c>
      <c r="E11" s="8">
        <f t="shared" si="0"/>
        <v>29860380</v>
      </c>
      <c r="F11" s="8">
        <v>3647</v>
      </c>
      <c r="G11" s="18">
        <f t="shared" si="2"/>
        <v>30000222</v>
      </c>
      <c r="H11" s="12">
        <f>(G11*100)/G19</f>
        <v>13.31299749554638</v>
      </c>
      <c r="I11" s="8">
        <f t="shared" si="1"/>
        <v>3464.65</v>
      </c>
    </row>
    <row r="12" spans="1:12" ht="18" x14ac:dyDescent="0.45">
      <c r="A12" s="6" t="s">
        <v>45</v>
      </c>
      <c r="B12" s="13">
        <v>35620</v>
      </c>
      <c r="C12" s="6">
        <v>2127</v>
      </c>
      <c r="D12" s="8">
        <v>4820</v>
      </c>
      <c r="E12" s="8">
        <f t="shared" si="0"/>
        <v>10252140</v>
      </c>
      <c r="F12" s="8">
        <v>4842</v>
      </c>
      <c r="G12" s="18">
        <f t="shared" si="2"/>
        <v>10298934</v>
      </c>
      <c r="H12" s="12">
        <f>(G12*100)/G19</f>
        <v>4.5702889314884896</v>
      </c>
      <c r="I12" s="8">
        <f t="shared" si="1"/>
        <v>4599.8999999999996</v>
      </c>
    </row>
    <row r="13" spans="1:12" ht="18" x14ac:dyDescent="0.45">
      <c r="A13" s="6"/>
      <c r="B13" s="6"/>
      <c r="C13" s="6"/>
      <c r="D13" s="10"/>
      <c r="E13" s="10"/>
      <c r="F13" s="10"/>
      <c r="G13" s="19"/>
      <c r="H13" s="8"/>
      <c r="I13" s="8">
        <f t="shared" si="1"/>
        <v>0</v>
      </c>
    </row>
    <row r="14" spans="1:12" ht="18" x14ac:dyDescent="0.45">
      <c r="A14" s="6"/>
      <c r="B14" s="6"/>
      <c r="C14" s="6"/>
      <c r="D14" s="10"/>
      <c r="E14" s="10"/>
      <c r="F14" s="10"/>
      <c r="G14" s="19"/>
      <c r="H14" s="8"/>
      <c r="I14" s="8">
        <f t="shared" si="1"/>
        <v>0</v>
      </c>
    </row>
    <row r="15" spans="1:12" ht="18" x14ac:dyDescent="0.45">
      <c r="A15" s="6"/>
      <c r="B15" s="6"/>
      <c r="C15" s="6"/>
      <c r="D15" s="10"/>
      <c r="E15" s="10"/>
      <c r="F15" s="10"/>
      <c r="G15" s="19"/>
      <c r="H15" s="8"/>
      <c r="I15" s="8">
        <f t="shared" si="1"/>
        <v>0</v>
      </c>
    </row>
    <row r="16" spans="1:12" ht="18" x14ac:dyDescent="0.45">
      <c r="A16" s="6"/>
      <c r="B16" s="6"/>
      <c r="C16" s="6"/>
      <c r="D16" s="10"/>
      <c r="E16" s="10"/>
      <c r="F16" s="10"/>
      <c r="G16" s="19"/>
      <c r="H16" s="8"/>
      <c r="I16" s="8">
        <f t="shared" si="1"/>
        <v>0</v>
      </c>
    </row>
    <row r="17" spans="1:9" ht="18" x14ac:dyDescent="0.45">
      <c r="A17" s="6"/>
      <c r="B17" s="6"/>
      <c r="C17" s="6"/>
      <c r="D17" s="10"/>
      <c r="E17" s="10"/>
      <c r="F17" s="10"/>
      <c r="G17" s="19"/>
      <c r="H17" s="8"/>
      <c r="I17" s="8">
        <f t="shared" si="1"/>
        <v>0</v>
      </c>
    </row>
    <row r="18" spans="1:9" ht="18" x14ac:dyDescent="0.45">
      <c r="A18" s="6"/>
      <c r="B18" s="6"/>
      <c r="C18" s="6"/>
      <c r="D18" s="10"/>
      <c r="E18" s="10"/>
      <c r="F18" s="10"/>
      <c r="G18" s="19"/>
      <c r="H18" s="8"/>
      <c r="I18" s="8">
        <f t="shared" si="1"/>
        <v>0</v>
      </c>
    </row>
    <row r="19" spans="1:9" ht="18" x14ac:dyDescent="0.45">
      <c r="A19" s="54" t="s">
        <v>3</v>
      </c>
      <c r="B19" s="55"/>
      <c r="C19" s="55"/>
      <c r="D19" s="55"/>
      <c r="E19" s="55"/>
      <c r="F19" s="56"/>
      <c r="G19" s="18">
        <f>SUMIF(Sheet3!K3:K18,"&gt;0",Sheet2!G3:G18)</f>
        <v>225345359</v>
      </c>
      <c r="H19" s="18">
        <f>SUM(H4:H18)</f>
        <v>100</v>
      </c>
    </row>
  </sheetData>
  <mergeCells count="2">
    <mergeCell ref="A1:H1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tabSelected="1" workbookViewId="0">
      <selection activeCell="F4" sqref="F4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5.42578125" customWidth="1"/>
  </cols>
  <sheetData>
    <row r="1" spans="1:11" x14ac:dyDescent="0.45">
      <c r="A1" s="57" t="s">
        <v>24</v>
      </c>
      <c r="B1" s="57"/>
      <c r="C1" s="57"/>
      <c r="D1" s="57"/>
      <c r="E1" s="57"/>
      <c r="F1" s="57"/>
      <c r="G1" s="57"/>
      <c r="H1" s="61" t="s">
        <v>26</v>
      </c>
      <c r="I1" s="62"/>
      <c r="J1" s="62"/>
      <c r="K1" s="62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37</v>
      </c>
      <c r="F2" s="5" t="s">
        <v>12</v>
      </c>
      <c r="G2" s="5" t="s">
        <v>32</v>
      </c>
      <c r="H2" s="5" t="s">
        <v>29</v>
      </c>
      <c r="I2" s="5" t="s">
        <v>27</v>
      </c>
      <c r="J2" s="5" t="s">
        <v>28</v>
      </c>
      <c r="K2" s="5" t="s">
        <v>48</v>
      </c>
    </row>
    <row r="3" spans="1:11" x14ac:dyDescent="0.45">
      <c r="A3" s="14" t="s">
        <v>14</v>
      </c>
      <c r="B3" s="15">
        <v>35618</v>
      </c>
      <c r="C3" s="14">
        <v>7658</v>
      </c>
      <c r="D3" s="16">
        <v>5950</v>
      </c>
      <c r="E3" s="17">
        <f>D3*C3</f>
        <v>45565100</v>
      </c>
      <c r="F3" s="16">
        <f>E3*0.00574979534</f>
        <v>261989.99964663398</v>
      </c>
      <c r="G3" s="16">
        <f>E3-F3</f>
        <v>45303110.000353366</v>
      </c>
      <c r="H3" s="24">
        <f>DATEDIF(Sheet2!B3,B3,"d")</f>
        <v>11</v>
      </c>
      <c r="I3" s="25">
        <f>((G3*100)/Sheet2!G3)-100</f>
        <v>13.264191417327197</v>
      </c>
      <c r="J3" s="26">
        <f>Sheet3!G3-Sheet2!G3</f>
        <v>5305376.0003533661</v>
      </c>
      <c r="K3" s="14">
        <v>0</v>
      </c>
    </row>
    <row r="4" spans="1:11" x14ac:dyDescent="0.45">
      <c r="A4" s="6" t="s">
        <v>15</v>
      </c>
      <c r="B4" s="13">
        <v>35625</v>
      </c>
      <c r="C4" s="6">
        <f>Sheet2!C4</f>
        <v>8643</v>
      </c>
      <c r="D4" s="8">
        <v>10004</v>
      </c>
      <c r="E4" s="9">
        <f t="shared" ref="E4:E12" si="0">D4*C4</f>
        <v>86464572</v>
      </c>
      <c r="F4" s="8">
        <f t="shared" ref="F4:F12" si="1">E4*0.00574979534</f>
        <v>497153.59316069447</v>
      </c>
      <c r="G4" s="8">
        <f t="shared" ref="G4:G12" si="2">E4-F4</f>
        <v>85967418.406839311</v>
      </c>
      <c r="H4" s="20">
        <f>DATEDIF(Sheet2!B4,B4,"d")</f>
        <v>18</v>
      </c>
      <c r="I4" s="25">
        <f>((G4*100)/Sheet2!G4)-100</f>
        <v>22.690009219423231</v>
      </c>
      <c r="J4" s="21">
        <f>Sheet3!G4-Sheet2!G4</f>
        <v>15898617.406839311</v>
      </c>
      <c r="K4" s="63">
        <v>1</v>
      </c>
    </row>
    <row r="5" spans="1:11" x14ac:dyDescent="0.45">
      <c r="A5" s="6" t="s">
        <v>16</v>
      </c>
      <c r="B5" s="13">
        <v>35625</v>
      </c>
      <c r="C5" s="6">
        <f>Sheet2!C5</f>
        <v>16452</v>
      </c>
      <c r="D5" s="8">
        <v>2035</v>
      </c>
      <c r="E5" s="9">
        <f t="shared" si="0"/>
        <v>33479820</v>
      </c>
      <c r="F5" s="8">
        <f t="shared" si="1"/>
        <v>192502.11302003879</v>
      </c>
      <c r="G5" s="8">
        <f t="shared" si="2"/>
        <v>33287317.88697996</v>
      </c>
      <c r="H5" s="20">
        <f>DATEDIF(Sheet2!B5,B5,"d")</f>
        <v>18</v>
      </c>
      <c r="I5" s="25">
        <f>((G5*100)/Sheet2!G5)-100</f>
        <v>10.987337711634666</v>
      </c>
      <c r="J5" s="21">
        <f>Sheet3!G5-Sheet2!G5</f>
        <v>3295321.8869799599</v>
      </c>
      <c r="K5" s="63">
        <v>1</v>
      </c>
    </row>
    <row r="6" spans="1:11" x14ac:dyDescent="0.45">
      <c r="A6" s="6" t="s">
        <v>17</v>
      </c>
      <c r="B6" s="13">
        <v>35625</v>
      </c>
      <c r="C6" s="6">
        <f>Sheet2!C6</f>
        <v>4760</v>
      </c>
      <c r="D6" s="8">
        <v>8485</v>
      </c>
      <c r="E6" s="9">
        <f t="shared" si="0"/>
        <v>40388600</v>
      </c>
      <c r="F6" s="8">
        <f t="shared" si="1"/>
        <v>232226.18406912399</v>
      </c>
      <c r="G6" s="8">
        <f t="shared" si="2"/>
        <v>40156373.815930873</v>
      </c>
      <c r="H6" s="20">
        <f>DATEDIF(Sheet2!B6,B6,"d")</f>
        <v>18</v>
      </c>
      <c r="I6" s="25">
        <f>((G6*100)/Sheet2!G6)-100</f>
        <v>33.865645613140259</v>
      </c>
      <c r="J6" s="21">
        <f>Sheet3!G6-Sheet2!G6</f>
        <v>10158853.815930873</v>
      </c>
      <c r="K6" s="63">
        <v>1</v>
      </c>
    </row>
    <row r="7" spans="1:11" x14ac:dyDescent="0.45">
      <c r="A7" s="6" t="s">
        <v>20</v>
      </c>
      <c r="B7" s="13">
        <v>35625</v>
      </c>
      <c r="C7" s="6">
        <f>Sheet2!C7</f>
        <v>2448</v>
      </c>
      <c r="D7" s="8">
        <v>4296</v>
      </c>
      <c r="E7" s="9">
        <f t="shared" si="0"/>
        <v>10516608</v>
      </c>
      <c r="F7" s="8">
        <f t="shared" si="1"/>
        <v>60468.343671006718</v>
      </c>
      <c r="G7" s="8">
        <f t="shared" si="2"/>
        <v>10456139.656328993</v>
      </c>
      <c r="H7" s="20">
        <f>DATEDIF(Sheet2!B7,B7,"d")</f>
        <v>17</v>
      </c>
      <c r="I7" s="25">
        <f>((G7*100)/Sheet2!G7)-100</f>
        <v>4.5861625665856991</v>
      </c>
      <c r="J7" s="21">
        <f>Sheet3!G7-Sheet2!G7</f>
        <v>458507.65632899292</v>
      </c>
      <c r="K7" s="63">
        <v>1</v>
      </c>
    </row>
    <row r="8" spans="1:11" x14ac:dyDescent="0.45">
      <c r="A8" s="14" t="s">
        <v>21</v>
      </c>
      <c r="B8" s="15">
        <v>35622</v>
      </c>
      <c r="C8" s="14">
        <f>Sheet2!C8</f>
        <v>5809</v>
      </c>
      <c r="D8" s="16">
        <v>4657</v>
      </c>
      <c r="E8" s="17">
        <f t="shared" si="0"/>
        <v>27052513</v>
      </c>
      <c r="F8" s="16">
        <f t="shared" si="1"/>
        <v>155546.4131826894</v>
      </c>
      <c r="G8" s="16">
        <f t="shared" si="2"/>
        <v>26896966.586817309</v>
      </c>
      <c r="H8" s="24">
        <f>DATEDIF(Sheet2!B8,B8,"d")</f>
        <v>4</v>
      </c>
      <c r="I8" s="25">
        <f>((G8*100)/Sheet2!G8)-100</f>
        <v>-10.336498778047641</v>
      </c>
      <c r="J8" s="26">
        <f>Sheet3!G8-Sheet2!G8</f>
        <v>-3100709.4131826907</v>
      </c>
      <c r="K8" s="14">
        <v>0</v>
      </c>
    </row>
    <row r="9" spans="1:11" x14ac:dyDescent="0.45">
      <c r="A9" s="6" t="s">
        <v>22</v>
      </c>
      <c r="B9" s="13">
        <v>35625</v>
      </c>
      <c r="C9" s="6">
        <f>Sheet2!C9</f>
        <v>17616</v>
      </c>
      <c r="D9" s="8">
        <v>1579</v>
      </c>
      <c r="E9" s="9">
        <f t="shared" si="0"/>
        <v>27815664</v>
      </c>
      <c r="F9" s="8">
        <f t="shared" si="1"/>
        <v>159934.37524620575</v>
      </c>
      <c r="G9" s="8">
        <f t="shared" si="2"/>
        <v>27655729.624753796</v>
      </c>
      <c r="H9" s="20">
        <f>DATEDIF(Sheet2!B9,B9,"d")</f>
        <v>7</v>
      </c>
      <c r="I9" s="25">
        <f>((G9*100)/Sheet2!G9)-100</f>
        <v>-7.8143820811426821</v>
      </c>
      <c r="J9" s="21">
        <f>Sheet3!G9-Sheet2!G9</f>
        <v>-2344318.3752462044</v>
      </c>
      <c r="K9" s="63">
        <v>1</v>
      </c>
    </row>
    <row r="10" spans="1:11" x14ac:dyDescent="0.45">
      <c r="A10" s="6" t="s">
        <v>23</v>
      </c>
      <c r="B10" s="13">
        <v>35625</v>
      </c>
      <c r="C10" s="6">
        <f>Sheet2!C10</f>
        <v>1694</v>
      </c>
      <c r="D10" s="8">
        <v>8117</v>
      </c>
      <c r="E10" s="9">
        <f t="shared" si="0"/>
        <v>13750198</v>
      </c>
      <c r="F10" s="8">
        <f t="shared" si="1"/>
        <v>79060.82438447731</v>
      </c>
      <c r="G10" s="8">
        <f t="shared" si="2"/>
        <v>13671137.175615523</v>
      </c>
      <c r="H10" s="20">
        <f>DATEDIF(Sheet2!B10,B10,"d")</f>
        <v>7</v>
      </c>
      <c r="I10" s="25">
        <f>((G10*100)/Sheet2!G10)-100</f>
        <v>-8.7995376740284712</v>
      </c>
      <c r="J10" s="21">
        <f>Sheet3!G10-Sheet2!G10</f>
        <v>-1319068.824384477</v>
      </c>
      <c r="K10" s="63">
        <v>1</v>
      </c>
    </row>
    <row r="11" spans="1:11" x14ac:dyDescent="0.45">
      <c r="A11" s="6" t="s">
        <v>44</v>
      </c>
      <c r="B11" s="13">
        <v>35625</v>
      </c>
      <c r="C11" s="6">
        <f>Sheet2!C11</f>
        <v>8226</v>
      </c>
      <c r="D11" s="8">
        <v>3276</v>
      </c>
      <c r="E11" s="8">
        <f t="shared" si="0"/>
        <v>26948376</v>
      </c>
      <c r="F11" s="8">
        <f t="shared" si="1"/>
        <v>154947.64674536782</v>
      </c>
      <c r="G11" s="8">
        <f t="shared" si="2"/>
        <v>26793428.353254631</v>
      </c>
      <c r="H11" s="20">
        <f>DATEDIF(Sheet2!B11,B11,"d")</f>
        <v>5</v>
      </c>
      <c r="I11" s="25">
        <f>((G11*100)/Sheet2!G11)-100</f>
        <v>-10.689233055493276</v>
      </c>
      <c r="J11" s="21">
        <f>Sheet3!G11-Sheet2!G11</f>
        <v>-3206793.6467453688</v>
      </c>
      <c r="K11" s="63">
        <v>1</v>
      </c>
    </row>
    <row r="12" spans="1:11" x14ac:dyDescent="0.45">
      <c r="A12" s="6" t="s">
        <v>45</v>
      </c>
      <c r="B12" s="13">
        <v>35625</v>
      </c>
      <c r="C12" s="6">
        <f>Sheet2!C12</f>
        <v>2127</v>
      </c>
      <c r="D12" s="8">
        <v>4384</v>
      </c>
      <c r="E12" s="8">
        <f t="shared" si="0"/>
        <v>9324768</v>
      </c>
      <c r="F12" s="27">
        <f t="shared" si="1"/>
        <v>53615.507592981121</v>
      </c>
      <c r="G12" s="8">
        <f t="shared" si="2"/>
        <v>9271152.4924070183</v>
      </c>
      <c r="H12" s="20">
        <f>DATEDIF(Sheet2!B12,B12,"d")</f>
        <v>5</v>
      </c>
      <c r="I12" s="25">
        <f>((G12*100)/Sheet2!G12)-100</f>
        <v>-9.9794940679586972</v>
      </c>
      <c r="J12" s="21">
        <f>Sheet3!G12-Sheet2!G12</f>
        <v>-1027781.5075929817</v>
      </c>
      <c r="K12" s="63">
        <v>1</v>
      </c>
    </row>
    <row r="13" spans="1:11" x14ac:dyDescent="0.45">
      <c r="A13" s="6"/>
      <c r="B13" s="6"/>
      <c r="C13" s="6"/>
      <c r="D13" s="10"/>
      <c r="E13" s="10"/>
      <c r="F13" s="10"/>
      <c r="G13" s="10"/>
      <c r="H13" s="22"/>
      <c r="I13" s="25"/>
      <c r="J13" s="23"/>
      <c r="K13" s="64"/>
    </row>
    <row r="14" spans="1:11" x14ac:dyDescent="0.45">
      <c r="A14" s="6"/>
      <c r="B14" s="6"/>
      <c r="C14" s="6"/>
      <c r="D14" s="10"/>
      <c r="E14" s="10"/>
      <c r="F14" s="10"/>
      <c r="G14" s="10"/>
      <c r="H14" s="22"/>
      <c r="I14" s="25"/>
      <c r="J14" s="23"/>
      <c r="K14" s="64"/>
    </row>
    <row r="15" spans="1:11" x14ac:dyDescent="0.45">
      <c r="A15" s="6"/>
      <c r="B15" s="6"/>
      <c r="C15" s="6"/>
      <c r="D15" s="10"/>
      <c r="E15" s="10"/>
      <c r="F15" s="10"/>
      <c r="G15" s="10"/>
      <c r="H15" s="22"/>
      <c r="I15" s="25"/>
      <c r="J15" s="23"/>
      <c r="K15" s="64"/>
    </row>
    <row r="16" spans="1:11" x14ac:dyDescent="0.45">
      <c r="A16" s="6"/>
      <c r="B16" s="6"/>
      <c r="C16" s="6"/>
      <c r="D16" s="10"/>
      <c r="E16" s="10"/>
      <c r="F16" s="10"/>
      <c r="G16" s="10"/>
      <c r="H16" s="22"/>
      <c r="I16" s="25"/>
      <c r="J16" s="23"/>
      <c r="K16" s="64"/>
    </row>
    <row r="17" spans="1:11" x14ac:dyDescent="0.45">
      <c r="A17" s="6"/>
      <c r="B17" s="6"/>
      <c r="C17" s="6"/>
      <c r="D17" s="10"/>
      <c r="E17" s="10"/>
      <c r="F17" s="10"/>
      <c r="G17" s="10"/>
      <c r="H17" s="22"/>
      <c r="I17" s="25"/>
      <c r="J17" s="23"/>
      <c r="K17" s="64"/>
    </row>
    <row r="18" spans="1:11" x14ac:dyDescent="0.45">
      <c r="A18" s="6"/>
      <c r="B18" s="6"/>
      <c r="C18" s="6"/>
      <c r="D18" s="10"/>
      <c r="E18" s="10"/>
      <c r="F18" s="10"/>
      <c r="G18" s="10"/>
      <c r="H18" s="22"/>
      <c r="I18" s="25"/>
      <c r="J18" s="23"/>
      <c r="K18" s="64"/>
    </row>
    <row r="19" spans="1:11" x14ac:dyDescent="0.45">
      <c r="A19" s="58" t="s">
        <v>3</v>
      </c>
      <c r="B19" s="59"/>
      <c r="C19" s="59"/>
      <c r="D19" s="59"/>
      <c r="E19" s="59"/>
      <c r="F19" s="60"/>
      <c r="G19" s="8">
        <f>SUMIF(K3:K18,"&gt;0",G3:G18)</f>
        <v>247258697.41211015</v>
      </c>
      <c r="H19" s="22"/>
      <c r="I19" s="25"/>
      <c r="J19" s="23"/>
      <c r="K19" s="64"/>
    </row>
  </sheetData>
  <mergeCells count="3">
    <mergeCell ref="A1:G1"/>
    <mergeCell ref="A19:F19"/>
    <mergeCell ref="H1:K1"/>
  </mergeCells>
  <conditionalFormatting sqref="I3:I19">
    <cfRule type="cellIs" dxfId="1" priority="2" operator="greaterThan">
      <formula>0</formula>
    </cfRule>
  </conditionalFormatting>
  <conditionalFormatting sqref="I3:I1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2018-10-05T10:19:12Z</dcterms:modified>
</cp:coreProperties>
</file>